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057fd7477d87051/Desktop/Kaupandi ehf/Greiningar/US/"/>
    </mc:Choice>
  </mc:AlternateContent>
  <xr:revisionPtr revIDLastSave="604" documentId="8_{8FF880B5-DA42-4BBC-9EA4-0C06D4774513}" xr6:coauthVersionLast="47" xr6:coauthVersionMax="47" xr10:uidLastSave="{20F51F11-D22B-48C2-BCBA-3BEDF889349F}"/>
  <bookViews>
    <workbookView xWindow="-108" yWindow="-108" windowWidth="30936" windowHeight="17496" xr2:uid="{8AE3CAB9-1DDD-4C7A-BCF0-E281925CF4F9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4" i="1" l="1"/>
  <c r="X33" i="1"/>
  <c r="X32" i="1"/>
  <c r="Y34" i="1"/>
  <c r="Y32" i="1"/>
  <c r="Y33" i="1"/>
  <c r="O32" i="1"/>
  <c r="N32" i="1"/>
  <c r="M32" i="1"/>
  <c r="L32" i="1"/>
  <c r="K32" i="1"/>
  <c r="P32" i="1"/>
  <c r="O34" i="1"/>
  <c r="N34" i="1"/>
  <c r="M34" i="1"/>
  <c r="L34" i="1"/>
  <c r="K34" i="1"/>
  <c r="P34" i="1"/>
  <c r="K33" i="1"/>
  <c r="L33" i="1"/>
  <c r="M33" i="1"/>
  <c r="N33" i="1"/>
  <c r="O33" i="1"/>
  <c r="P33" i="1"/>
  <c r="O24" i="1"/>
  <c r="N24" i="1"/>
  <c r="M24" i="1"/>
  <c r="L24" i="1"/>
  <c r="K24" i="1"/>
  <c r="J24" i="1"/>
  <c r="I24" i="1"/>
  <c r="N23" i="1"/>
  <c r="M23" i="1"/>
  <c r="L23" i="1"/>
  <c r="P29" i="1"/>
  <c r="O29" i="1"/>
  <c r="N29" i="1"/>
  <c r="M29" i="1"/>
  <c r="L29" i="1"/>
  <c r="K29" i="1"/>
  <c r="J29" i="1"/>
  <c r="I29" i="1"/>
  <c r="H29" i="1"/>
  <c r="X64" i="1"/>
  <c r="X62" i="1"/>
  <c r="X61" i="1"/>
  <c r="X60" i="1"/>
  <c r="X59" i="1"/>
  <c r="X57" i="1"/>
  <c r="X56" i="1"/>
  <c r="X55" i="1"/>
  <c r="X54" i="1"/>
  <c r="X53" i="1"/>
  <c r="X51" i="1"/>
  <c r="X50" i="1"/>
  <c r="X49" i="1"/>
  <c r="X48" i="1"/>
  <c r="X47" i="1"/>
  <c r="X46" i="1"/>
  <c r="X44" i="1"/>
  <c r="X43" i="1"/>
  <c r="X42" i="1"/>
  <c r="X41" i="1"/>
  <c r="X40" i="1"/>
  <c r="X38" i="1" s="1"/>
  <c r="Y64" i="1"/>
  <c r="Y62" i="1"/>
  <c r="Y61" i="1"/>
  <c r="Y60" i="1"/>
  <c r="Y59" i="1"/>
  <c r="Y57" i="1"/>
  <c r="Y56" i="1"/>
  <c r="Y55" i="1"/>
  <c r="Y54" i="1"/>
  <c r="Y53" i="1"/>
  <c r="Y51" i="1"/>
  <c r="Y50" i="1"/>
  <c r="Y49" i="1"/>
  <c r="Y48" i="1"/>
  <c r="Y47" i="1"/>
  <c r="Y46" i="1"/>
  <c r="Y44" i="1"/>
  <c r="Y43" i="1"/>
  <c r="Y42" i="1"/>
  <c r="Y41" i="1"/>
  <c r="Y40" i="1"/>
  <c r="X18" i="1"/>
  <c r="X16" i="1"/>
  <c r="X14" i="1"/>
  <c r="X13" i="1"/>
  <c r="X12" i="1"/>
  <c r="X9" i="1"/>
  <c r="X8" i="1"/>
  <c r="X7" i="1"/>
  <c r="X21" i="1"/>
  <c r="X6" i="1"/>
  <c r="X4" i="1"/>
  <c r="X3" i="1"/>
  <c r="Y21" i="1"/>
  <c r="Y14" i="1"/>
  <c r="Y18" i="1"/>
  <c r="Y16" i="1"/>
  <c r="Y13" i="1"/>
  <c r="Y12" i="1"/>
  <c r="Y9" i="1"/>
  <c r="Y8" i="1"/>
  <c r="Y7" i="1"/>
  <c r="Y6" i="1"/>
  <c r="Y4" i="1"/>
  <c r="Y3" i="1"/>
  <c r="H10" i="1"/>
  <c r="H5" i="1"/>
  <c r="H26" i="1" s="1"/>
  <c r="I10" i="1"/>
  <c r="I5" i="1"/>
  <c r="I26" i="1" s="1"/>
  <c r="M10" i="1"/>
  <c r="M5" i="1"/>
  <c r="M26" i="1" s="1"/>
  <c r="J10" i="1"/>
  <c r="J5" i="1"/>
  <c r="J26" i="1" s="1"/>
  <c r="N10" i="1"/>
  <c r="N5" i="1"/>
  <c r="N26" i="1" s="1"/>
  <c r="P24" i="1"/>
  <c r="O23" i="1"/>
  <c r="P23" i="1"/>
  <c r="O39" i="1"/>
  <c r="N39" i="1"/>
  <c r="M39" i="1"/>
  <c r="L39" i="1"/>
  <c r="L68" i="1" s="1"/>
  <c r="K39" i="1"/>
  <c r="O38" i="1"/>
  <c r="N38" i="1"/>
  <c r="M38" i="1"/>
  <c r="L38" i="1"/>
  <c r="K38" i="1"/>
  <c r="P39" i="1"/>
  <c r="P38" i="1"/>
  <c r="P37" i="1" s="1"/>
  <c r="S58" i="1"/>
  <c r="S63" i="1" s="1"/>
  <c r="S65" i="1" s="1"/>
  <c r="R58" i="1"/>
  <c r="R63" i="1" s="1"/>
  <c r="R65" i="1" s="1"/>
  <c r="Q58" i="1"/>
  <c r="Q63" i="1" s="1"/>
  <c r="Q65" i="1" s="1"/>
  <c r="P58" i="1"/>
  <c r="P63" i="1" s="1"/>
  <c r="P65" i="1" s="1"/>
  <c r="N58" i="1"/>
  <c r="N63" i="1" s="1"/>
  <c r="N65" i="1" s="1"/>
  <c r="M58" i="1"/>
  <c r="M63" i="1" s="1"/>
  <c r="M65" i="1" s="1"/>
  <c r="L58" i="1"/>
  <c r="L63" i="1" s="1"/>
  <c r="L65" i="1" s="1"/>
  <c r="K58" i="1"/>
  <c r="K63" i="1" s="1"/>
  <c r="K65" i="1" s="1"/>
  <c r="J58" i="1"/>
  <c r="J63" i="1" s="1"/>
  <c r="J65" i="1" s="1"/>
  <c r="I58" i="1"/>
  <c r="I63" i="1" s="1"/>
  <c r="I65" i="1" s="1"/>
  <c r="H58" i="1"/>
  <c r="H63" i="1" s="1"/>
  <c r="H65" i="1" s="1"/>
  <c r="O58" i="1"/>
  <c r="O63" i="1" s="1"/>
  <c r="O65" i="1" s="1"/>
  <c r="S45" i="1"/>
  <c r="S52" i="1" s="1"/>
  <c r="R45" i="1"/>
  <c r="R52" i="1" s="1"/>
  <c r="Q45" i="1"/>
  <c r="Q52" i="1" s="1"/>
  <c r="P45" i="1"/>
  <c r="P52" i="1" s="1"/>
  <c r="N45" i="1"/>
  <c r="N52" i="1" s="1"/>
  <c r="N69" i="1" s="1"/>
  <c r="M45" i="1"/>
  <c r="M52" i="1" s="1"/>
  <c r="L45" i="1"/>
  <c r="L52" i="1" s="1"/>
  <c r="L69" i="1" s="1"/>
  <c r="K45" i="1"/>
  <c r="K52" i="1" s="1"/>
  <c r="J45" i="1"/>
  <c r="J52" i="1" s="1"/>
  <c r="I45" i="1"/>
  <c r="I52" i="1" s="1"/>
  <c r="H45" i="1"/>
  <c r="H52" i="1" s="1"/>
  <c r="O45" i="1"/>
  <c r="O52" i="1" s="1"/>
  <c r="K10" i="1"/>
  <c r="K5" i="1"/>
  <c r="K26" i="1" s="1"/>
  <c r="O10" i="1"/>
  <c r="O5" i="1"/>
  <c r="O26" i="1" s="1"/>
  <c r="L10" i="1"/>
  <c r="L5" i="1"/>
  <c r="L26" i="1" s="1"/>
  <c r="P10" i="1"/>
  <c r="P5" i="1"/>
  <c r="P26" i="1" s="1"/>
  <c r="L5" i="2"/>
  <c r="L4" i="2"/>
  <c r="M69" i="1" l="1"/>
  <c r="K68" i="1"/>
  <c r="O69" i="1"/>
  <c r="P69" i="1"/>
  <c r="X39" i="1"/>
  <c r="P68" i="1"/>
  <c r="M68" i="1"/>
  <c r="Y38" i="1"/>
  <c r="Y37" i="1" s="1"/>
  <c r="N68" i="1"/>
  <c r="O68" i="1"/>
  <c r="X37" i="1"/>
  <c r="K69" i="1"/>
  <c r="Y39" i="1"/>
  <c r="X68" i="1"/>
  <c r="X29" i="1"/>
  <c r="Y5" i="1"/>
  <c r="Y26" i="1" s="1"/>
  <c r="P11" i="1"/>
  <c r="Y58" i="1"/>
  <c r="Y63" i="1" s="1"/>
  <c r="Y65" i="1" s="1"/>
  <c r="X5" i="1"/>
  <c r="X26" i="1" s="1"/>
  <c r="Y23" i="1"/>
  <c r="Y29" i="1"/>
  <c r="X10" i="1"/>
  <c r="X45" i="1"/>
  <c r="X52" i="1" s="1"/>
  <c r="M37" i="1"/>
  <c r="Y10" i="1"/>
  <c r="Y45" i="1"/>
  <c r="Y52" i="1" s="1"/>
  <c r="Y69" i="1" s="1"/>
  <c r="X58" i="1"/>
  <c r="X63" i="1" s="1"/>
  <c r="X65" i="1" s="1"/>
  <c r="L37" i="1"/>
  <c r="N37" i="1"/>
  <c r="O37" i="1"/>
  <c r="K37" i="1"/>
  <c r="H11" i="1"/>
  <c r="H27" i="1" s="1"/>
  <c r="I11" i="1"/>
  <c r="M11" i="1"/>
  <c r="J11" i="1"/>
  <c r="N11" i="1"/>
  <c r="K11" i="1"/>
  <c r="O11" i="1"/>
  <c r="L11" i="1"/>
  <c r="L8" i="2"/>
  <c r="L7" i="2"/>
  <c r="Y68" i="1" l="1"/>
  <c r="P15" i="1"/>
  <c r="P17" i="1" s="1"/>
  <c r="P19" i="1" s="1"/>
  <c r="P27" i="1"/>
  <c r="P67" i="1"/>
  <c r="N15" i="1"/>
  <c r="N17" i="1" s="1"/>
  <c r="N19" i="1" s="1"/>
  <c r="N67" i="1"/>
  <c r="N27" i="1"/>
  <c r="J15" i="1"/>
  <c r="J17" i="1" s="1"/>
  <c r="J19" i="1" s="1"/>
  <c r="J27" i="1"/>
  <c r="M15" i="1"/>
  <c r="M17" i="1" s="1"/>
  <c r="M19" i="1" s="1"/>
  <c r="M67" i="1"/>
  <c r="M27" i="1"/>
  <c r="I15" i="1"/>
  <c r="I17" i="1" s="1"/>
  <c r="I19" i="1" s="1"/>
  <c r="I27" i="1"/>
  <c r="X69" i="1"/>
  <c r="L67" i="1"/>
  <c r="L27" i="1"/>
  <c r="O15" i="1"/>
  <c r="O17" i="1" s="1"/>
  <c r="O19" i="1" s="1"/>
  <c r="O67" i="1"/>
  <c r="O27" i="1"/>
  <c r="K15" i="1"/>
  <c r="K17" i="1" s="1"/>
  <c r="K19" i="1" s="1"/>
  <c r="K27" i="1"/>
  <c r="K67" i="1"/>
  <c r="H15" i="1"/>
  <c r="H17" i="1" s="1"/>
  <c r="X11" i="1"/>
  <c r="X67" i="1" s="1"/>
  <c r="L15" i="1"/>
  <c r="L17" i="1" s="1"/>
  <c r="Y11" i="1"/>
  <c r="Y67" i="1" s="1"/>
  <c r="I20" i="1" l="1"/>
  <c r="I28" i="1"/>
  <c r="J20" i="1"/>
  <c r="J28" i="1"/>
  <c r="N20" i="1"/>
  <c r="N28" i="1"/>
  <c r="K20" i="1"/>
  <c r="K28" i="1"/>
  <c r="O20" i="1"/>
  <c r="O28" i="1"/>
  <c r="M20" i="1"/>
  <c r="M28" i="1"/>
  <c r="P20" i="1"/>
  <c r="P28" i="1"/>
  <c r="Y27" i="1"/>
  <c r="Y15" i="1"/>
  <c r="L19" i="1"/>
  <c r="L28" i="1" s="1"/>
  <c r="Y17" i="1"/>
  <c r="X27" i="1"/>
  <c r="X15" i="1"/>
  <c r="H19" i="1"/>
  <c r="H28" i="1" s="1"/>
  <c r="X17" i="1"/>
  <c r="H20" i="1" l="1"/>
  <c r="X20" i="1" s="1"/>
  <c r="X19" i="1"/>
  <c r="Y19" i="1"/>
  <c r="L20" i="1"/>
  <c r="Y20" i="1" s="1"/>
  <c r="Y28" i="1" l="1"/>
  <c r="X28" i="1"/>
</calcChain>
</file>

<file path=xl/sharedStrings.xml><?xml version="1.0" encoding="utf-8"?>
<sst xmlns="http://schemas.openxmlformats.org/spreadsheetml/2006/main" count="112" uniqueCount="102">
  <si>
    <t>Price</t>
  </si>
  <si>
    <t>Shares</t>
  </si>
  <si>
    <t>MC</t>
  </si>
  <si>
    <t>Cash</t>
  </si>
  <si>
    <t>Debt</t>
  </si>
  <si>
    <t>EV</t>
  </si>
  <si>
    <t>Net Cash</t>
  </si>
  <si>
    <t>CEO</t>
  </si>
  <si>
    <t>Q323</t>
  </si>
  <si>
    <t>Q423</t>
  </si>
  <si>
    <t>Q322</t>
  </si>
  <si>
    <t>Q422</t>
  </si>
  <si>
    <t>Q123</t>
  </si>
  <si>
    <t>Q223</t>
  </si>
  <si>
    <t>Q122</t>
  </si>
  <si>
    <t>Q222</t>
  </si>
  <si>
    <t>Main</t>
  </si>
  <si>
    <t/>
  </si>
  <si>
    <t>Model</t>
  </si>
  <si>
    <t>Q121</t>
  </si>
  <si>
    <t>Q221</t>
  </si>
  <si>
    <t>Q321</t>
  </si>
  <si>
    <t>Q421</t>
  </si>
  <si>
    <t>Q420</t>
  </si>
  <si>
    <t>Q124</t>
  </si>
  <si>
    <t>Q224</t>
  </si>
  <si>
    <t>Q324</t>
  </si>
  <si>
    <t>Q424</t>
  </si>
  <si>
    <t>EBAY</t>
  </si>
  <si>
    <t>EBAY, INC</t>
  </si>
  <si>
    <t>Jamie Iannone</t>
  </si>
  <si>
    <t>Incorporated in 1995 in San Jose, California. Global commerce company that has sellers in</t>
  </si>
  <si>
    <t>more than 190 markets around the world. The business is mainly comprised of eBay.com</t>
  </si>
  <si>
    <t>but also runs off-platform businesses in Japan and the US, plus a suite of mobile apps.</t>
  </si>
  <si>
    <t>In 2023 eBay had a gross merchandise volume of $73 billion.</t>
  </si>
  <si>
    <t>the total value of all paid transactions between users on the marketplace.</t>
  </si>
  <si>
    <r>
      <rPr>
        <b/>
        <sz val="11"/>
        <color theme="1"/>
        <rFont val="Times New Roman"/>
        <family val="1"/>
      </rPr>
      <t>Financial information:</t>
    </r>
    <r>
      <rPr>
        <sz val="11"/>
        <color theme="1"/>
        <rFont val="Times New Roman"/>
        <family val="1"/>
      </rPr>
      <t xml:space="preserve"> eBay measures its footprint according to GMV. GMV consists of </t>
    </r>
  </si>
  <si>
    <t xml:space="preserve">eBay has one operating and reportable segment. The reportable segment is Marketplace, </t>
  </si>
  <si>
    <t>which includes the online marketplace located at eBay.com, it's localized counterparts</t>
  </si>
  <si>
    <t>and the eBay suite of mobile apps.</t>
  </si>
  <si>
    <t>Executives</t>
  </si>
  <si>
    <t>Name</t>
  </si>
  <si>
    <t>Role</t>
  </si>
  <si>
    <t>Steve Priest</t>
  </si>
  <si>
    <t>CFO</t>
  </si>
  <si>
    <t>Rebecca Spencer</t>
  </si>
  <si>
    <t>VP &amp; CAO</t>
  </si>
  <si>
    <t>Revenue</t>
  </si>
  <si>
    <t>COGS</t>
  </si>
  <si>
    <t>Gross Profit</t>
  </si>
  <si>
    <t>S&amp;M</t>
  </si>
  <si>
    <t>Product development</t>
  </si>
  <si>
    <t>G&amp;A</t>
  </si>
  <si>
    <t>Provision for transaction losses</t>
  </si>
  <si>
    <t>Operating expenses</t>
  </si>
  <si>
    <t>Operating income</t>
  </si>
  <si>
    <t>Gain (loss) on equity investments</t>
  </si>
  <si>
    <t>Interest expense</t>
  </si>
  <si>
    <t>Interest income and other</t>
  </si>
  <si>
    <t>Pretax</t>
  </si>
  <si>
    <t>Taxes</t>
  </si>
  <si>
    <t>Income from continuing</t>
  </si>
  <si>
    <t>Gain (loss) from discontinued operation</t>
  </si>
  <si>
    <t>Net income</t>
  </si>
  <si>
    <t>EPS</t>
  </si>
  <si>
    <t>Revenue Y/Y</t>
  </si>
  <si>
    <t>Revenue Q/Q</t>
  </si>
  <si>
    <t>Gross Margin %</t>
  </si>
  <si>
    <t>Operating Margin %</t>
  </si>
  <si>
    <t>Net Margin %</t>
  </si>
  <si>
    <t>Tax Rate %</t>
  </si>
  <si>
    <t>Net debt</t>
  </si>
  <si>
    <t>Short-term investments</t>
  </si>
  <si>
    <t>Equity investments in Adevinta</t>
  </si>
  <si>
    <t>Customer acc and fund receivable</t>
  </si>
  <si>
    <t>OCA</t>
  </si>
  <si>
    <t>Current assets</t>
  </si>
  <si>
    <t>Long-term investments</t>
  </si>
  <si>
    <t>P&amp;E</t>
  </si>
  <si>
    <t>Goodwill</t>
  </si>
  <si>
    <t>Operating leases</t>
  </si>
  <si>
    <t>DT</t>
  </si>
  <si>
    <t>OA</t>
  </si>
  <si>
    <t>Assets</t>
  </si>
  <si>
    <t>Short-term debt</t>
  </si>
  <si>
    <t>A/P</t>
  </si>
  <si>
    <t>Customer acc and funds payble</t>
  </si>
  <si>
    <t>Accrued expenses</t>
  </si>
  <si>
    <t>Taxes payable</t>
  </si>
  <si>
    <t>Current liabilities</t>
  </si>
  <si>
    <t>Leases</t>
  </si>
  <si>
    <t>Long-term debt</t>
  </si>
  <si>
    <t>OL</t>
  </si>
  <si>
    <t>Liabilities</t>
  </si>
  <si>
    <t>SE</t>
  </si>
  <si>
    <t>L+SE</t>
  </si>
  <si>
    <t>ROA</t>
  </si>
  <si>
    <t>Capital Employed</t>
  </si>
  <si>
    <t>NOPAT</t>
  </si>
  <si>
    <t>Invested Capital</t>
  </si>
  <si>
    <t>ROIC</t>
  </si>
  <si>
    <t>ROCE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</si>
</sst>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8"/>
      <color theme="1"/>
      <name val="Times New Roman"/>
      <family val="1"/>
    </font>
    <font>
      <b/>
      <u/>
      <sz val="14"/>
      <color theme="10"/>
      <name val="Aptos Narrow"/>
      <family val="2"/>
      <scheme val="minor"/>
    </font>
    <font>
      <b/>
      <u/>
      <sz val="16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3" fontId="0" fillId="0" borderId="1" xfId="0" applyNumberFormat="1" applyBorder="1"/>
    <xf numFmtId="3" fontId="0" fillId="0" borderId="0" xfId="0" applyNumberFormat="1"/>
    <xf numFmtId="2" fontId="0" fillId="0" borderId="1" xfId="0" applyNumberFormat="1" applyBorder="1"/>
    <xf numFmtId="0" fontId="0" fillId="0" borderId="0" xfId="0" quotePrefix="1"/>
    <xf numFmtId="3" fontId="0" fillId="2" borderId="0" xfId="0" applyNumberFormat="1" applyFill="1"/>
    <xf numFmtId="0" fontId="0" fillId="2" borderId="0" xfId="0" applyFill="1"/>
    <xf numFmtId="0" fontId="7" fillId="2" borderId="0" xfId="1" applyFont="1" applyFill="1" applyAlignment="1">
      <alignment horizontal="center"/>
    </xf>
    <xf numFmtId="0" fontId="6" fillId="0" borderId="0" xfId="1" applyFont="1" applyAlignment="1">
      <alignment horizontal="center"/>
    </xf>
    <xf numFmtId="0" fontId="3" fillId="2" borderId="0" xfId="0" applyFont="1" applyFill="1" applyAlignment="1">
      <alignment horizontal="right"/>
    </xf>
    <xf numFmtId="0" fontId="9" fillId="0" borderId="0" xfId="0" applyFont="1"/>
    <xf numFmtId="0" fontId="9" fillId="0" borderId="2" xfId="0" applyFont="1" applyBorder="1"/>
    <xf numFmtId="0" fontId="0" fillId="0" borderId="3" xfId="0" applyBorder="1"/>
    <xf numFmtId="0" fontId="0" fillId="0" borderId="4" xfId="0" applyBorder="1"/>
    <xf numFmtId="0" fontId="9" fillId="0" borderId="5" xfId="0" applyFont="1" applyBorder="1"/>
    <xf numFmtId="0" fontId="0" fillId="0" borderId="6" xfId="0" applyBorder="1"/>
    <xf numFmtId="0" fontId="9" fillId="0" borderId="7" xfId="0" applyFont="1" applyBorder="1"/>
    <xf numFmtId="0" fontId="0" fillId="0" borderId="8" xfId="0" applyBorder="1"/>
    <xf numFmtId="0" fontId="0" fillId="0" borderId="9" xfId="0" applyBorder="1"/>
    <xf numFmtId="0" fontId="9" fillId="0" borderId="10" xfId="0" applyFont="1" applyBorder="1"/>
    <xf numFmtId="0" fontId="0" fillId="0" borderId="11" xfId="0" applyBorder="1"/>
    <xf numFmtId="0" fontId="0" fillId="0" borderId="12" xfId="0" applyBorder="1"/>
    <xf numFmtId="0" fontId="9" fillId="0" borderId="1" xfId="0" applyFont="1" applyBorder="1"/>
    <xf numFmtId="0" fontId="10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1" fillId="0" borderId="0" xfId="0" applyFont="1"/>
    <xf numFmtId="3" fontId="8" fillId="2" borderId="0" xfId="0" applyNumberFormat="1" applyFont="1" applyFill="1"/>
    <xf numFmtId="3" fontId="8" fillId="0" borderId="0" xfId="0" applyNumberFormat="1" applyFont="1"/>
    <xf numFmtId="3" fontId="8" fillId="2" borderId="11" xfId="0" applyNumberFormat="1" applyFont="1" applyFill="1" applyBorder="1"/>
    <xf numFmtId="3" fontId="8" fillId="0" borderId="11" xfId="0" applyNumberFormat="1" applyFont="1" applyBorder="1"/>
    <xf numFmtId="0" fontId="8" fillId="0" borderId="11" xfId="0" applyFont="1" applyBorder="1"/>
    <xf numFmtId="4" fontId="0" fillId="0" borderId="0" xfId="0" applyNumberFormat="1"/>
    <xf numFmtId="3" fontId="0" fillId="2" borderId="11" xfId="0" applyNumberFormat="1" applyFill="1" applyBorder="1"/>
    <xf numFmtId="3" fontId="0" fillId="0" borderId="11" xfId="0" applyNumberFormat="1" applyBorder="1"/>
    <xf numFmtId="3" fontId="12" fillId="2" borderId="0" xfId="0" applyNumberFormat="1" applyFont="1" applyFill="1"/>
    <xf numFmtId="3" fontId="12" fillId="0" borderId="0" xfId="0" applyNumberFormat="1" applyFont="1"/>
    <xf numFmtId="3" fontId="13" fillId="2" borderId="0" xfId="0" applyNumberFormat="1" applyFont="1" applyFill="1"/>
    <xf numFmtId="3" fontId="13" fillId="0" borderId="0" xfId="0" applyNumberFormat="1" applyFont="1"/>
    <xf numFmtId="3" fontId="12" fillId="2" borderId="13" xfId="0" applyNumberFormat="1" applyFont="1" applyFill="1" applyBorder="1"/>
    <xf numFmtId="3" fontId="12" fillId="0" borderId="13" xfId="0" applyNumberFormat="1" applyFont="1" applyBorder="1"/>
    <xf numFmtId="9" fontId="12" fillId="0" borderId="3" xfId="0" applyNumberFormat="1" applyFont="1" applyBorder="1"/>
    <xf numFmtId="3" fontId="12" fillId="2" borderId="3" xfId="0" applyNumberFormat="1" applyFont="1" applyFill="1" applyBorder="1"/>
    <xf numFmtId="3" fontId="12" fillId="0" borderId="3" xfId="0" applyNumberFormat="1" applyFont="1" applyBorder="1"/>
    <xf numFmtId="3" fontId="12" fillId="2" borderId="8" xfId="0" applyNumberFormat="1" applyFont="1" applyFill="1" applyBorder="1"/>
    <xf numFmtId="3" fontId="12" fillId="0" borderId="8" xfId="0" applyNumberFormat="1" applyFont="1" applyBorder="1"/>
    <xf numFmtId="9" fontId="12" fillId="0" borderId="8" xfId="0" applyNumberFormat="1" applyFont="1" applyBorder="1"/>
    <xf numFmtId="9" fontId="12" fillId="0" borderId="0" xfId="0" applyNumberFormat="1" applyFont="1"/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</cellXfs>
  <cellStyles count="2">
    <cellStyle name="Tengill" xfId="1" builtinId="8"/>
    <cellStyle name="Venjulegt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1</xdr:row>
      <xdr:rowOff>0</xdr:rowOff>
    </xdr:from>
    <xdr:to>
      <xdr:col>25</xdr:col>
      <xdr:colOff>0</xdr:colOff>
      <xdr:row>97</xdr:row>
      <xdr:rowOff>156309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787F4C14-02EA-478E-A306-3E5A0A7C5FA7}"/>
            </a:ext>
          </a:extLst>
        </xdr:cNvPr>
        <xdr:cNvCxnSpPr/>
      </xdr:nvCxnSpPr>
      <xdr:spPr>
        <a:xfrm>
          <a:off x="17058290" y="268014"/>
          <a:ext cx="0" cy="17193578"/>
        </a:xfrm>
        <a:prstGeom prst="line">
          <a:avLst/>
        </a:prstGeom>
        <a:ln w="3175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</xdr:row>
      <xdr:rowOff>0</xdr:rowOff>
    </xdr:from>
    <xdr:to>
      <xdr:col>16</xdr:col>
      <xdr:colOff>0</xdr:colOff>
      <xdr:row>97</xdr:row>
      <xdr:rowOff>156309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CAE5ABB2-CF54-4A2D-A038-5A75D1010C53}"/>
            </a:ext>
          </a:extLst>
        </xdr:cNvPr>
        <xdr:cNvCxnSpPr/>
      </xdr:nvCxnSpPr>
      <xdr:spPr>
        <a:xfrm>
          <a:off x="11451021" y="268014"/>
          <a:ext cx="0" cy="17183067"/>
        </a:xfrm>
        <a:prstGeom prst="line">
          <a:avLst/>
        </a:prstGeom>
        <a:ln w="3175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þ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5A943-7190-4997-8580-4E0BDA41CD8D}">
  <dimension ref="B1:M21"/>
  <sheetViews>
    <sheetView tabSelected="1" workbookViewId="0">
      <selection activeCell="P11" sqref="P11:Q12"/>
    </sheetView>
  </sheetViews>
  <sheetFormatPr defaultRowHeight="14.4" x14ac:dyDescent="0.3"/>
  <cols>
    <col min="2" max="2" width="15.44140625" customWidth="1"/>
    <col min="12" max="12" width="13.88671875" customWidth="1"/>
    <col min="13" max="13" width="9.109375" customWidth="1"/>
  </cols>
  <sheetData>
    <row r="1" spans="2:13" ht="21" x14ac:dyDescent="0.4">
      <c r="B1" s="9" t="s">
        <v>18</v>
      </c>
      <c r="K1" s="48" t="s">
        <v>28</v>
      </c>
      <c r="L1" s="48"/>
    </row>
    <row r="2" spans="2:13" ht="22.8" x14ac:dyDescent="0.3">
      <c r="B2" s="49" t="s">
        <v>29</v>
      </c>
      <c r="C2" s="49"/>
      <c r="D2" s="49"/>
      <c r="E2" s="49"/>
      <c r="F2" s="49"/>
      <c r="G2" s="49"/>
      <c r="H2" s="49"/>
      <c r="I2" s="49"/>
      <c r="K2" s="1" t="s">
        <v>0</v>
      </c>
      <c r="L2" s="4">
        <v>49.65</v>
      </c>
    </row>
    <row r="3" spans="2:13" x14ac:dyDescent="0.3">
      <c r="K3" s="1" t="s">
        <v>1</v>
      </c>
      <c r="L3" s="2">
        <v>506</v>
      </c>
      <c r="M3" t="s">
        <v>24</v>
      </c>
    </row>
    <row r="4" spans="2:13" x14ac:dyDescent="0.3">
      <c r="B4" s="12" t="s">
        <v>31</v>
      </c>
      <c r="C4" s="13"/>
      <c r="D4" s="13"/>
      <c r="E4" s="13"/>
      <c r="F4" s="13"/>
      <c r="G4" s="13"/>
      <c r="H4" s="13"/>
      <c r="I4" s="14"/>
      <c r="K4" s="1" t="s">
        <v>2</v>
      </c>
      <c r="L4" s="2">
        <f>L3*L2</f>
        <v>25122.899999999998</v>
      </c>
    </row>
    <row r="5" spans="2:13" x14ac:dyDescent="0.3">
      <c r="B5" s="15" t="s">
        <v>32</v>
      </c>
      <c r="I5" s="16"/>
      <c r="K5" s="1" t="s">
        <v>3</v>
      </c>
      <c r="L5" s="2">
        <f>2130+1743</f>
        <v>3873</v>
      </c>
      <c r="M5" t="s">
        <v>24</v>
      </c>
    </row>
    <row r="6" spans="2:13" x14ac:dyDescent="0.3">
      <c r="B6" s="17" t="s">
        <v>33</v>
      </c>
      <c r="C6" s="18"/>
      <c r="D6" s="18"/>
      <c r="E6" s="18"/>
      <c r="F6" s="18"/>
      <c r="G6" s="18"/>
      <c r="H6" s="18"/>
      <c r="I6" s="19"/>
      <c r="K6" s="1" t="s">
        <v>4</v>
      </c>
      <c r="L6" s="2">
        <v>8087</v>
      </c>
      <c r="M6" t="s">
        <v>24</v>
      </c>
    </row>
    <row r="7" spans="2:13" x14ac:dyDescent="0.3">
      <c r="B7" s="11"/>
      <c r="K7" s="1" t="s">
        <v>5</v>
      </c>
      <c r="L7" s="2">
        <f>L4-L5+L6</f>
        <v>29336.899999999998</v>
      </c>
    </row>
    <row r="8" spans="2:13" x14ac:dyDescent="0.3">
      <c r="B8" s="20" t="s">
        <v>34</v>
      </c>
      <c r="C8" s="21"/>
      <c r="D8" s="21"/>
      <c r="E8" s="21"/>
      <c r="F8" s="21"/>
      <c r="G8" s="21"/>
      <c r="H8" s="21"/>
      <c r="I8" s="22"/>
      <c r="K8" s="1" t="s">
        <v>6</v>
      </c>
      <c r="L8" s="2">
        <f>L5-L6</f>
        <v>-4214</v>
      </c>
    </row>
    <row r="9" spans="2:13" x14ac:dyDescent="0.3">
      <c r="K9" s="1"/>
      <c r="L9" s="1"/>
    </row>
    <row r="10" spans="2:13" x14ac:dyDescent="0.3">
      <c r="B10" s="12" t="s">
        <v>36</v>
      </c>
      <c r="C10" s="13"/>
      <c r="D10" s="13"/>
      <c r="E10" s="13"/>
      <c r="F10" s="13"/>
      <c r="G10" s="13"/>
      <c r="H10" s="13"/>
      <c r="I10" s="14"/>
      <c r="K10" s="1" t="s">
        <v>7</v>
      </c>
      <c r="L10" s="1" t="s">
        <v>30</v>
      </c>
    </row>
    <row r="11" spans="2:13" x14ac:dyDescent="0.3">
      <c r="B11" s="17" t="s">
        <v>35</v>
      </c>
      <c r="C11" s="18"/>
      <c r="D11" s="18"/>
      <c r="E11" s="18"/>
      <c r="F11" s="18"/>
      <c r="G11" s="18"/>
      <c r="H11" s="18"/>
      <c r="I11" s="19"/>
    </row>
    <row r="13" spans="2:13" x14ac:dyDescent="0.3">
      <c r="B13" s="12" t="s">
        <v>37</v>
      </c>
      <c r="C13" s="13"/>
      <c r="D13" s="13"/>
      <c r="E13" s="13"/>
      <c r="F13" s="13"/>
      <c r="G13" s="13"/>
      <c r="H13" s="13"/>
      <c r="I13" s="14"/>
    </row>
    <row r="14" spans="2:13" x14ac:dyDescent="0.3">
      <c r="B14" s="15" t="s">
        <v>38</v>
      </c>
      <c r="I14" s="16"/>
    </row>
    <row r="15" spans="2:13" x14ac:dyDescent="0.3">
      <c r="B15" s="17" t="s">
        <v>39</v>
      </c>
      <c r="C15" s="18"/>
      <c r="D15" s="18"/>
      <c r="E15" s="18"/>
      <c r="F15" s="18"/>
      <c r="G15" s="18"/>
      <c r="H15" s="18"/>
      <c r="I15" s="19"/>
    </row>
    <row r="16" spans="2:13" x14ac:dyDescent="0.3">
      <c r="F16" s="5" t="s">
        <v>17</v>
      </c>
    </row>
    <row r="17" spans="2:3" ht="15.6" x14ac:dyDescent="0.3">
      <c r="B17" s="26" t="s">
        <v>40</v>
      </c>
    </row>
    <row r="18" spans="2:3" x14ac:dyDescent="0.3">
      <c r="B18" s="24" t="s">
        <v>41</v>
      </c>
      <c r="C18" s="25" t="s">
        <v>42</v>
      </c>
    </row>
    <row r="19" spans="2:3" x14ac:dyDescent="0.3">
      <c r="B19" s="23" t="s">
        <v>30</v>
      </c>
      <c r="C19" s="1" t="s">
        <v>7</v>
      </c>
    </row>
    <row r="20" spans="2:3" x14ac:dyDescent="0.3">
      <c r="B20" s="23" t="s">
        <v>43</v>
      </c>
      <c r="C20" s="1" t="s">
        <v>44</v>
      </c>
    </row>
    <row r="21" spans="2:3" x14ac:dyDescent="0.3">
      <c r="B21" s="23" t="s">
        <v>45</v>
      </c>
      <c r="C21" s="1" t="s">
        <v>46</v>
      </c>
    </row>
  </sheetData>
  <mergeCells count="2">
    <mergeCell ref="K1:L1"/>
    <mergeCell ref="B2:I2"/>
  </mergeCells>
  <hyperlinks>
    <hyperlink ref="B1" location="Model!A1" display="Model" xr:uid="{191EB341-8C2F-4D17-8524-64F231C50EB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6B5A-B7A0-44C9-84C2-DFF7588B118C}">
  <dimension ref="A1:AR69"/>
  <sheetViews>
    <sheetView zoomScale="115" zoomScaleNormal="115" workbookViewId="0">
      <pane xSplit="1" ySplit="2" topLeftCell="F3" activePane="bottomRight" state="frozen"/>
      <selection pane="topRight" activeCell="C1" sqref="C1"/>
      <selection pane="bottomLeft" activeCell="A3" sqref="A3"/>
      <selection pane="bottomRight"/>
    </sheetView>
  </sheetViews>
  <sheetFormatPr defaultRowHeight="14.4" x14ac:dyDescent="0.3"/>
  <cols>
    <col min="1" max="1" width="34.5546875" style="7" customWidth="1"/>
    <col min="16" max="16" width="11" bestFit="1" customWidth="1"/>
  </cols>
  <sheetData>
    <row r="1" spans="1:44" s="7" customFormat="1" ht="21" x14ac:dyDescent="0.4">
      <c r="A1" s="8" t="s">
        <v>16</v>
      </c>
    </row>
    <row r="2" spans="1:44" s="10" customFormat="1" x14ac:dyDescent="0.3">
      <c r="C2" s="10" t="s">
        <v>23</v>
      </c>
      <c r="D2" s="10" t="s">
        <v>19</v>
      </c>
      <c r="E2" s="10" t="s">
        <v>20</v>
      </c>
      <c r="F2" s="10" t="s">
        <v>21</v>
      </c>
      <c r="G2" s="10" t="s">
        <v>22</v>
      </c>
      <c r="H2" s="10" t="s">
        <v>14</v>
      </c>
      <c r="I2" s="10" t="s">
        <v>15</v>
      </c>
      <c r="J2" s="10" t="s">
        <v>10</v>
      </c>
      <c r="K2" s="10" t="s">
        <v>11</v>
      </c>
      <c r="L2" s="10" t="s">
        <v>12</v>
      </c>
      <c r="M2" s="10" t="s">
        <v>13</v>
      </c>
      <c r="N2" s="10" t="s">
        <v>8</v>
      </c>
      <c r="O2" s="10" t="s">
        <v>9</v>
      </c>
      <c r="P2" s="10" t="s">
        <v>24</v>
      </c>
      <c r="Q2" s="10" t="s">
        <v>25</v>
      </c>
      <c r="R2" s="10" t="s">
        <v>26</v>
      </c>
      <c r="S2" s="10" t="s">
        <v>27</v>
      </c>
      <c r="U2" s="10">
        <v>2019</v>
      </c>
      <c r="V2" s="10">
        <v>2020</v>
      </c>
      <c r="W2" s="10">
        <v>2021</v>
      </c>
      <c r="X2" s="10">
        <v>2022</v>
      </c>
      <c r="Y2" s="10">
        <v>2023</v>
      </c>
      <c r="Z2" s="10">
        <v>2024</v>
      </c>
      <c r="AA2" s="10">
        <v>2025</v>
      </c>
      <c r="AB2" s="10">
        <v>2026</v>
      </c>
      <c r="AC2" s="10">
        <v>2027</v>
      </c>
      <c r="AD2" s="10">
        <v>2028</v>
      </c>
      <c r="AE2" s="10">
        <v>2029</v>
      </c>
      <c r="AF2" s="10">
        <v>2030</v>
      </c>
      <c r="AG2" s="10">
        <v>2031</v>
      </c>
      <c r="AH2" s="10">
        <v>2032</v>
      </c>
      <c r="AI2" s="10">
        <v>2033</v>
      </c>
      <c r="AJ2" s="10">
        <v>2034</v>
      </c>
      <c r="AK2" s="10">
        <v>2035</v>
      </c>
      <c r="AL2" s="10">
        <v>2036</v>
      </c>
      <c r="AM2" s="10">
        <v>2037</v>
      </c>
      <c r="AN2" s="10">
        <v>2038</v>
      </c>
      <c r="AO2" s="10">
        <v>2039</v>
      </c>
      <c r="AP2" s="10">
        <v>2040</v>
      </c>
      <c r="AQ2" s="10">
        <v>2041</v>
      </c>
      <c r="AR2" s="10">
        <v>2042</v>
      </c>
    </row>
    <row r="3" spans="1:44" s="28" customFormat="1" x14ac:dyDescent="0.3">
      <c r="A3" s="27" t="s">
        <v>47</v>
      </c>
      <c r="H3" s="28">
        <v>2483</v>
      </c>
      <c r="I3" s="28">
        <v>2422</v>
      </c>
      <c r="J3" s="28">
        <v>2380</v>
      </c>
      <c r="K3" s="28">
        <v>2510</v>
      </c>
      <c r="L3" s="28">
        <v>2510</v>
      </c>
      <c r="M3" s="28">
        <v>2540</v>
      </c>
      <c r="N3" s="28">
        <v>2500</v>
      </c>
      <c r="O3" s="28">
        <v>2562</v>
      </c>
      <c r="P3" s="28">
        <v>2556</v>
      </c>
      <c r="X3" s="28">
        <f>SUM(H3:K3)</f>
        <v>9795</v>
      </c>
      <c r="Y3" s="28">
        <f>SUM(L3:O3)</f>
        <v>10112</v>
      </c>
    </row>
    <row r="4" spans="1:44" s="3" customFormat="1" x14ac:dyDescent="0.3">
      <c r="A4" s="6" t="s">
        <v>48</v>
      </c>
      <c r="H4" s="3">
        <v>689</v>
      </c>
      <c r="I4" s="3">
        <v>663</v>
      </c>
      <c r="J4" s="3">
        <v>647</v>
      </c>
      <c r="K4" s="3">
        <v>681</v>
      </c>
      <c r="L4" s="3">
        <v>700</v>
      </c>
      <c r="M4" s="3">
        <v>718</v>
      </c>
      <c r="N4" s="3">
        <v>705</v>
      </c>
      <c r="O4" s="3">
        <v>710</v>
      </c>
      <c r="P4" s="3">
        <v>700</v>
      </c>
      <c r="X4" s="3">
        <f>SUM(H4:K4)</f>
        <v>2680</v>
      </c>
      <c r="Y4" s="3">
        <f>SUM(L4:O4)</f>
        <v>2833</v>
      </c>
    </row>
    <row r="5" spans="1:44" s="30" customFormat="1" x14ac:dyDescent="0.3">
      <c r="A5" s="29" t="s">
        <v>49</v>
      </c>
      <c r="H5" s="30">
        <f t="shared" ref="H5:P5" si="0">H3-H4</f>
        <v>1794</v>
      </c>
      <c r="I5" s="30">
        <f t="shared" si="0"/>
        <v>1759</v>
      </c>
      <c r="J5" s="30">
        <f t="shared" si="0"/>
        <v>1733</v>
      </c>
      <c r="K5" s="30">
        <f t="shared" si="0"/>
        <v>1829</v>
      </c>
      <c r="L5" s="30">
        <f t="shared" si="0"/>
        <v>1810</v>
      </c>
      <c r="M5" s="30">
        <f t="shared" si="0"/>
        <v>1822</v>
      </c>
      <c r="N5" s="30">
        <f t="shared" si="0"/>
        <v>1795</v>
      </c>
      <c r="O5" s="30">
        <f t="shared" si="0"/>
        <v>1852</v>
      </c>
      <c r="P5" s="30">
        <f t="shared" si="0"/>
        <v>1856</v>
      </c>
      <c r="X5" s="30">
        <f>SUM(H5:K5)</f>
        <v>7115</v>
      </c>
      <c r="Y5" s="30">
        <f>SUM(L5:O5)</f>
        <v>7279</v>
      </c>
    </row>
    <row r="6" spans="1:44" s="3" customFormat="1" x14ac:dyDescent="0.3">
      <c r="A6" s="6" t="s">
        <v>50</v>
      </c>
      <c r="H6" s="3">
        <v>478</v>
      </c>
      <c r="I6" s="3">
        <v>566</v>
      </c>
      <c r="J6" s="3">
        <v>538</v>
      </c>
      <c r="K6" s="3">
        <v>554</v>
      </c>
      <c r="L6" s="3">
        <v>511</v>
      </c>
      <c r="M6" s="3">
        <v>566</v>
      </c>
      <c r="N6" s="3">
        <v>567</v>
      </c>
      <c r="O6" s="3">
        <v>573</v>
      </c>
      <c r="P6" s="3">
        <v>541</v>
      </c>
      <c r="X6" s="3">
        <f t="shared" ref="X6:X9" si="1">SUM(H6:K6)</f>
        <v>2136</v>
      </c>
      <c r="Y6" s="3">
        <f t="shared" ref="Y6:Y9" si="2">SUM(L6:O6)</f>
        <v>2217</v>
      </c>
    </row>
    <row r="7" spans="1:44" s="3" customFormat="1" x14ac:dyDescent="0.3">
      <c r="A7" s="6" t="s">
        <v>51</v>
      </c>
      <c r="H7" s="3">
        <v>301</v>
      </c>
      <c r="I7" s="3">
        <v>344</v>
      </c>
      <c r="J7" s="3">
        <v>345</v>
      </c>
      <c r="K7" s="3">
        <v>340</v>
      </c>
      <c r="L7" s="3">
        <v>352</v>
      </c>
      <c r="M7" s="3">
        <v>392</v>
      </c>
      <c r="N7" s="3">
        <v>401</v>
      </c>
      <c r="O7" s="3">
        <v>399</v>
      </c>
      <c r="P7" s="3">
        <v>351</v>
      </c>
      <c r="X7" s="3">
        <f t="shared" si="1"/>
        <v>1330</v>
      </c>
      <c r="Y7" s="3">
        <f t="shared" si="2"/>
        <v>1544</v>
      </c>
    </row>
    <row r="8" spans="1:44" s="3" customFormat="1" x14ac:dyDescent="0.3">
      <c r="A8" s="6" t="s">
        <v>52</v>
      </c>
      <c r="H8" s="3">
        <v>226</v>
      </c>
      <c r="I8" s="3">
        <v>237</v>
      </c>
      <c r="J8" s="3">
        <v>212</v>
      </c>
      <c r="K8" s="3">
        <v>288</v>
      </c>
      <c r="L8" s="3">
        <v>297</v>
      </c>
      <c r="M8" s="3">
        <v>251</v>
      </c>
      <c r="N8" s="3">
        <v>283</v>
      </c>
      <c r="O8" s="3">
        <v>365</v>
      </c>
      <c r="P8" s="3">
        <v>238</v>
      </c>
      <c r="X8" s="3">
        <f t="shared" si="1"/>
        <v>963</v>
      </c>
      <c r="Y8" s="3">
        <f t="shared" si="2"/>
        <v>1196</v>
      </c>
    </row>
    <row r="9" spans="1:44" s="3" customFormat="1" x14ac:dyDescent="0.3">
      <c r="A9" s="6" t="s">
        <v>53</v>
      </c>
      <c r="H9" s="3">
        <v>96</v>
      </c>
      <c r="I9" s="3">
        <v>86</v>
      </c>
      <c r="J9" s="3">
        <v>69</v>
      </c>
      <c r="K9" s="3">
        <v>81</v>
      </c>
      <c r="L9" s="3">
        <v>84</v>
      </c>
      <c r="M9" s="3">
        <v>90</v>
      </c>
      <c r="N9" s="3">
        <v>85</v>
      </c>
      <c r="O9" s="3">
        <v>101</v>
      </c>
      <c r="P9" s="3">
        <v>91</v>
      </c>
      <c r="X9" s="3">
        <f t="shared" si="1"/>
        <v>332</v>
      </c>
      <c r="Y9" s="3">
        <f t="shared" si="2"/>
        <v>360</v>
      </c>
    </row>
    <row r="10" spans="1:44" s="36" customFormat="1" x14ac:dyDescent="0.3">
      <c r="A10" s="35" t="s">
        <v>54</v>
      </c>
      <c r="H10" s="36">
        <f t="shared" ref="H10:P10" si="3">SUM(H6:H9)</f>
        <v>1101</v>
      </c>
      <c r="I10" s="36">
        <f t="shared" si="3"/>
        <v>1233</v>
      </c>
      <c r="J10" s="36">
        <f t="shared" si="3"/>
        <v>1164</v>
      </c>
      <c r="K10" s="36">
        <f t="shared" si="3"/>
        <v>1263</v>
      </c>
      <c r="L10" s="36">
        <f t="shared" si="3"/>
        <v>1244</v>
      </c>
      <c r="M10" s="36">
        <f t="shared" si="3"/>
        <v>1299</v>
      </c>
      <c r="N10" s="36">
        <f t="shared" si="3"/>
        <v>1336</v>
      </c>
      <c r="O10" s="36">
        <f t="shared" si="3"/>
        <v>1438</v>
      </c>
      <c r="P10" s="36">
        <f t="shared" si="3"/>
        <v>1221</v>
      </c>
      <c r="X10" s="36">
        <f>SUM(X6:X9)</f>
        <v>4761</v>
      </c>
      <c r="Y10" s="36">
        <f>SUM(Y6:Y9)</f>
        <v>5317</v>
      </c>
    </row>
    <row r="11" spans="1:44" s="30" customFormat="1" x14ac:dyDescent="0.3">
      <c r="A11" s="29" t="s">
        <v>55</v>
      </c>
      <c r="H11" s="30">
        <f t="shared" ref="H11:P11" si="4">H5-H10</f>
        <v>693</v>
      </c>
      <c r="I11" s="30">
        <f t="shared" si="4"/>
        <v>526</v>
      </c>
      <c r="J11" s="30">
        <f t="shared" si="4"/>
        <v>569</v>
      </c>
      <c r="K11" s="30">
        <f t="shared" si="4"/>
        <v>566</v>
      </c>
      <c r="L11" s="30">
        <f t="shared" si="4"/>
        <v>566</v>
      </c>
      <c r="M11" s="30">
        <f t="shared" si="4"/>
        <v>523</v>
      </c>
      <c r="N11" s="30">
        <f t="shared" si="4"/>
        <v>459</v>
      </c>
      <c r="O11" s="30">
        <f t="shared" si="4"/>
        <v>414</v>
      </c>
      <c r="P11" s="30">
        <f t="shared" si="4"/>
        <v>635</v>
      </c>
      <c r="X11" s="30">
        <f>SUM(H11:K11)</f>
        <v>2354</v>
      </c>
      <c r="Y11" s="30">
        <f>SUM(L11:O11)</f>
        <v>1962</v>
      </c>
    </row>
    <row r="12" spans="1:44" s="3" customFormat="1" x14ac:dyDescent="0.3">
      <c r="A12" s="6" t="s">
        <v>56</v>
      </c>
      <c r="H12" s="3">
        <v>-2291</v>
      </c>
      <c r="I12" s="3">
        <v>-1221</v>
      </c>
      <c r="J12" s="3">
        <v>-593</v>
      </c>
      <c r="K12" s="3">
        <v>319</v>
      </c>
      <c r="L12" s="3">
        <v>198</v>
      </c>
      <c r="M12" s="3">
        <v>-214</v>
      </c>
      <c r="N12" s="3">
        <v>1212</v>
      </c>
      <c r="O12" s="3">
        <v>636</v>
      </c>
      <c r="P12" s="3">
        <v>-97</v>
      </c>
      <c r="X12" s="3">
        <f t="shared" ref="X12:X14" si="5">SUM(H12:K12)</f>
        <v>-3786</v>
      </c>
      <c r="Y12" s="3">
        <f t="shared" ref="Y12:Y14" si="6">SUM(L12:O12)</f>
        <v>1832</v>
      </c>
    </row>
    <row r="13" spans="1:44" s="3" customFormat="1" x14ac:dyDescent="0.3">
      <c r="A13" s="6" t="s">
        <v>57</v>
      </c>
      <c r="K13" s="3">
        <v>62</v>
      </c>
      <c r="L13" s="3">
        <v>68</v>
      </c>
      <c r="O13" s="3">
        <v>65</v>
      </c>
      <c r="P13" s="3">
        <v>66</v>
      </c>
      <c r="X13" s="3">
        <f t="shared" si="5"/>
        <v>62</v>
      </c>
      <c r="Y13" s="3">
        <f t="shared" si="6"/>
        <v>133</v>
      </c>
    </row>
    <row r="14" spans="1:44" s="3" customFormat="1" x14ac:dyDescent="0.3">
      <c r="A14" s="6" t="s">
        <v>58</v>
      </c>
      <c r="H14" s="3">
        <v>-50</v>
      </c>
      <c r="I14" s="3">
        <v>-31</v>
      </c>
      <c r="J14" s="3">
        <v>-29</v>
      </c>
      <c r="K14" s="3">
        <v>7</v>
      </c>
      <c r="L14" s="3">
        <v>42</v>
      </c>
      <c r="M14" s="3">
        <v>-19</v>
      </c>
      <c r="N14" s="3">
        <v>-6</v>
      </c>
      <c r="O14" s="3">
        <v>50</v>
      </c>
      <c r="P14" s="3">
        <v>68</v>
      </c>
      <c r="X14" s="3">
        <f t="shared" si="5"/>
        <v>-103</v>
      </c>
      <c r="Y14" s="3">
        <f t="shared" si="6"/>
        <v>67</v>
      </c>
    </row>
    <row r="15" spans="1:44" s="34" customFormat="1" x14ac:dyDescent="0.3">
      <c r="A15" s="33" t="s">
        <v>59</v>
      </c>
      <c r="H15" s="34">
        <f t="shared" ref="H15:P15" si="7">H11+H12-H13+H14</f>
        <v>-1648</v>
      </c>
      <c r="I15" s="34">
        <f t="shared" si="7"/>
        <v>-726</v>
      </c>
      <c r="J15" s="34">
        <f t="shared" si="7"/>
        <v>-53</v>
      </c>
      <c r="K15" s="34">
        <f t="shared" si="7"/>
        <v>830</v>
      </c>
      <c r="L15" s="34">
        <f t="shared" si="7"/>
        <v>738</v>
      </c>
      <c r="M15" s="34">
        <f t="shared" si="7"/>
        <v>290</v>
      </c>
      <c r="N15" s="34">
        <f t="shared" si="7"/>
        <v>1665</v>
      </c>
      <c r="O15" s="34">
        <f t="shared" si="7"/>
        <v>1035</v>
      </c>
      <c r="P15" s="34">
        <f t="shared" si="7"/>
        <v>540</v>
      </c>
      <c r="X15" s="34">
        <f>X11+X12-X13+X14</f>
        <v>-1597</v>
      </c>
      <c r="Y15" s="34">
        <f>Y11+Y12-Y13+Y14</f>
        <v>3728</v>
      </c>
    </row>
    <row r="16" spans="1:44" s="3" customFormat="1" x14ac:dyDescent="0.3">
      <c r="A16" s="6" t="s">
        <v>60</v>
      </c>
      <c r="H16" s="3">
        <v>310</v>
      </c>
      <c r="I16" s="3">
        <v>191</v>
      </c>
      <c r="J16" s="3">
        <v>16</v>
      </c>
      <c r="K16" s="3">
        <v>158</v>
      </c>
      <c r="L16" s="3">
        <v>161</v>
      </c>
      <c r="M16" s="3">
        <v>113</v>
      </c>
      <c r="N16" s="3">
        <v>355</v>
      </c>
      <c r="O16" s="3">
        <v>303</v>
      </c>
      <c r="P16" s="3">
        <v>97</v>
      </c>
      <c r="X16" s="3">
        <f t="shared" ref="X16" si="8">SUM(H16:K16)</f>
        <v>675</v>
      </c>
      <c r="Y16" s="3">
        <f>SUM(L16:O16)</f>
        <v>932</v>
      </c>
    </row>
    <row r="17" spans="1:25" s="30" customFormat="1" x14ac:dyDescent="0.3">
      <c r="A17" s="29" t="s">
        <v>61</v>
      </c>
      <c r="H17" s="30">
        <f>H15+H16</f>
        <v>-1338</v>
      </c>
      <c r="I17" s="30">
        <f>I15+I16</f>
        <v>-535</v>
      </c>
      <c r="J17" s="30">
        <f t="shared" ref="J17:P17" si="9">J15-J16</f>
        <v>-69</v>
      </c>
      <c r="K17" s="30">
        <f t="shared" si="9"/>
        <v>672</v>
      </c>
      <c r="L17" s="30">
        <f t="shared" si="9"/>
        <v>577</v>
      </c>
      <c r="M17" s="30">
        <f t="shared" si="9"/>
        <v>177</v>
      </c>
      <c r="N17" s="30">
        <f t="shared" si="9"/>
        <v>1310</v>
      </c>
      <c r="O17" s="30">
        <f t="shared" si="9"/>
        <v>732</v>
      </c>
      <c r="P17" s="30">
        <f t="shared" si="9"/>
        <v>443</v>
      </c>
      <c r="X17" s="30">
        <f>SUM(H17:K17)</f>
        <v>-1270</v>
      </c>
      <c r="Y17" s="30">
        <f>SUM(L17:O17)</f>
        <v>2796</v>
      </c>
    </row>
    <row r="18" spans="1:25" x14ac:dyDescent="0.3">
      <c r="A18" s="6" t="s">
        <v>62</v>
      </c>
      <c r="B18" s="3"/>
      <c r="C18" s="3"/>
      <c r="D18" s="3"/>
      <c r="E18" s="3"/>
      <c r="F18" s="3"/>
      <c r="G18" s="3"/>
      <c r="H18" s="3">
        <v>2</v>
      </c>
      <c r="I18" s="3">
        <v>5</v>
      </c>
      <c r="J18" s="3">
        <v>1</v>
      </c>
      <c r="K18" s="3">
        <v>1</v>
      </c>
      <c r="L18" s="3">
        <v>-2</v>
      </c>
      <c r="M18" s="3">
        <v>-1</v>
      </c>
      <c r="N18" s="3">
        <v>-1</v>
      </c>
      <c r="O18" s="3">
        <v>-4</v>
      </c>
      <c r="P18" s="3">
        <v>-1</v>
      </c>
      <c r="X18" s="3">
        <f t="shared" ref="X18" si="10">SUM(H18:K18)</f>
        <v>9</v>
      </c>
      <c r="Y18" s="3">
        <f>SUM(L18:O18)</f>
        <v>-8</v>
      </c>
    </row>
    <row r="19" spans="1:25" s="31" customFormat="1" x14ac:dyDescent="0.3">
      <c r="A19" s="29" t="s">
        <v>63</v>
      </c>
      <c r="B19" s="30"/>
      <c r="C19" s="30"/>
      <c r="D19" s="30"/>
      <c r="E19" s="30"/>
      <c r="F19" s="30"/>
      <c r="G19" s="30"/>
      <c r="H19" s="30">
        <f t="shared" ref="H19:P19" si="11">H17+H18</f>
        <v>-1336</v>
      </c>
      <c r="I19" s="30">
        <f t="shared" si="11"/>
        <v>-530</v>
      </c>
      <c r="J19" s="30">
        <f t="shared" si="11"/>
        <v>-68</v>
      </c>
      <c r="K19" s="30">
        <f t="shared" si="11"/>
        <v>673</v>
      </c>
      <c r="L19" s="30">
        <f t="shared" si="11"/>
        <v>575</v>
      </c>
      <c r="M19" s="30">
        <f t="shared" si="11"/>
        <v>176</v>
      </c>
      <c r="N19" s="30">
        <f t="shared" si="11"/>
        <v>1309</v>
      </c>
      <c r="O19" s="30">
        <f t="shared" si="11"/>
        <v>728</v>
      </c>
      <c r="P19" s="30">
        <f t="shared" si="11"/>
        <v>442</v>
      </c>
      <c r="X19" s="30">
        <f>SUM(H19:K19)</f>
        <v>-1261</v>
      </c>
      <c r="Y19" s="30">
        <f>SUM(L19:O19)</f>
        <v>2788</v>
      </c>
    </row>
    <row r="20" spans="1:25" x14ac:dyDescent="0.3">
      <c r="A20" s="6" t="s">
        <v>64</v>
      </c>
      <c r="B20" s="3"/>
      <c r="C20" s="3"/>
      <c r="D20" s="3"/>
      <c r="E20" s="3"/>
      <c r="F20" s="3"/>
      <c r="G20" s="3"/>
      <c r="H20" s="32">
        <f t="shared" ref="H20:P20" si="12">H19/H21</f>
        <v>-2.2759795570698467</v>
      </c>
      <c r="I20" s="32">
        <f t="shared" si="12"/>
        <v>-0.9532374100719424</v>
      </c>
      <c r="J20" s="32">
        <f t="shared" si="12"/>
        <v>-0.12408759124087591</v>
      </c>
      <c r="K20" s="32">
        <f t="shared" si="12"/>
        <v>1.2371323529411764</v>
      </c>
      <c r="L20" s="32">
        <f t="shared" si="12"/>
        <v>1.0628465804066543</v>
      </c>
      <c r="M20" s="32">
        <f t="shared" si="12"/>
        <v>0.32774674115456237</v>
      </c>
      <c r="N20" s="32">
        <f t="shared" si="12"/>
        <v>2.4605263157894739</v>
      </c>
      <c r="O20" s="32">
        <f t="shared" si="12"/>
        <v>1.3973128598848368</v>
      </c>
      <c r="P20" s="32">
        <f t="shared" si="12"/>
        <v>0.8516377649325626</v>
      </c>
      <c r="X20" s="32">
        <f t="shared" ref="X20" si="13">SUM(H20:K20)</f>
        <v>-2.1161722054414884</v>
      </c>
      <c r="Y20" s="32">
        <f>SUM(L20:O20)</f>
        <v>5.2484324972355276</v>
      </c>
    </row>
    <row r="21" spans="1:25" x14ac:dyDescent="0.3">
      <c r="A21" s="6" t="s">
        <v>1</v>
      </c>
      <c r="B21" s="3"/>
      <c r="C21" s="3"/>
      <c r="D21" s="3"/>
      <c r="E21" s="3"/>
      <c r="F21" s="3"/>
      <c r="G21" s="3"/>
      <c r="H21" s="3">
        <v>587</v>
      </c>
      <c r="I21" s="3">
        <v>556</v>
      </c>
      <c r="J21" s="3">
        <v>548</v>
      </c>
      <c r="K21" s="3">
        <v>544</v>
      </c>
      <c r="L21" s="3">
        <v>541</v>
      </c>
      <c r="M21" s="3">
        <v>537</v>
      </c>
      <c r="N21" s="3">
        <v>532</v>
      </c>
      <c r="O21" s="3">
        <v>521</v>
      </c>
      <c r="P21" s="3">
        <v>519</v>
      </c>
      <c r="X21" s="3">
        <f>AVERAGE(H21:K21)</f>
        <v>558.75</v>
      </c>
      <c r="Y21" s="3">
        <f>AVERAGE(L21:O21)</f>
        <v>532.75</v>
      </c>
    </row>
    <row r="23" spans="1:25" s="43" customFormat="1" x14ac:dyDescent="0.3">
      <c r="A23" s="42" t="s">
        <v>65</v>
      </c>
      <c r="H23" s="41"/>
      <c r="I23" s="41"/>
      <c r="J23" s="41"/>
      <c r="K23" s="41"/>
      <c r="L23" s="41">
        <f t="shared" ref="L23:N23" si="14">L3/H3-1</f>
        <v>1.0873942811115533E-2</v>
      </c>
      <c r="M23" s="41">
        <f t="shared" si="14"/>
        <v>4.872006606110646E-2</v>
      </c>
      <c r="N23" s="41">
        <f t="shared" si="14"/>
        <v>5.0420168067226934E-2</v>
      </c>
      <c r="O23" s="41">
        <f>O3/K3-1</f>
        <v>2.0717131474103478E-2</v>
      </c>
      <c r="P23" s="41">
        <f>P3/L3-1</f>
        <v>1.8326693227091573E-2</v>
      </c>
      <c r="Y23" s="41">
        <f>Y3/X3-1</f>
        <v>3.2363450740173549E-2</v>
      </c>
    </row>
    <row r="24" spans="1:25" s="45" customFormat="1" x14ac:dyDescent="0.3">
      <c r="A24" s="44" t="s">
        <v>66</v>
      </c>
      <c r="H24" s="46"/>
      <c r="I24" s="46">
        <f t="shared" ref="I24:O24" si="15">I3/H3-1</f>
        <v>-2.4567055980668551E-2</v>
      </c>
      <c r="J24" s="46">
        <f t="shared" si="15"/>
        <v>-1.7341040462427793E-2</v>
      </c>
      <c r="K24" s="46">
        <f t="shared" si="15"/>
        <v>5.4621848739495826E-2</v>
      </c>
      <c r="L24" s="46">
        <f t="shared" si="15"/>
        <v>0</v>
      </c>
      <c r="M24" s="46">
        <f t="shared" si="15"/>
        <v>1.195219123505975E-2</v>
      </c>
      <c r="N24" s="46">
        <f t="shared" si="15"/>
        <v>-1.5748031496062964E-2</v>
      </c>
      <c r="O24" s="46">
        <f t="shared" si="15"/>
        <v>2.4799999999999933E-2</v>
      </c>
      <c r="P24" s="46">
        <f>P3/O3-1</f>
        <v>-2.3419203747072626E-3</v>
      </c>
    </row>
    <row r="25" spans="1:25" s="3" customFormat="1" x14ac:dyDescent="0.3">
      <c r="A25" s="6"/>
    </row>
    <row r="26" spans="1:25" s="43" customFormat="1" x14ac:dyDescent="0.3">
      <c r="A26" s="42" t="s">
        <v>67</v>
      </c>
      <c r="C26" s="41"/>
      <c r="D26" s="41"/>
      <c r="E26" s="41"/>
      <c r="F26" s="41"/>
      <c r="G26" s="41"/>
      <c r="H26" s="41">
        <f t="shared" ref="H26:P26" si="16">H5/H3</f>
        <v>0.72251308900523559</v>
      </c>
      <c r="I26" s="41">
        <f t="shared" si="16"/>
        <v>0.72625928984310484</v>
      </c>
      <c r="J26" s="41">
        <f t="shared" si="16"/>
        <v>0.72815126050420165</v>
      </c>
      <c r="K26" s="41">
        <f t="shared" si="16"/>
        <v>0.72868525896414338</v>
      </c>
      <c r="L26" s="41">
        <f t="shared" si="16"/>
        <v>0.7211155378486056</v>
      </c>
      <c r="M26" s="41">
        <f t="shared" si="16"/>
        <v>0.71732283464566926</v>
      </c>
      <c r="N26" s="41">
        <f t="shared" si="16"/>
        <v>0.71799999999999997</v>
      </c>
      <c r="O26" s="41">
        <f t="shared" si="16"/>
        <v>0.72287275565964093</v>
      </c>
      <c r="P26" s="41">
        <f t="shared" si="16"/>
        <v>0.72613458528951491</v>
      </c>
      <c r="X26" s="41">
        <f>X5/X3</f>
        <v>0.72639101582440024</v>
      </c>
      <c r="Y26" s="41">
        <f>Y5/Y3</f>
        <v>0.71983781645569622</v>
      </c>
    </row>
    <row r="27" spans="1:25" s="36" customFormat="1" x14ac:dyDescent="0.3">
      <c r="A27" s="35" t="s">
        <v>68</v>
      </c>
      <c r="C27" s="47"/>
      <c r="D27" s="47"/>
      <c r="E27" s="47"/>
      <c r="F27" s="47"/>
      <c r="G27" s="47"/>
      <c r="H27" s="47">
        <f t="shared" ref="H27:P27" si="17">H11/H5</f>
        <v>0.38628762541806022</v>
      </c>
      <c r="I27" s="47">
        <f t="shared" si="17"/>
        <v>0.29903354178510516</v>
      </c>
      <c r="J27" s="47">
        <f t="shared" si="17"/>
        <v>0.32833237160992501</v>
      </c>
      <c r="K27" s="47">
        <f t="shared" si="17"/>
        <v>0.30945872061235646</v>
      </c>
      <c r="L27" s="47">
        <f t="shared" si="17"/>
        <v>0.31270718232044198</v>
      </c>
      <c r="M27" s="47">
        <f t="shared" si="17"/>
        <v>0.28704720087815588</v>
      </c>
      <c r="N27" s="47">
        <f t="shared" si="17"/>
        <v>0.25571030640668524</v>
      </c>
      <c r="O27" s="47">
        <f t="shared" si="17"/>
        <v>0.22354211663066956</v>
      </c>
      <c r="P27" s="47">
        <f t="shared" si="17"/>
        <v>0.34213362068965519</v>
      </c>
      <c r="X27" s="47">
        <f>X11/X5</f>
        <v>0.3308503162333099</v>
      </c>
      <c r="Y27" s="47">
        <f>Y11/Y5</f>
        <v>0.26954251957686498</v>
      </c>
    </row>
    <row r="28" spans="1:25" s="36" customFormat="1" x14ac:dyDescent="0.3">
      <c r="A28" s="35" t="s">
        <v>69</v>
      </c>
      <c r="C28" s="47"/>
      <c r="D28" s="47"/>
      <c r="E28" s="47"/>
      <c r="F28" s="47"/>
      <c r="G28" s="47"/>
      <c r="H28" s="47">
        <f t="shared" ref="H28:P28" si="18">H19/H3</f>
        <v>-0.53805879983890459</v>
      </c>
      <c r="I28" s="47">
        <f t="shared" si="18"/>
        <v>-0.21882741535920727</v>
      </c>
      <c r="J28" s="47">
        <f t="shared" si="18"/>
        <v>-2.8571428571428571E-2</v>
      </c>
      <c r="K28" s="47">
        <f t="shared" si="18"/>
        <v>0.26812749003984065</v>
      </c>
      <c r="L28" s="47">
        <f t="shared" si="18"/>
        <v>0.22908366533864541</v>
      </c>
      <c r="M28" s="47">
        <f t="shared" si="18"/>
        <v>6.9291338582677164E-2</v>
      </c>
      <c r="N28" s="47">
        <f t="shared" si="18"/>
        <v>0.52359999999999995</v>
      </c>
      <c r="O28" s="47">
        <f t="shared" si="18"/>
        <v>0.28415300546448086</v>
      </c>
      <c r="P28" s="47">
        <f t="shared" si="18"/>
        <v>0.1729264475743349</v>
      </c>
      <c r="X28" s="47">
        <f>X19/X3</f>
        <v>-0.12873915262889229</v>
      </c>
      <c r="Y28" s="47">
        <f>Y19/Y3</f>
        <v>0.27571202531645572</v>
      </c>
    </row>
    <row r="29" spans="1:25" s="45" customFormat="1" x14ac:dyDescent="0.3">
      <c r="A29" s="44" t="s">
        <v>70</v>
      </c>
      <c r="C29" s="46"/>
      <c r="D29" s="46"/>
      <c r="E29" s="46"/>
      <c r="F29" s="46"/>
      <c r="G29" s="46"/>
      <c r="H29" s="46">
        <f t="shared" ref="H29:P29" si="19">H16/H3</f>
        <v>0.12484897301651228</v>
      </c>
      <c r="I29" s="46">
        <f t="shared" si="19"/>
        <v>7.8860445912469032E-2</v>
      </c>
      <c r="J29" s="46">
        <f t="shared" si="19"/>
        <v>6.7226890756302525E-3</v>
      </c>
      <c r="K29" s="46">
        <f t="shared" si="19"/>
        <v>6.2948207171314746E-2</v>
      </c>
      <c r="L29" s="46">
        <f t="shared" si="19"/>
        <v>6.4143426294820713E-2</v>
      </c>
      <c r="M29" s="46">
        <f t="shared" si="19"/>
        <v>4.4488188976377956E-2</v>
      </c>
      <c r="N29" s="46">
        <f t="shared" si="19"/>
        <v>0.14199999999999999</v>
      </c>
      <c r="O29" s="46">
        <f t="shared" si="19"/>
        <v>0.11826697892271663</v>
      </c>
      <c r="P29" s="46">
        <f t="shared" si="19"/>
        <v>3.7949921752738654E-2</v>
      </c>
      <c r="X29" s="46">
        <f>X16/X3</f>
        <v>6.8912710566615618E-2</v>
      </c>
      <c r="Y29" s="46">
        <f>Y16/Y3</f>
        <v>9.2167721518987347E-2</v>
      </c>
    </row>
    <row r="30" spans="1:25" s="36" customFormat="1" x14ac:dyDescent="0.3">
      <c r="A30" s="35"/>
      <c r="X30" s="47"/>
      <c r="Y30" s="47"/>
    </row>
    <row r="31" spans="1:25" s="36" customFormat="1" x14ac:dyDescent="0.3">
      <c r="A31" s="35"/>
      <c r="X31" s="47"/>
      <c r="Y31" s="47"/>
    </row>
    <row r="32" spans="1:25" s="43" customFormat="1" x14ac:dyDescent="0.3">
      <c r="A32" s="42" t="s">
        <v>101</v>
      </c>
      <c r="K32" s="41">
        <f t="shared" ref="K32:O32" si="20">SUM(H11:K11)/K69</f>
        <v>0.14199541561105078</v>
      </c>
      <c r="L32" s="41">
        <f t="shared" si="20"/>
        <v>0.13257530658411715</v>
      </c>
      <c r="M32" s="41">
        <f t="shared" si="20"/>
        <v>0.13560148771416378</v>
      </c>
      <c r="N32" s="41">
        <f t="shared" si="20"/>
        <v>0.12888672113156932</v>
      </c>
      <c r="O32" s="41">
        <f t="shared" si="20"/>
        <v>0.11473684210526315</v>
      </c>
      <c r="P32" s="41">
        <f>SUM(M11:P11)/P69</f>
        <v>0.12548656163113994</v>
      </c>
      <c r="X32" s="41">
        <f>(X11)/(X69)</f>
        <v>0.14199541561105078</v>
      </c>
      <c r="Y32" s="41">
        <f>(Y11)/(Y69)</f>
        <v>0.11473684210526315</v>
      </c>
    </row>
    <row r="33" spans="1:25" s="36" customFormat="1" x14ac:dyDescent="0.3">
      <c r="A33" s="35" t="s">
        <v>100</v>
      </c>
      <c r="K33" s="47">
        <f t="shared" ref="K33:P33" si="21">SUM(H19:K19)/AVERAGE(H68:K68)</f>
        <v>-0.13048427152317882</v>
      </c>
      <c r="L33" s="47">
        <f t="shared" si="21"/>
        <v>6.7839064864582785E-2</v>
      </c>
      <c r="M33" s="47">
        <f t="shared" si="21"/>
        <v>0.14500605974192626</v>
      </c>
      <c r="N33" s="47">
        <f t="shared" si="21"/>
        <v>0.29279267214827115</v>
      </c>
      <c r="O33" s="47">
        <f t="shared" si="21"/>
        <v>0.29629629629629628</v>
      </c>
      <c r="P33" s="47">
        <f t="shared" si="21"/>
        <v>0.27494433801066637</v>
      </c>
      <c r="X33" s="47">
        <f>(X19)/(X68)</f>
        <v>-0.13048427152317882</v>
      </c>
      <c r="Y33" s="47">
        <f>(Y19)/(Y68)</f>
        <v>0.27977922729553439</v>
      </c>
    </row>
    <row r="34" spans="1:25" s="45" customFormat="1" x14ac:dyDescent="0.3">
      <c r="A34" s="44" t="s">
        <v>96</v>
      </c>
      <c r="K34" s="46">
        <f t="shared" ref="K34:O34" si="22">SUM(H19:K19)/AVERAGE(J52:K52)</f>
        <v>-0.12095923261390887</v>
      </c>
      <c r="L34" s="46">
        <f t="shared" si="22"/>
        <v>3.1820629558917117E-2</v>
      </c>
      <c r="M34" s="46">
        <f t="shared" si="22"/>
        <v>6.7867867867867873E-2</v>
      </c>
      <c r="N34" s="46">
        <f t="shared" si="22"/>
        <v>0.13286339329120078</v>
      </c>
      <c r="O34" s="46">
        <f t="shared" si="22"/>
        <v>0.13026819923371646</v>
      </c>
      <c r="P34" s="46">
        <f>SUM(M19:P19)/AVERAGE(O52:P52)</f>
        <v>0.12337933918862401</v>
      </c>
      <c r="X34" s="46">
        <f>(X19)/(X52)</f>
        <v>-6.0479616306954434E-2</v>
      </c>
      <c r="Y34" s="46">
        <f>(Y19)/(Y52)</f>
        <v>0.12895467160037002</v>
      </c>
    </row>
    <row r="35" spans="1:25" s="36" customFormat="1" x14ac:dyDescent="0.3">
      <c r="A35" s="35"/>
      <c r="X35" s="47"/>
      <c r="Y35" s="47"/>
    </row>
    <row r="37" spans="1:25" s="38" customFormat="1" x14ac:dyDescent="0.3">
      <c r="A37" s="37" t="s">
        <v>71</v>
      </c>
      <c r="K37" s="38">
        <f t="shared" ref="K37:O37" si="23">K38-K39</f>
        <v>-4511</v>
      </c>
      <c r="L37" s="38">
        <f t="shared" si="23"/>
        <v>-4112</v>
      </c>
      <c r="M37" s="38">
        <f t="shared" si="23"/>
        <v>-3623</v>
      </c>
      <c r="N37" s="38">
        <f t="shared" si="23"/>
        <v>-3384</v>
      </c>
      <c r="O37" s="38">
        <f t="shared" si="23"/>
        <v>-3569</v>
      </c>
      <c r="P37" s="38">
        <f>P38-P39</f>
        <v>-4214</v>
      </c>
      <c r="X37" s="38">
        <f>X38-X39</f>
        <v>-4511</v>
      </c>
      <c r="Y37" s="38">
        <f>Y38-Y39</f>
        <v>-3569</v>
      </c>
    </row>
    <row r="38" spans="1:25" s="36" customFormat="1" x14ac:dyDescent="0.3">
      <c r="A38" s="35" t="s">
        <v>3</v>
      </c>
      <c r="K38" s="36">
        <f t="shared" ref="K38:O38" si="24">K40+K41</f>
        <v>4779</v>
      </c>
      <c r="L38" s="36">
        <f t="shared" si="24"/>
        <v>4004</v>
      </c>
      <c r="M38" s="36">
        <f t="shared" si="24"/>
        <v>4476</v>
      </c>
      <c r="N38" s="36">
        <f t="shared" si="24"/>
        <v>4694</v>
      </c>
      <c r="O38" s="36">
        <f t="shared" si="24"/>
        <v>4541</v>
      </c>
      <c r="P38" s="36">
        <f>P40+P41</f>
        <v>3873</v>
      </c>
      <c r="X38" s="36">
        <f>X40+X41</f>
        <v>4779</v>
      </c>
      <c r="Y38" s="36">
        <f>Y40+Y41</f>
        <v>4541</v>
      </c>
    </row>
    <row r="39" spans="1:25" s="40" customFormat="1" ht="15" thickBot="1" x14ac:dyDescent="0.35">
      <c r="A39" s="39" t="s">
        <v>4</v>
      </c>
      <c r="K39" s="40">
        <f t="shared" ref="K39:O39" si="25">K61+K59+K53</f>
        <v>9290</v>
      </c>
      <c r="L39" s="40">
        <f t="shared" si="25"/>
        <v>8116</v>
      </c>
      <c r="M39" s="40">
        <f t="shared" si="25"/>
        <v>8099</v>
      </c>
      <c r="N39" s="40">
        <f t="shared" si="25"/>
        <v>8078</v>
      </c>
      <c r="O39" s="40">
        <f t="shared" si="25"/>
        <v>8110</v>
      </c>
      <c r="P39" s="40">
        <f>P61+P59+P53</f>
        <v>8087</v>
      </c>
      <c r="X39" s="40">
        <f>X61+X59+X53</f>
        <v>9290</v>
      </c>
      <c r="Y39" s="40">
        <f>Y61+Y59+Y53</f>
        <v>8110</v>
      </c>
    </row>
    <row r="40" spans="1:25" s="3" customFormat="1" x14ac:dyDescent="0.3">
      <c r="A40" s="6" t="s">
        <v>3</v>
      </c>
      <c r="K40" s="3">
        <v>2154</v>
      </c>
      <c r="L40" s="3">
        <v>2082</v>
      </c>
      <c r="M40" s="3">
        <v>2268</v>
      </c>
      <c r="N40" s="3">
        <v>2550</v>
      </c>
      <c r="O40" s="3">
        <v>1985</v>
      </c>
      <c r="P40" s="3">
        <v>2130</v>
      </c>
      <c r="X40" s="3">
        <f>K40</f>
        <v>2154</v>
      </c>
      <c r="Y40" s="3">
        <f>O40</f>
        <v>1985</v>
      </c>
    </row>
    <row r="41" spans="1:25" s="3" customFormat="1" x14ac:dyDescent="0.3">
      <c r="A41" s="6" t="s">
        <v>72</v>
      </c>
      <c r="K41" s="3">
        <v>2625</v>
      </c>
      <c r="L41" s="3">
        <v>1922</v>
      </c>
      <c r="M41" s="3">
        <v>2208</v>
      </c>
      <c r="N41" s="3">
        <v>2144</v>
      </c>
      <c r="O41" s="3">
        <v>2556</v>
      </c>
      <c r="P41" s="3">
        <v>1743</v>
      </c>
      <c r="X41" s="3">
        <f t="shared" ref="X41:X44" si="26">K41</f>
        <v>2625</v>
      </c>
      <c r="Y41" s="3">
        <f t="shared" ref="Y41:Y44" si="27">O41</f>
        <v>2556</v>
      </c>
    </row>
    <row r="42" spans="1:25" s="3" customFormat="1" x14ac:dyDescent="0.3">
      <c r="A42" s="6" t="s">
        <v>73</v>
      </c>
      <c r="K42" s="3">
        <v>2692</v>
      </c>
      <c r="L42" s="3">
        <v>2866</v>
      </c>
      <c r="M42" s="3">
        <v>2656</v>
      </c>
      <c r="N42" s="3">
        <v>4023</v>
      </c>
      <c r="O42" s="3">
        <v>4474</v>
      </c>
      <c r="P42" s="3">
        <v>4240</v>
      </c>
      <c r="X42" s="3">
        <f t="shared" si="26"/>
        <v>2692</v>
      </c>
      <c r="Y42" s="3">
        <f t="shared" si="27"/>
        <v>4474</v>
      </c>
    </row>
    <row r="43" spans="1:25" s="3" customFormat="1" x14ac:dyDescent="0.3">
      <c r="A43" s="6" t="s">
        <v>74</v>
      </c>
      <c r="K43" s="3">
        <v>763</v>
      </c>
      <c r="L43" s="3">
        <v>779</v>
      </c>
      <c r="M43" s="3">
        <v>789</v>
      </c>
      <c r="N43" s="3">
        <v>908</v>
      </c>
      <c r="O43" s="3">
        <v>1013</v>
      </c>
      <c r="P43" s="3">
        <v>1108</v>
      </c>
      <c r="X43" s="3">
        <f t="shared" si="26"/>
        <v>763</v>
      </c>
      <c r="Y43" s="3">
        <f t="shared" si="27"/>
        <v>1013</v>
      </c>
    </row>
    <row r="44" spans="1:25" s="3" customFormat="1" x14ac:dyDescent="0.3">
      <c r="A44" s="6" t="s">
        <v>75</v>
      </c>
      <c r="K44" s="3">
        <v>1056</v>
      </c>
      <c r="L44" s="3">
        <v>949</v>
      </c>
      <c r="M44" s="3">
        <v>796</v>
      </c>
      <c r="N44" s="3">
        <v>689</v>
      </c>
      <c r="O44" s="3">
        <v>988</v>
      </c>
      <c r="P44" s="3">
        <v>1185</v>
      </c>
      <c r="X44" s="3">
        <f t="shared" si="26"/>
        <v>1056</v>
      </c>
      <c r="Y44" s="3">
        <f t="shared" si="27"/>
        <v>988</v>
      </c>
    </row>
    <row r="45" spans="1:25" s="30" customFormat="1" x14ac:dyDescent="0.3">
      <c r="A45" s="29" t="s">
        <v>76</v>
      </c>
      <c r="H45" s="30">
        <f t="shared" ref="H45:N45" si="28">SUM(H40:H44)</f>
        <v>0</v>
      </c>
      <c r="I45" s="30">
        <f t="shared" si="28"/>
        <v>0</v>
      </c>
      <c r="J45" s="30">
        <f t="shared" si="28"/>
        <v>0</v>
      </c>
      <c r="K45" s="30">
        <f t="shared" si="28"/>
        <v>9290</v>
      </c>
      <c r="L45" s="30">
        <f t="shared" si="28"/>
        <v>8598</v>
      </c>
      <c r="M45" s="30">
        <f t="shared" si="28"/>
        <v>8717</v>
      </c>
      <c r="N45" s="30">
        <f t="shared" si="28"/>
        <v>10314</v>
      </c>
      <c r="O45" s="30">
        <f>SUM(O40:O44)</f>
        <v>11016</v>
      </c>
      <c r="P45" s="30">
        <f>SUM(P40:P44)</f>
        <v>10406</v>
      </c>
      <c r="Q45" s="30">
        <f t="shared" ref="Q45:S45" si="29">SUM(Q40:Q44)</f>
        <v>0</v>
      </c>
      <c r="R45" s="30">
        <f t="shared" si="29"/>
        <v>0</v>
      </c>
      <c r="S45" s="30">
        <f t="shared" si="29"/>
        <v>0</v>
      </c>
      <c r="X45" s="30">
        <f>SUM(X40:X44)</f>
        <v>9290</v>
      </c>
      <c r="Y45" s="30">
        <f>SUM(Y40:Y44)</f>
        <v>11016</v>
      </c>
    </row>
    <row r="46" spans="1:25" s="3" customFormat="1" x14ac:dyDescent="0.3">
      <c r="A46" s="6" t="s">
        <v>77</v>
      </c>
      <c r="K46" s="3">
        <v>1797</v>
      </c>
      <c r="L46" s="3">
        <v>1657</v>
      </c>
      <c r="M46" s="3">
        <v>1499</v>
      </c>
      <c r="N46" s="3">
        <v>1352</v>
      </c>
      <c r="O46" s="3">
        <v>1133</v>
      </c>
      <c r="P46" s="3">
        <v>1546</v>
      </c>
      <c r="X46" s="3">
        <f t="shared" ref="X46:X51" si="30">K46</f>
        <v>1797</v>
      </c>
      <c r="Y46" s="3">
        <f t="shared" ref="Y46:Y51" si="31">O46</f>
        <v>1133</v>
      </c>
    </row>
    <row r="47" spans="1:25" s="3" customFormat="1" x14ac:dyDescent="0.3">
      <c r="A47" s="6" t="s">
        <v>78</v>
      </c>
      <c r="K47" s="3">
        <v>1238</v>
      </c>
      <c r="L47" s="3">
        <v>1235</v>
      </c>
      <c r="M47" s="3">
        <v>1227</v>
      </c>
      <c r="N47" s="3">
        <v>1201</v>
      </c>
      <c r="O47" s="3">
        <v>1243</v>
      </c>
      <c r="P47" s="3">
        <v>1281</v>
      </c>
      <c r="X47" s="3">
        <f t="shared" si="30"/>
        <v>1238</v>
      </c>
      <c r="Y47" s="3">
        <f t="shared" si="31"/>
        <v>1243</v>
      </c>
    </row>
    <row r="48" spans="1:25" s="3" customFormat="1" x14ac:dyDescent="0.3">
      <c r="A48" s="6" t="s">
        <v>79</v>
      </c>
      <c r="K48" s="3">
        <v>4262</v>
      </c>
      <c r="L48" s="3">
        <v>4287</v>
      </c>
      <c r="M48" s="3">
        <v>4244</v>
      </c>
      <c r="N48" s="3">
        <v>4238</v>
      </c>
      <c r="O48" s="3">
        <v>4267</v>
      </c>
      <c r="P48" s="3">
        <v>4235</v>
      </c>
      <c r="X48" s="3">
        <f t="shared" si="30"/>
        <v>4262</v>
      </c>
      <c r="Y48" s="3">
        <f t="shared" si="31"/>
        <v>4267</v>
      </c>
    </row>
    <row r="49" spans="1:25" s="3" customFormat="1" x14ac:dyDescent="0.3">
      <c r="A49" s="6" t="s">
        <v>80</v>
      </c>
      <c r="K49" s="3">
        <v>513</v>
      </c>
      <c r="L49" s="3">
        <v>486</v>
      </c>
      <c r="M49" s="3">
        <v>470</v>
      </c>
      <c r="N49" s="3">
        <v>446</v>
      </c>
      <c r="O49" s="3">
        <v>493</v>
      </c>
      <c r="P49" s="3">
        <v>469</v>
      </c>
      <c r="X49" s="3">
        <f t="shared" si="30"/>
        <v>513</v>
      </c>
      <c r="Y49" s="3">
        <f t="shared" si="31"/>
        <v>493</v>
      </c>
    </row>
    <row r="50" spans="1:25" s="3" customFormat="1" x14ac:dyDescent="0.3">
      <c r="A50" s="6" t="s">
        <v>81</v>
      </c>
      <c r="K50" s="3">
        <v>3169</v>
      </c>
      <c r="L50" s="3">
        <v>3111</v>
      </c>
      <c r="M50" s="3">
        <v>3143</v>
      </c>
      <c r="N50" s="3">
        <v>3086</v>
      </c>
      <c r="O50" s="3">
        <v>3089</v>
      </c>
      <c r="P50" s="3">
        <v>3052</v>
      </c>
      <c r="X50" s="3">
        <f t="shared" si="30"/>
        <v>3169</v>
      </c>
      <c r="Y50" s="3">
        <f t="shared" si="31"/>
        <v>3089</v>
      </c>
    </row>
    <row r="51" spans="1:25" s="3" customFormat="1" x14ac:dyDescent="0.3">
      <c r="A51" s="6" t="s">
        <v>82</v>
      </c>
      <c r="K51" s="3">
        <v>581</v>
      </c>
      <c r="L51" s="3">
        <v>630</v>
      </c>
      <c r="M51" s="3">
        <v>656</v>
      </c>
      <c r="N51" s="3">
        <v>547</v>
      </c>
      <c r="O51" s="3">
        <v>379</v>
      </c>
      <c r="P51" s="3">
        <v>429</v>
      </c>
      <c r="X51" s="3">
        <f t="shared" si="30"/>
        <v>581</v>
      </c>
      <c r="Y51" s="3">
        <f t="shared" si="31"/>
        <v>379</v>
      </c>
    </row>
    <row r="52" spans="1:25" s="30" customFormat="1" x14ac:dyDescent="0.3">
      <c r="A52" s="29" t="s">
        <v>83</v>
      </c>
      <c r="H52" s="30">
        <f t="shared" ref="H52:N52" si="32">SUM(H46:H51)+H45</f>
        <v>0</v>
      </c>
      <c r="I52" s="30">
        <f t="shared" si="32"/>
        <v>0</v>
      </c>
      <c r="J52" s="30">
        <f t="shared" si="32"/>
        <v>0</v>
      </c>
      <c r="K52" s="30">
        <f t="shared" si="32"/>
        <v>20850</v>
      </c>
      <c r="L52" s="30">
        <f t="shared" si="32"/>
        <v>20004</v>
      </c>
      <c r="M52" s="30">
        <f t="shared" si="32"/>
        <v>19956</v>
      </c>
      <c r="N52" s="30">
        <f t="shared" si="32"/>
        <v>21184</v>
      </c>
      <c r="O52" s="30">
        <f>SUM(O46:O51)+O45</f>
        <v>21620</v>
      </c>
      <c r="P52" s="30">
        <f t="shared" ref="P52:S52" si="33">SUM(P46:P51)+P45</f>
        <v>21418</v>
      </c>
      <c r="Q52" s="30">
        <f t="shared" si="33"/>
        <v>0</v>
      </c>
      <c r="R52" s="30">
        <f t="shared" si="33"/>
        <v>0</v>
      </c>
      <c r="S52" s="30">
        <f t="shared" si="33"/>
        <v>0</v>
      </c>
      <c r="X52" s="30">
        <f t="shared" ref="X52" si="34">SUM(X46:X51)+X45</f>
        <v>20850</v>
      </c>
      <c r="Y52" s="30">
        <f t="shared" ref="Y52" si="35">SUM(Y46:Y51)+Y45</f>
        <v>21620</v>
      </c>
    </row>
    <row r="53" spans="1:25" s="3" customFormat="1" x14ac:dyDescent="0.3">
      <c r="A53" s="6" t="s">
        <v>84</v>
      </c>
      <c r="K53" s="3">
        <v>1151</v>
      </c>
      <c r="L53" s="3">
        <v>0</v>
      </c>
      <c r="M53" s="3">
        <v>0</v>
      </c>
      <c r="N53" s="3">
        <v>750</v>
      </c>
      <c r="O53" s="3">
        <v>750</v>
      </c>
      <c r="P53" s="3">
        <v>1551</v>
      </c>
      <c r="X53" s="3">
        <f t="shared" ref="X53:X57" si="36">K53</f>
        <v>1151</v>
      </c>
      <c r="Y53" s="3">
        <f t="shared" ref="Y53:Y57" si="37">O53</f>
        <v>750</v>
      </c>
    </row>
    <row r="54" spans="1:25" s="3" customFormat="1" x14ac:dyDescent="0.3">
      <c r="A54" s="6" t="s">
        <v>85</v>
      </c>
      <c r="K54" s="3">
        <v>261</v>
      </c>
      <c r="L54" s="3">
        <v>280</v>
      </c>
      <c r="M54" s="3">
        <v>294</v>
      </c>
      <c r="N54" s="3">
        <v>303</v>
      </c>
      <c r="O54" s="3">
        <v>267</v>
      </c>
      <c r="P54" s="3">
        <v>300</v>
      </c>
      <c r="X54" s="3">
        <f t="shared" si="36"/>
        <v>261</v>
      </c>
      <c r="Y54" s="3">
        <f t="shared" si="37"/>
        <v>267</v>
      </c>
    </row>
    <row r="55" spans="1:25" s="3" customFormat="1" x14ac:dyDescent="0.3">
      <c r="A55" s="6" t="s">
        <v>86</v>
      </c>
      <c r="K55" s="3">
        <v>768</v>
      </c>
      <c r="L55" s="3">
        <v>792</v>
      </c>
      <c r="M55" s="3">
        <v>833</v>
      </c>
      <c r="N55" s="3">
        <v>986</v>
      </c>
      <c r="O55" s="3">
        <v>1054</v>
      </c>
      <c r="P55" s="3">
        <v>1145</v>
      </c>
      <c r="X55" s="3">
        <f t="shared" si="36"/>
        <v>768</v>
      </c>
      <c r="Y55" s="3">
        <f t="shared" si="37"/>
        <v>1054</v>
      </c>
    </row>
    <row r="56" spans="1:25" s="3" customFormat="1" x14ac:dyDescent="0.3">
      <c r="A56" s="6" t="s">
        <v>87</v>
      </c>
      <c r="K56" s="3">
        <v>1866</v>
      </c>
      <c r="L56" s="3">
        <v>1829</v>
      </c>
      <c r="M56" s="3">
        <v>1790</v>
      </c>
      <c r="N56" s="3">
        <v>1967</v>
      </c>
      <c r="O56" s="3">
        <v>2196</v>
      </c>
      <c r="P56" s="3">
        <v>1929</v>
      </c>
      <c r="X56" s="3">
        <f t="shared" si="36"/>
        <v>1866</v>
      </c>
      <c r="Y56" s="3">
        <f t="shared" si="37"/>
        <v>2196</v>
      </c>
    </row>
    <row r="57" spans="1:25" s="3" customFormat="1" x14ac:dyDescent="0.3">
      <c r="A57" s="6" t="s">
        <v>88</v>
      </c>
      <c r="K57" s="3">
        <v>226</v>
      </c>
      <c r="L57" s="3">
        <v>305</v>
      </c>
      <c r="M57" s="3">
        <v>638</v>
      </c>
      <c r="N57" s="3">
        <v>776</v>
      </c>
      <c r="O57" s="3">
        <v>253</v>
      </c>
      <c r="P57" s="3">
        <v>308</v>
      </c>
      <c r="X57" s="3">
        <f t="shared" si="36"/>
        <v>226</v>
      </c>
      <c r="Y57" s="3">
        <f t="shared" si="37"/>
        <v>253</v>
      </c>
    </row>
    <row r="58" spans="1:25" s="30" customFormat="1" x14ac:dyDescent="0.3">
      <c r="A58" s="29" t="s">
        <v>89</v>
      </c>
      <c r="H58" s="30">
        <f t="shared" ref="H58:N58" si="38">SUM(H53:H57)</f>
        <v>0</v>
      </c>
      <c r="I58" s="30">
        <f t="shared" si="38"/>
        <v>0</v>
      </c>
      <c r="J58" s="30">
        <f t="shared" si="38"/>
        <v>0</v>
      </c>
      <c r="K58" s="30">
        <f t="shared" si="38"/>
        <v>4272</v>
      </c>
      <c r="L58" s="30">
        <f t="shared" si="38"/>
        <v>3206</v>
      </c>
      <c r="M58" s="30">
        <f t="shared" si="38"/>
        <v>3555</v>
      </c>
      <c r="N58" s="30">
        <f t="shared" si="38"/>
        <v>4782</v>
      </c>
      <c r="O58" s="30">
        <f>SUM(O53:O57)</f>
        <v>4520</v>
      </c>
      <c r="P58" s="30">
        <f t="shared" ref="P58:S58" si="39">SUM(P53:P57)</f>
        <v>5233</v>
      </c>
      <c r="Q58" s="30">
        <f t="shared" si="39"/>
        <v>0</v>
      </c>
      <c r="R58" s="30">
        <f t="shared" si="39"/>
        <v>0</v>
      </c>
      <c r="S58" s="30">
        <f t="shared" si="39"/>
        <v>0</v>
      </c>
      <c r="X58" s="30">
        <f t="shared" ref="X58" si="40">SUM(X53:X57)</f>
        <v>4272</v>
      </c>
      <c r="Y58" s="30">
        <f>SUM(Y53:Y57)</f>
        <v>4520</v>
      </c>
    </row>
    <row r="59" spans="1:25" s="3" customFormat="1" x14ac:dyDescent="0.3">
      <c r="A59" s="6" t="s">
        <v>90</v>
      </c>
      <c r="K59" s="3">
        <v>418</v>
      </c>
      <c r="L59" s="3">
        <v>395</v>
      </c>
      <c r="M59" s="3">
        <v>378</v>
      </c>
      <c r="N59" s="3">
        <v>355</v>
      </c>
      <c r="O59" s="3">
        <v>387</v>
      </c>
      <c r="P59" s="3">
        <v>362</v>
      </c>
      <c r="X59" s="3">
        <f t="shared" ref="X59:X62" si="41">K59</f>
        <v>418</v>
      </c>
      <c r="Y59" s="3">
        <f t="shared" ref="Y59:Y62" si="42">O59</f>
        <v>387</v>
      </c>
    </row>
    <row r="60" spans="1:25" s="3" customFormat="1" x14ac:dyDescent="0.3">
      <c r="A60" s="6" t="s">
        <v>81</v>
      </c>
      <c r="K60" s="3">
        <v>2245</v>
      </c>
      <c r="L60" s="3">
        <v>2226</v>
      </c>
      <c r="M60" s="3">
        <v>2137</v>
      </c>
      <c r="N60" s="3">
        <v>2264</v>
      </c>
      <c r="O60" s="3">
        <v>2408</v>
      </c>
      <c r="P60" s="3">
        <v>2417</v>
      </c>
      <c r="X60" s="3">
        <f t="shared" si="41"/>
        <v>2245</v>
      </c>
      <c r="Y60" s="3">
        <f t="shared" si="42"/>
        <v>2408</v>
      </c>
    </row>
    <row r="61" spans="1:25" s="3" customFormat="1" x14ac:dyDescent="0.3">
      <c r="A61" s="6" t="s">
        <v>91</v>
      </c>
      <c r="K61" s="3">
        <v>7721</v>
      </c>
      <c r="L61" s="3">
        <v>7721</v>
      </c>
      <c r="M61" s="3">
        <v>7721</v>
      </c>
      <c r="N61" s="3">
        <v>6973</v>
      </c>
      <c r="O61" s="3">
        <v>6973</v>
      </c>
      <c r="P61" s="3">
        <v>6174</v>
      </c>
      <c r="X61" s="3">
        <f t="shared" si="41"/>
        <v>7721</v>
      </c>
      <c r="Y61" s="3">
        <f t="shared" si="42"/>
        <v>6973</v>
      </c>
    </row>
    <row r="62" spans="1:25" s="3" customFormat="1" x14ac:dyDescent="0.3">
      <c r="A62" s="6" t="s">
        <v>92</v>
      </c>
      <c r="K62" s="3">
        <v>1042</v>
      </c>
      <c r="L62" s="3">
        <v>1069</v>
      </c>
      <c r="M62" s="3">
        <v>897</v>
      </c>
      <c r="N62" s="3">
        <v>911</v>
      </c>
      <c r="O62" s="3">
        <v>936</v>
      </c>
      <c r="P62" s="3">
        <v>659</v>
      </c>
      <c r="X62" s="3">
        <f t="shared" si="41"/>
        <v>1042</v>
      </c>
      <c r="Y62" s="3">
        <f t="shared" si="42"/>
        <v>936</v>
      </c>
    </row>
    <row r="63" spans="1:25" s="30" customFormat="1" x14ac:dyDescent="0.3">
      <c r="A63" s="29" t="s">
        <v>93</v>
      </c>
      <c r="H63" s="30">
        <f t="shared" ref="H63:N63" si="43">SUM(H59:H62)+H58</f>
        <v>0</v>
      </c>
      <c r="I63" s="30">
        <f t="shared" si="43"/>
        <v>0</v>
      </c>
      <c r="J63" s="30">
        <f t="shared" si="43"/>
        <v>0</v>
      </c>
      <c r="K63" s="30">
        <f t="shared" si="43"/>
        <v>15698</v>
      </c>
      <c r="L63" s="30">
        <f t="shared" si="43"/>
        <v>14617</v>
      </c>
      <c r="M63" s="30">
        <f t="shared" si="43"/>
        <v>14688</v>
      </c>
      <c r="N63" s="30">
        <f t="shared" si="43"/>
        <v>15285</v>
      </c>
      <c r="O63" s="30">
        <f>SUM(O59:O62)+O58</f>
        <v>15224</v>
      </c>
      <c r="P63" s="30">
        <f t="shared" ref="P63:S63" si="44">SUM(P59:P62)+P58</f>
        <v>14845</v>
      </c>
      <c r="Q63" s="30">
        <f t="shared" si="44"/>
        <v>0</v>
      </c>
      <c r="R63" s="30">
        <f t="shared" si="44"/>
        <v>0</v>
      </c>
      <c r="S63" s="30">
        <f t="shared" si="44"/>
        <v>0</v>
      </c>
      <c r="X63" s="30">
        <f t="shared" ref="X63" si="45">SUM(X59:X62)+X58</f>
        <v>15698</v>
      </c>
      <c r="Y63" s="30">
        <f t="shared" ref="Y63" si="46">SUM(Y59:Y62)+Y58</f>
        <v>15224</v>
      </c>
    </row>
    <row r="64" spans="1:25" s="3" customFormat="1" x14ac:dyDescent="0.3">
      <c r="A64" s="6" t="s">
        <v>94</v>
      </c>
      <c r="K64" s="3">
        <v>5153</v>
      </c>
      <c r="L64" s="3">
        <v>5387</v>
      </c>
      <c r="M64" s="3">
        <v>5268</v>
      </c>
      <c r="N64" s="3">
        <v>5899</v>
      </c>
      <c r="O64" s="3">
        <v>6396</v>
      </c>
      <c r="P64" s="3">
        <v>6273</v>
      </c>
      <c r="X64" s="3">
        <f>K64</f>
        <v>5153</v>
      </c>
      <c r="Y64" s="3">
        <f>O64</f>
        <v>6396</v>
      </c>
    </row>
    <row r="65" spans="1:25" s="30" customFormat="1" x14ac:dyDescent="0.3">
      <c r="A65" s="29" t="s">
        <v>95</v>
      </c>
      <c r="H65" s="30">
        <f t="shared" ref="H65:N65" si="47">H64+H63</f>
        <v>0</v>
      </c>
      <c r="I65" s="30">
        <f t="shared" si="47"/>
        <v>0</v>
      </c>
      <c r="J65" s="30">
        <f t="shared" si="47"/>
        <v>0</v>
      </c>
      <c r="K65" s="30">
        <f t="shared" si="47"/>
        <v>20851</v>
      </c>
      <c r="L65" s="30">
        <f t="shared" si="47"/>
        <v>20004</v>
      </c>
      <c r="M65" s="30">
        <f t="shared" si="47"/>
        <v>19956</v>
      </c>
      <c r="N65" s="30">
        <f t="shared" si="47"/>
        <v>21184</v>
      </c>
      <c r="O65" s="30">
        <f>O64+O63</f>
        <v>21620</v>
      </c>
      <c r="P65" s="30">
        <f t="shared" ref="P65:S65" si="48">P64+P63</f>
        <v>21118</v>
      </c>
      <c r="Q65" s="30">
        <f t="shared" si="48"/>
        <v>0</v>
      </c>
      <c r="R65" s="30">
        <f t="shared" si="48"/>
        <v>0</v>
      </c>
      <c r="S65" s="30">
        <f t="shared" si="48"/>
        <v>0</v>
      </c>
      <c r="X65" s="30">
        <f t="shared" ref="X65" si="49">X64+X63</f>
        <v>20851</v>
      </c>
      <c r="Y65" s="30">
        <f>Y64+Y63</f>
        <v>21620</v>
      </c>
    </row>
    <row r="67" spans="1:25" s="3" customFormat="1" x14ac:dyDescent="0.3">
      <c r="A67" s="6" t="s">
        <v>98</v>
      </c>
      <c r="K67" s="3">
        <f t="shared" ref="K67:O67" si="50">K11*(1-K29)</f>
        <v>530.3713147410358</v>
      </c>
      <c r="L67" s="3">
        <f t="shared" si="50"/>
        <v>529.69482071713151</v>
      </c>
      <c r="M67" s="3">
        <f t="shared" si="50"/>
        <v>499.73267716535435</v>
      </c>
      <c r="N67" s="3">
        <f t="shared" si="50"/>
        <v>393.822</v>
      </c>
      <c r="O67" s="3">
        <f t="shared" si="50"/>
        <v>365.03747072599532</v>
      </c>
      <c r="P67" s="3">
        <f>P11*(1-P29)</f>
        <v>610.90179968701091</v>
      </c>
      <c r="X67" s="3">
        <f t="shared" ref="X67:Y67" si="51">X11*(1-X29)</f>
        <v>2191.7794793261869</v>
      </c>
      <c r="Y67" s="3">
        <f t="shared" si="51"/>
        <v>1781.1669303797469</v>
      </c>
    </row>
    <row r="68" spans="1:25" s="3" customFormat="1" x14ac:dyDescent="0.3">
      <c r="A68" s="6" t="s">
        <v>99</v>
      </c>
      <c r="K68" s="3">
        <f t="shared" ref="K68:O68" si="52">K39+K64-K38</f>
        <v>9664</v>
      </c>
      <c r="L68" s="3">
        <f t="shared" si="52"/>
        <v>9499</v>
      </c>
      <c r="M68" s="3">
        <f t="shared" si="52"/>
        <v>8891</v>
      </c>
      <c r="N68" s="3">
        <f t="shared" si="52"/>
        <v>9283</v>
      </c>
      <c r="O68" s="3">
        <f t="shared" si="52"/>
        <v>9965</v>
      </c>
      <c r="P68" s="3">
        <f>P39+P64-P38</f>
        <v>10487</v>
      </c>
      <c r="X68" s="3">
        <f t="shared" ref="X68:Y68" si="53">X39+X64-X38</f>
        <v>9664</v>
      </c>
      <c r="Y68" s="3">
        <f t="shared" si="53"/>
        <v>9965</v>
      </c>
    </row>
    <row r="69" spans="1:25" s="3" customFormat="1" x14ac:dyDescent="0.3">
      <c r="A69" s="6" t="s">
        <v>97</v>
      </c>
      <c r="K69" s="3">
        <f t="shared" ref="K69:O69" si="54">K52-K58</f>
        <v>16578</v>
      </c>
      <c r="L69" s="3">
        <f t="shared" si="54"/>
        <v>16798</v>
      </c>
      <c r="M69" s="3">
        <f t="shared" si="54"/>
        <v>16401</v>
      </c>
      <c r="N69" s="3">
        <f t="shared" si="54"/>
        <v>16402</v>
      </c>
      <c r="O69" s="3">
        <f t="shared" si="54"/>
        <v>17100</v>
      </c>
      <c r="P69" s="3">
        <f>P52-P58</f>
        <v>16185</v>
      </c>
      <c r="X69" s="3">
        <f t="shared" ref="X69:Y69" si="55">X52-X58</f>
        <v>16578</v>
      </c>
      <c r="Y69" s="3">
        <f t="shared" si="55"/>
        <v>17100</v>
      </c>
    </row>
  </sheetData>
  <phoneticPr fontId="2" type="noConversion"/>
  <hyperlinks>
    <hyperlink ref="A1" location="Main!A1" display="Main" xr:uid="{F11DAF57-F530-4668-9C6A-3624BEB892EC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Vinnublöð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Guðmundsson</dc:creator>
  <cp:lastModifiedBy>Herbert Guðmundsson</cp:lastModifiedBy>
  <dcterms:created xsi:type="dcterms:W3CDTF">2024-04-17T23:07:06Z</dcterms:created>
  <dcterms:modified xsi:type="dcterms:W3CDTF">2024-05-12T03:06:14Z</dcterms:modified>
</cp:coreProperties>
</file>