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554" documentId="8_{F4EEE2D6-68A9-487D-91C6-0FB3D94C729C}" xr6:coauthVersionLast="47" xr6:coauthVersionMax="47" xr10:uidLastSave="{B074AF8C-E90E-44D4-BCC4-5840ACA5879E}"/>
  <bookViews>
    <workbookView xWindow="-105" yWindow="0" windowWidth="14610" windowHeight="16305" activeTab="1" xr2:uid="{8AE3CAB9-1DDD-4C7A-BCF0-E281925CF4F9}"/>
  </bookViews>
  <sheets>
    <sheet name="FSR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" i="1" l="1"/>
  <c r="AA43" i="1"/>
  <c r="AA49" i="1" s="1"/>
  <c r="AA51" i="1" s="1"/>
  <c r="AA32" i="1"/>
  <c r="AA31" i="1" s="1"/>
  <c r="Z28" i="1"/>
  <c r="Z29" i="1"/>
  <c r="Z27" i="1"/>
  <c r="Z26" i="1"/>
  <c r="AA29" i="1"/>
  <c r="AA28" i="1"/>
  <c r="AA27" i="1"/>
  <c r="AA26" i="1"/>
  <c r="AA23" i="1"/>
  <c r="Z21" i="1"/>
  <c r="AA21" i="1"/>
  <c r="Z20" i="1"/>
  <c r="Z18" i="1"/>
  <c r="Z3" i="1"/>
  <c r="Z5" i="1"/>
  <c r="Z9" i="1"/>
  <c r="Z4" i="1"/>
  <c r="Z6" i="1"/>
  <c r="Z7" i="1"/>
  <c r="Z8" i="1"/>
  <c r="Z15" i="1"/>
  <c r="Z14" i="1"/>
  <c r="Z13" i="1"/>
  <c r="Z12" i="1"/>
  <c r="Z11" i="1"/>
  <c r="Z10" i="1"/>
  <c r="Z16" i="1"/>
  <c r="Z17" i="1"/>
  <c r="Z19" i="1"/>
  <c r="AA19" i="1"/>
  <c r="AA20" i="1"/>
  <c r="AA18" i="1"/>
  <c r="AA16" i="1"/>
  <c r="AA15" i="1"/>
  <c r="AA14" i="1"/>
  <c r="AA13" i="1"/>
  <c r="AA12" i="1"/>
  <c r="AA11" i="1"/>
  <c r="AA10" i="1"/>
  <c r="AA8" i="1"/>
  <c r="AA7" i="1"/>
  <c r="AA6" i="1"/>
  <c r="AA4" i="1"/>
  <c r="AA17" i="1"/>
  <c r="AA9" i="1"/>
  <c r="AA5" i="1"/>
  <c r="AA3" i="1"/>
  <c r="T51" i="1"/>
  <c r="T49" i="1"/>
  <c r="T47" i="1"/>
  <c r="T43" i="1"/>
  <c r="L5" i="2"/>
  <c r="T32" i="1"/>
  <c r="T40" i="1" s="1"/>
  <c r="T18" i="1"/>
  <c r="T15" i="1"/>
  <c r="T13" i="1"/>
  <c r="T14" i="1"/>
  <c r="T12" i="1"/>
  <c r="T11" i="1"/>
  <c r="T10" i="1"/>
  <c r="T7" i="1"/>
  <c r="T6" i="1"/>
  <c r="T4" i="1"/>
  <c r="T3" i="1"/>
  <c r="T24" i="1" s="1"/>
  <c r="R24" i="1"/>
  <c r="Q24" i="1"/>
  <c r="P24" i="1"/>
  <c r="O24" i="1"/>
  <c r="N24" i="1"/>
  <c r="M24" i="1"/>
  <c r="L24" i="1"/>
  <c r="K24" i="1"/>
  <c r="J24" i="1"/>
  <c r="S24" i="1"/>
  <c r="O23" i="1"/>
  <c r="Q23" i="1"/>
  <c r="P23" i="1"/>
  <c r="N23" i="1"/>
  <c r="M23" i="1"/>
  <c r="R23" i="1"/>
  <c r="S23" i="1"/>
  <c r="D16" i="1"/>
  <c r="D8" i="1"/>
  <c r="D5" i="1"/>
  <c r="E16" i="1"/>
  <c r="E8" i="1"/>
  <c r="E5" i="1"/>
  <c r="H16" i="1"/>
  <c r="H8" i="1"/>
  <c r="H5" i="1"/>
  <c r="F16" i="1"/>
  <c r="F8" i="1"/>
  <c r="F5" i="1"/>
  <c r="G16" i="1"/>
  <c r="G8" i="1"/>
  <c r="G5" i="1"/>
  <c r="I16" i="1"/>
  <c r="I8" i="1"/>
  <c r="I5" i="1"/>
  <c r="I26" i="1" s="1"/>
  <c r="L5" i="1"/>
  <c r="L26" i="1" s="1"/>
  <c r="K5" i="1"/>
  <c r="K26" i="1" s="1"/>
  <c r="J5" i="1"/>
  <c r="J26" i="1" s="1"/>
  <c r="J16" i="1"/>
  <c r="J8" i="1"/>
  <c r="K16" i="1"/>
  <c r="K8" i="1"/>
  <c r="L16" i="1"/>
  <c r="L8" i="1"/>
  <c r="P16" i="1"/>
  <c r="P8" i="1"/>
  <c r="P5" i="1"/>
  <c r="P26" i="1" s="1"/>
  <c r="M16" i="1"/>
  <c r="M8" i="1"/>
  <c r="M5" i="1"/>
  <c r="M26" i="1" s="1"/>
  <c r="Q16" i="1"/>
  <c r="Q8" i="1"/>
  <c r="Q5" i="1"/>
  <c r="Q26" i="1" s="1"/>
  <c r="N16" i="1"/>
  <c r="N8" i="1"/>
  <c r="N5" i="1"/>
  <c r="N26" i="1" s="1"/>
  <c r="R16" i="1"/>
  <c r="R8" i="1"/>
  <c r="R5" i="1"/>
  <c r="R26" i="1" s="1"/>
  <c r="O16" i="1"/>
  <c r="O8" i="1"/>
  <c r="O5" i="1"/>
  <c r="O26" i="1" s="1"/>
  <c r="S16" i="1"/>
  <c r="S8" i="1"/>
  <c r="S5" i="1"/>
  <c r="S26" i="1" s="1"/>
  <c r="L6" i="2"/>
  <c r="L8" i="2" s="1"/>
  <c r="L4" i="2"/>
  <c r="AA40" i="1" l="1"/>
  <c r="E9" i="1"/>
  <c r="T8" i="1"/>
  <c r="T31" i="1"/>
  <c r="T5" i="1"/>
  <c r="T9" i="1" s="1"/>
  <c r="T16" i="1"/>
  <c r="T23" i="1"/>
  <c r="E17" i="1"/>
  <c r="E19" i="1" s="1"/>
  <c r="E20" i="1" s="1"/>
  <c r="D9" i="1"/>
  <c r="D17" i="1" s="1"/>
  <c r="D19" i="1" s="1"/>
  <c r="D20" i="1" s="1"/>
  <c r="H9" i="1"/>
  <c r="H17" i="1" s="1"/>
  <c r="H19" i="1" s="1"/>
  <c r="H20" i="1" s="1"/>
  <c r="I9" i="1"/>
  <c r="F9" i="1"/>
  <c r="F17" i="1" s="1"/>
  <c r="F19" i="1" s="1"/>
  <c r="F20" i="1" s="1"/>
  <c r="G9" i="1"/>
  <c r="G17" i="1" s="1"/>
  <c r="G19" i="1" s="1"/>
  <c r="G20" i="1" s="1"/>
  <c r="J9" i="1"/>
  <c r="K9" i="1"/>
  <c r="L9" i="1"/>
  <c r="P9" i="1"/>
  <c r="S9" i="1"/>
  <c r="Q9" i="1"/>
  <c r="M9" i="1"/>
  <c r="N9" i="1"/>
  <c r="R9" i="1"/>
  <c r="O9" i="1"/>
  <c r="L7" i="2"/>
  <c r="T26" i="1" l="1"/>
  <c r="P17" i="1"/>
  <c r="P27" i="1"/>
  <c r="O17" i="1"/>
  <c r="O27" i="1"/>
  <c r="K17" i="1"/>
  <c r="K27" i="1"/>
  <c r="R17" i="1"/>
  <c r="R27" i="1"/>
  <c r="J17" i="1"/>
  <c r="J27" i="1"/>
  <c r="Q17" i="1"/>
  <c r="Q27" i="1"/>
  <c r="I17" i="1"/>
  <c r="I27" i="1"/>
  <c r="S17" i="1"/>
  <c r="S27" i="1"/>
  <c r="L17" i="1"/>
  <c r="L27" i="1"/>
  <c r="N17" i="1"/>
  <c r="N27" i="1"/>
  <c r="M17" i="1"/>
  <c r="M27" i="1"/>
  <c r="T17" i="1"/>
  <c r="T27" i="1"/>
  <c r="T19" i="1" l="1"/>
  <c r="T29" i="1"/>
  <c r="S19" i="1"/>
  <c r="S29" i="1"/>
  <c r="M19" i="1"/>
  <c r="M29" i="1"/>
  <c r="I19" i="1"/>
  <c r="I29" i="1"/>
  <c r="K19" i="1"/>
  <c r="K29" i="1"/>
  <c r="N19" i="1"/>
  <c r="N29" i="1"/>
  <c r="Q19" i="1"/>
  <c r="Q29" i="1"/>
  <c r="O19" i="1"/>
  <c r="O29" i="1"/>
  <c r="R19" i="1"/>
  <c r="R29" i="1"/>
  <c r="L19" i="1"/>
  <c r="L29" i="1"/>
  <c r="J19" i="1"/>
  <c r="J29" i="1"/>
  <c r="P19" i="1"/>
  <c r="P29" i="1"/>
  <c r="I20" i="1" l="1"/>
  <c r="I28" i="1"/>
  <c r="O20" i="1"/>
  <c r="O28" i="1"/>
  <c r="Q20" i="1"/>
  <c r="Q28" i="1"/>
  <c r="M20" i="1"/>
  <c r="M28" i="1"/>
  <c r="S20" i="1"/>
  <c r="S28" i="1"/>
  <c r="P20" i="1"/>
  <c r="P28" i="1"/>
  <c r="J20" i="1"/>
  <c r="J28" i="1"/>
  <c r="L20" i="1"/>
  <c r="L28" i="1"/>
  <c r="N20" i="1"/>
  <c r="N28" i="1"/>
  <c r="R20" i="1"/>
  <c r="R28" i="1"/>
  <c r="K20" i="1"/>
  <c r="K28" i="1"/>
  <c r="T28" i="1"/>
  <c r="T20" i="1"/>
</calcChain>
</file>

<file path=xl/sharedStrings.xml><?xml version="1.0" encoding="utf-8"?>
<sst xmlns="http://schemas.openxmlformats.org/spreadsheetml/2006/main" count="101" uniqueCount="91">
  <si>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</si>
  <si>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</si>
  <si>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</si>
  <si>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</si>
  <si>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</si>
  <si>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</si>
  <si>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</si>
  <si>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</si>
  <si>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</si>
  <si>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</si>
  <si>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</si>
  <si>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</si>
  <si>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</si>
  <si>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</si>
  <si>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</si>
  <si>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</si>
  <si>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</si>
  <si>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FSRN</t>
  </si>
  <si>
    <t>Fisker Inc.</t>
  </si>
  <si>
    <t>Incorporated in Delaware - October, 2017 as a SPAC</t>
  </si>
  <si>
    <t>f/k/a Spartan Energy Acquisition Corp.</t>
  </si>
  <si>
    <t>In October, 2020 we consummated our business combination with Fisker Group Inc.</t>
  </si>
  <si>
    <t>Through a reverse merger. With the closing of the business we changed our name to Fisker.</t>
  </si>
  <si>
    <t>Principal offices are located 1888 Rosecrans Avenue, Manhattan Beach, CA 90266.</t>
  </si>
  <si>
    <t>Production of first vehicle in November, 2022.</t>
  </si>
  <si>
    <t>Henrik Fisker</t>
  </si>
  <si>
    <t>Executives</t>
  </si>
  <si>
    <t>Name</t>
  </si>
  <si>
    <t>Role</t>
  </si>
  <si>
    <t>Geeta Gupta-Fisker</t>
  </si>
  <si>
    <t>John Finnucan</t>
  </si>
  <si>
    <t>Wendy J. Greuel</t>
  </si>
  <si>
    <t>Mark E. Hickson</t>
  </si>
  <si>
    <t>William R. McDermott</t>
  </si>
  <si>
    <t>Roderick K. Randall</t>
  </si>
  <si>
    <t>Nadine I. Watt</t>
  </si>
  <si>
    <t>Mitchell S. Zuklie</t>
  </si>
  <si>
    <t>CFO</t>
  </si>
  <si>
    <t>CAO</t>
  </si>
  <si>
    <t>Director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</si>
  <si>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</si>
  <si>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</si>
  <si>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</si>
  <si>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</si>
  <si>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</si>
  <si>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</si>
  <si>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</si>
  <si>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Other expense</t>
  </si>
  <si>
    <t>Interest expense</t>
  </si>
  <si>
    <t>Unrealized loss or gain recognized on equity securities</t>
  </si>
  <si>
    <t>Change in fair value</t>
  </si>
  <si>
    <t>Currency</t>
  </si>
  <si>
    <t>Total other</t>
  </si>
  <si>
    <t>Pretax</t>
  </si>
  <si>
    <t>Taxes</t>
  </si>
  <si>
    <t>Net income</t>
  </si>
  <si>
    <t>EPS</t>
  </si>
  <si>
    <t>Interest income</t>
  </si>
  <si>
    <t>Q221</t>
  </si>
  <si>
    <t>Q321</t>
  </si>
  <si>
    <t>Q421</t>
  </si>
  <si>
    <t>Q121</t>
  </si>
  <si>
    <t>Q220</t>
  </si>
  <si>
    <t>Q320</t>
  </si>
  <si>
    <t>Q420</t>
  </si>
  <si>
    <t>Q120</t>
  </si>
  <si>
    <t>Q419</t>
  </si>
  <si>
    <t>Revenue Y/Y</t>
  </si>
  <si>
    <t>Revenue Q/Q</t>
  </si>
  <si>
    <t>Gross Margin %</t>
  </si>
  <si>
    <t>Operating Margin %</t>
  </si>
  <si>
    <t>Net Margin %</t>
  </si>
  <si>
    <t>Tax Rate %</t>
  </si>
  <si>
    <t>Net cash</t>
  </si>
  <si>
    <t>Inventory</t>
  </si>
  <si>
    <t>A/R</t>
  </si>
  <si>
    <t>Prepaids</t>
  </si>
  <si>
    <t>PP&amp;E</t>
  </si>
  <si>
    <t>Intangibles</t>
  </si>
  <si>
    <t>ROUA</t>
  </si>
  <si>
    <t>ONCA</t>
  </si>
  <si>
    <t>Assets</t>
  </si>
  <si>
    <t>A/P</t>
  </si>
  <si>
    <t>Accrued expenses</t>
  </si>
  <si>
    <t>Deposits</t>
  </si>
  <si>
    <t>DR</t>
  </si>
  <si>
    <t>Leases</t>
  </si>
  <si>
    <t>DR non-current</t>
  </si>
  <si>
    <t>Liabilities</t>
  </si>
  <si>
    <t>SE</t>
  </si>
  <si>
    <t>L +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</si>
</sst>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11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0" applyFont="1"/>
    <xf numFmtId="0" fontId="4" fillId="0" borderId="0" xfId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1" xfId="0" applyFont="1" applyBorder="1" applyAlignment="1">
      <alignment horizontal="center"/>
    </xf>
    <xf numFmtId="3" fontId="5" fillId="0" borderId="0" xfId="0" applyNumberFormat="1" applyFont="1"/>
    <xf numFmtId="3" fontId="9" fillId="0" borderId="2" xfId="0" applyNumberFormat="1" applyFont="1" applyBorder="1"/>
    <xf numFmtId="0" fontId="9" fillId="0" borderId="2" xfId="0" applyFont="1" applyBorder="1"/>
    <xf numFmtId="3" fontId="9" fillId="0" borderId="3" xfId="0" applyNumberFormat="1" applyFont="1" applyBorder="1"/>
    <xf numFmtId="0" fontId="9" fillId="0" borderId="3" xfId="0" applyFont="1" applyBorder="1"/>
    <xf numFmtId="3" fontId="9" fillId="0" borderId="0" xfId="0" applyNumberFormat="1" applyFont="1" applyBorder="1"/>
    <xf numFmtId="0" fontId="9" fillId="0" borderId="0" xfId="0" applyFont="1" applyBorder="1"/>
    <xf numFmtId="9" fontId="9" fillId="0" borderId="2" xfId="0" applyNumberFormat="1" applyFont="1" applyBorder="1"/>
    <xf numFmtId="9" fontId="9" fillId="0" borderId="3" xfId="0" applyNumberFormat="1" applyFont="1" applyBorder="1"/>
    <xf numFmtId="9" fontId="9" fillId="0" borderId="0" xfId="0" applyNumberFormat="1" applyFont="1" applyBorder="1"/>
    <xf numFmtId="3" fontId="5" fillId="0" borderId="4" xfId="0" applyNumberFormat="1" applyFont="1" applyBorder="1"/>
    <xf numFmtId="0" fontId="5" fillId="0" borderId="4" xfId="0" applyFont="1" applyBorder="1"/>
    <xf numFmtId="3" fontId="10" fillId="0" borderId="0" xfId="0" applyNumberFormat="1" applyFont="1"/>
    <xf numFmtId="2" fontId="10" fillId="0" borderId="0" xfId="0" applyNumberFormat="1" applyFont="1"/>
    <xf numFmtId="0" fontId="10" fillId="0" borderId="0" xfId="0" applyFont="1"/>
    <xf numFmtId="3" fontId="0" fillId="0" borderId="0" xfId="0" applyNumberFormat="1" applyFont="1" applyFill="1" applyBorder="1"/>
    <xf numFmtId="3" fontId="0" fillId="0" borderId="0" xfId="0" applyNumberFormat="1" applyFont="1"/>
    <xf numFmtId="3" fontId="5" fillId="0" borderId="0" xfId="0" applyNumberFormat="1" applyFont="1" applyFill="1" applyBorder="1"/>
    <xf numFmtId="3" fontId="5" fillId="0" borderId="4" xfId="0" applyNumberFormat="1" applyFont="1" applyFill="1" applyBorder="1"/>
    <xf numFmtId="4" fontId="5" fillId="0" borderId="0" xfId="0" applyNumberFormat="1" applyFont="1"/>
    <xf numFmtId="9" fontId="10" fillId="0" borderId="2" xfId="0" applyNumberFormat="1" applyFont="1" applyBorder="1"/>
    <xf numFmtId="170" fontId="9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27</xdr:col>
      <xdr:colOff>0</xdr:colOff>
      <xdr:row>67</xdr:row>
      <xdr:rowOff>16566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55585D-470D-B05B-CBB8-823171A7241F}"/>
            </a:ext>
          </a:extLst>
        </xdr:cNvPr>
        <xdr:cNvCxnSpPr/>
      </xdr:nvCxnSpPr>
      <xdr:spPr>
        <a:xfrm>
          <a:off x="18138913" y="190500"/>
          <a:ext cx="0" cy="12622696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0</xdr:colOff>
      <xdr:row>67</xdr:row>
      <xdr:rowOff>16566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797D271-E6E4-4396-86EA-1FBB9C989B2B}"/>
            </a:ext>
          </a:extLst>
        </xdr:cNvPr>
        <xdr:cNvCxnSpPr/>
      </xdr:nvCxnSpPr>
      <xdr:spPr>
        <a:xfrm>
          <a:off x="13848522" y="190500"/>
          <a:ext cx="0" cy="12622696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8283</xdr:colOff>
      <xdr:row>0</xdr:row>
      <xdr:rowOff>0</xdr:rowOff>
    </xdr:from>
    <xdr:to>
      <xdr:col>0</xdr:col>
      <xdr:colOff>8283</xdr:colOff>
      <xdr:row>66</xdr:row>
      <xdr:rowOff>16566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F2042F-212B-4F37-96B0-0F83DD812378}"/>
            </a:ext>
          </a:extLst>
        </xdr:cNvPr>
        <xdr:cNvCxnSpPr/>
      </xdr:nvCxnSpPr>
      <xdr:spPr>
        <a:xfrm>
          <a:off x="8283" y="0"/>
          <a:ext cx="0" cy="12622696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24"/>
  <sheetViews>
    <sheetView workbookViewId="0"/>
  </sheetViews>
  <sheetFormatPr defaultRowHeight="15" x14ac:dyDescent="0.25"/>
  <cols>
    <col min="2" max="2" width="20.5703125" customWidth="1"/>
    <col min="12" max="12" width="13.85546875" customWidth="1"/>
  </cols>
  <sheetData>
    <row r="1" spans="2:12" ht="21" x14ac:dyDescent="0.35">
      <c r="K1" s="6" t="s">
        <v>17</v>
      </c>
      <c r="L1" s="6"/>
    </row>
    <row r="2" spans="2:12" ht="22.5" x14ac:dyDescent="0.3">
      <c r="B2" s="8" t="s">
        <v>18</v>
      </c>
      <c r="C2" s="8"/>
      <c r="D2" s="8"/>
      <c r="K2" s="1" t="s">
        <v>0</v>
      </c>
      <c r="L2" s="1">
        <v>5.3900000000000003E-2</v>
      </c>
    </row>
    <row r="3" spans="2:12" ht="15.75" x14ac:dyDescent="0.25">
      <c r="B3" s="9" t="s">
        <v>19</v>
      </c>
      <c r="K3" s="1" t="s">
        <v>1</v>
      </c>
      <c r="L3" s="2">
        <v>645530</v>
      </c>
    </row>
    <row r="4" spans="2:12" x14ac:dyDescent="0.25">
      <c r="B4" t="s">
        <v>20</v>
      </c>
      <c r="K4" s="1" t="s">
        <v>2</v>
      </c>
      <c r="L4" s="2">
        <f>L3*L2</f>
        <v>34794.067000000003</v>
      </c>
    </row>
    <row r="5" spans="2:12" x14ac:dyDescent="0.25">
      <c r="B5" t="s">
        <v>21</v>
      </c>
      <c r="K5" s="1" t="s">
        <v>3</v>
      </c>
      <c r="L5" s="2">
        <f>325452+1350+70447</f>
        <v>397249</v>
      </c>
    </row>
    <row r="6" spans="2:12" x14ac:dyDescent="0.25">
      <c r="B6" t="s">
        <v>22</v>
      </c>
      <c r="K6" s="1" t="s">
        <v>4</v>
      </c>
      <c r="L6" s="2">
        <f>1226943+6935</f>
        <v>1233878</v>
      </c>
    </row>
    <row r="7" spans="2:12" x14ac:dyDescent="0.25">
      <c r="K7" s="1" t="s">
        <v>5</v>
      </c>
      <c r="L7" s="2">
        <f>L4-L5+L6</f>
        <v>871423.06700000004</v>
      </c>
    </row>
    <row r="8" spans="2:12" x14ac:dyDescent="0.25">
      <c r="B8" t="s">
        <v>23</v>
      </c>
      <c r="K8" s="1" t="s">
        <v>6</v>
      </c>
      <c r="L8" s="2">
        <f>L5-L6</f>
        <v>-836629</v>
      </c>
    </row>
    <row r="9" spans="2:12" x14ac:dyDescent="0.25">
      <c r="K9" s="1"/>
      <c r="L9" s="1"/>
    </row>
    <row r="10" spans="2:12" x14ac:dyDescent="0.25">
      <c r="B10" t="s">
        <v>24</v>
      </c>
      <c r="K10" s="1" t="s">
        <v>7</v>
      </c>
      <c r="L10" s="1" t="s">
        <v>25</v>
      </c>
    </row>
    <row r="14" spans="2:12" ht="18.75" x14ac:dyDescent="0.3">
      <c r="B14" s="7" t="s">
        <v>26</v>
      </c>
    </row>
    <row r="15" spans="2:12" x14ac:dyDescent="0.25">
      <c r="B15" s="10" t="s">
        <v>27</v>
      </c>
      <c r="C15" s="10" t="s">
        <v>28</v>
      </c>
    </row>
    <row r="16" spans="2:12" x14ac:dyDescent="0.25">
      <c r="B16" s="1" t="s">
        <v>25</v>
      </c>
      <c r="C16" s="1" t="s">
        <v>7</v>
      </c>
    </row>
    <row r="17" spans="2:3" x14ac:dyDescent="0.25">
      <c r="B17" s="1" t="s">
        <v>29</v>
      </c>
      <c r="C17" s="1" t="s">
        <v>37</v>
      </c>
    </row>
    <row r="18" spans="2:3" x14ac:dyDescent="0.25">
      <c r="B18" s="1" t="s">
        <v>30</v>
      </c>
      <c r="C18" s="1" t="s">
        <v>38</v>
      </c>
    </row>
    <row r="19" spans="2:3" x14ac:dyDescent="0.25">
      <c r="B19" s="1" t="s">
        <v>31</v>
      </c>
      <c r="C19" s="1" t="s">
        <v>39</v>
      </c>
    </row>
    <row r="20" spans="2:3" x14ac:dyDescent="0.25">
      <c r="B20" s="1" t="s">
        <v>32</v>
      </c>
      <c r="C20" s="1" t="s">
        <v>39</v>
      </c>
    </row>
    <row r="21" spans="2:3" x14ac:dyDescent="0.25">
      <c r="B21" s="1" t="s">
        <v>33</v>
      </c>
      <c r="C21" s="1" t="s">
        <v>39</v>
      </c>
    </row>
    <row r="22" spans="2:3" x14ac:dyDescent="0.25">
      <c r="B22" s="1" t="s">
        <v>34</v>
      </c>
      <c r="C22" s="1" t="s">
        <v>39</v>
      </c>
    </row>
    <row r="23" spans="2:3" x14ac:dyDescent="0.25">
      <c r="B23" s="1" t="s">
        <v>35</v>
      </c>
      <c r="C23" s="1" t="s">
        <v>39</v>
      </c>
    </row>
    <row r="24" spans="2:3" x14ac:dyDescent="0.25">
      <c r="B24" s="1" t="s">
        <v>36</v>
      </c>
      <c r="C24" s="1" t="s">
        <v>39</v>
      </c>
    </row>
  </sheetData>
  <mergeCells count="2">
    <mergeCell ref="K1:L1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T52"/>
  <sheetViews>
    <sheetView tabSelected="1" zoomScale="115" zoomScaleNormal="11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C14" sqref="AC14"/>
    </sheetView>
  </sheetViews>
  <sheetFormatPr defaultRowHeight="15" x14ac:dyDescent="0.25"/>
  <cols>
    <col min="1" max="1" width="6.7109375" customWidth="1"/>
    <col min="2" max="2" width="20.140625" customWidth="1"/>
    <col min="3" max="5" width="9.140625" customWidth="1"/>
    <col min="9" max="12" width="11.140625" customWidth="1"/>
    <col min="13" max="13" width="11.5703125" customWidth="1"/>
    <col min="14" max="14" width="12" bestFit="1" customWidth="1"/>
    <col min="15" max="15" width="10.28515625" bestFit="1" customWidth="1"/>
    <col min="19" max="19" width="9.140625" customWidth="1"/>
    <col min="20" max="20" width="10.28515625" bestFit="1" customWidth="1"/>
    <col min="23" max="27" width="10.140625" customWidth="1"/>
  </cols>
  <sheetData>
    <row r="1" spans="1:46" x14ac:dyDescent="0.25">
      <c r="A1" s="5" t="s">
        <v>16</v>
      </c>
    </row>
    <row r="2" spans="1:46" s="4" customFormat="1" x14ac:dyDescent="0.25">
      <c r="D2" s="4" t="s">
        <v>66</v>
      </c>
      <c r="E2" s="4" t="s">
        <v>65</v>
      </c>
      <c r="F2" s="4" t="s">
        <v>62</v>
      </c>
      <c r="G2" s="4" t="s">
        <v>63</v>
      </c>
      <c r="H2" s="4" t="s">
        <v>64</v>
      </c>
      <c r="I2" s="4" t="s">
        <v>61</v>
      </c>
      <c r="J2" s="4" t="s">
        <v>58</v>
      </c>
      <c r="K2" s="4" t="s">
        <v>59</v>
      </c>
      <c r="L2" s="4" t="s">
        <v>60</v>
      </c>
      <c r="M2" s="4" t="s">
        <v>14</v>
      </c>
      <c r="N2" s="4" t="s">
        <v>15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8</v>
      </c>
      <c r="T2" s="4" t="s">
        <v>9</v>
      </c>
      <c r="W2" s="4">
        <v>2019</v>
      </c>
      <c r="X2" s="4">
        <v>2020</v>
      </c>
      <c r="Y2" s="4">
        <v>2021</v>
      </c>
      <c r="Z2" s="4">
        <v>2022</v>
      </c>
      <c r="AA2" s="4">
        <v>2023</v>
      </c>
      <c r="AB2" s="4">
        <v>2024</v>
      </c>
      <c r="AC2" s="4">
        <v>2025</v>
      </c>
      <c r="AD2" s="4">
        <v>2026</v>
      </c>
      <c r="AE2" s="4">
        <v>2027</v>
      </c>
      <c r="AF2" s="4">
        <v>2028</v>
      </c>
      <c r="AG2" s="4">
        <v>2029</v>
      </c>
      <c r="AH2" s="4">
        <v>2030</v>
      </c>
      <c r="AI2" s="4">
        <v>2031</v>
      </c>
      <c r="AJ2" s="4">
        <v>2032</v>
      </c>
      <c r="AK2" s="4">
        <v>2033</v>
      </c>
      <c r="AL2" s="4">
        <v>2034</v>
      </c>
      <c r="AM2" s="4">
        <v>2035</v>
      </c>
      <c r="AN2" s="4">
        <v>2036</v>
      </c>
      <c r="AO2" s="4">
        <v>2037</v>
      </c>
      <c r="AP2" s="4">
        <v>2038</v>
      </c>
      <c r="AQ2" s="4">
        <v>2039</v>
      </c>
      <c r="AR2" s="4">
        <v>2040</v>
      </c>
      <c r="AS2" s="4">
        <v>2041</v>
      </c>
      <c r="AT2" s="4">
        <v>2042</v>
      </c>
    </row>
    <row r="3" spans="1:46" s="11" customFormat="1" x14ac:dyDescent="0.25">
      <c r="B3" s="11" t="s">
        <v>40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22</v>
      </c>
      <c r="J3" s="11">
        <v>27</v>
      </c>
      <c r="K3" s="11">
        <v>15</v>
      </c>
      <c r="L3" s="11">
        <v>41</v>
      </c>
      <c r="M3" s="11">
        <v>12</v>
      </c>
      <c r="N3" s="11">
        <v>10</v>
      </c>
      <c r="O3" s="11">
        <v>72823</v>
      </c>
      <c r="P3" s="11">
        <v>306</v>
      </c>
      <c r="Q3" s="11">
        <v>198</v>
      </c>
      <c r="R3" s="11">
        <v>825</v>
      </c>
      <c r="S3" s="11">
        <v>71800</v>
      </c>
      <c r="T3" s="11">
        <f>272893-Q3-R3-S3</f>
        <v>200070</v>
      </c>
      <c r="Z3" s="11">
        <f>SUM(M3:P3)</f>
        <v>73151</v>
      </c>
      <c r="AA3" s="11">
        <f>SUM(T3)</f>
        <v>200070</v>
      </c>
    </row>
    <row r="4" spans="1:46" s="3" customFormat="1" x14ac:dyDescent="0.25">
      <c r="B4" s="3" t="s">
        <v>41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17</v>
      </c>
      <c r="J4" s="3">
        <v>14</v>
      </c>
      <c r="K4" s="3">
        <v>16</v>
      </c>
      <c r="L4" s="3">
        <v>40</v>
      </c>
      <c r="M4" s="3">
        <v>11</v>
      </c>
      <c r="N4" s="3">
        <v>8</v>
      </c>
      <c r="O4" s="3">
        <v>105472</v>
      </c>
      <c r="P4" s="3">
        <v>238</v>
      </c>
      <c r="Q4" s="3">
        <v>164</v>
      </c>
      <c r="R4" s="3">
        <v>760</v>
      </c>
      <c r="S4" s="3">
        <v>104548</v>
      </c>
      <c r="T4" s="3">
        <f>375836-Q4-R4-S4</f>
        <v>270364</v>
      </c>
      <c r="Z4" s="3">
        <f>SUM(M4:P4)</f>
        <v>105729</v>
      </c>
      <c r="AA4" s="3">
        <f>SUM(Q4:T4)</f>
        <v>375836</v>
      </c>
    </row>
    <row r="5" spans="1:46" s="11" customFormat="1" x14ac:dyDescent="0.25">
      <c r="B5" s="11" t="s">
        <v>42</v>
      </c>
      <c r="D5" s="11">
        <f t="shared" ref="D5:L5" si="0">D3-D4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5</v>
      </c>
      <c r="J5" s="11">
        <f t="shared" si="0"/>
        <v>13</v>
      </c>
      <c r="K5" s="11">
        <f t="shared" si="0"/>
        <v>-1</v>
      </c>
      <c r="L5" s="11">
        <f t="shared" si="0"/>
        <v>1</v>
      </c>
      <c r="M5" s="11">
        <f>M3-M4</f>
        <v>1</v>
      </c>
      <c r="N5" s="11">
        <f>N3-N4</f>
        <v>2</v>
      </c>
      <c r="O5" s="11">
        <f>O3-O4</f>
        <v>-32649</v>
      </c>
      <c r="P5" s="11">
        <f>P3-P4</f>
        <v>68</v>
      </c>
      <c r="Q5" s="11">
        <f>Q3-Q4</f>
        <v>34</v>
      </c>
      <c r="R5" s="11">
        <f>R3-R4</f>
        <v>65</v>
      </c>
      <c r="S5" s="11">
        <f>S3-S4</f>
        <v>-32748</v>
      </c>
      <c r="T5" s="11">
        <f>T3-T4</f>
        <v>-70294</v>
      </c>
      <c r="Z5" s="11">
        <f>SUM(M5:P5)</f>
        <v>-32578</v>
      </c>
      <c r="AA5" s="11">
        <f>SUM(T5)</f>
        <v>-70294</v>
      </c>
    </row>
    <row r="6" spans="1:46" s="3" customFormat="1" x14ac:dyDescent="0.25">
      <c r="B6" s="3" t="s">
        <v>43</v>
      </c>
      <c r="D6" s="3">
        <v>743</v>
      </c>
      <c r="E6" s="3">
        <v>1103</v>
      </c>
      <c r="F6" s="3">
        <v>1103</v>
      </c>
      <c r="G6" s="3">
        <v>6521</v>
      </c>
      <c r="H6" s="3">
        <v>14216</v>
      </c>
      <c r="I6" s="3">
        <v>5832</v>
      </c>
      <c r="J6" s="3">
        <v>7908</v>
      </c>
      <c r="K6" s="3">
        <v>10273</v>
      </c>
      <c r="L6" s="3">
        <v>18385</v>
      </c>
      <c r="M6" s="3">
        <v>21992</v>
      </c>
      <c r="N6" s="3">
        <v>17521</v>
      </c>
      <c r="O6" s="3">
        <v>137552</v>
      </c>
      <c r="P6" s="3">
        <v>44802</v>
      </c>
      <c r="Q6" s="3">
        <v>44648</v>
      </c>
      <c r="R6" s="3">
        <v>42267</v>
      </c>
      <c r="S6" s="3">
        <v>57650</v>
      </c>
      <c r="T6" s="3">
        <f>216972-Q6-R6-S6</f>
        <v>72407</v>
      </c>
      <c r="Z6" s="3">
        <f>SUM(M6:P6)</f>
        <v>221867</v>
      </c>
      <c r="AA6" s="3">
        <f t="shared" ref="AA6:AA8" si="1">SUM(Q6:T6)</f>
        <v>216972</v>
      </c>
    </row>
    <row r="7" spans="1:46" s="3" customFormat="1" x14ac:dyDescent="0.25">
      <c r="B7" s="3" t="s">
        <v>44</v>
      </c>
      <c r="D7" s="3">
        <v>2019</v>
      </c>
      <c r="E7" s="3">
        <v>192</v>
      </c>
      <c r="F7" s="3">
        <v>192</v>
      </c>
      <c r="G7" s="3">
        <v>3402</v>
      </c>
      <c r="H7" s="3">
        <v>17090</v>
      </c>
      <c r="I7" s="3">
        <v>27271</v>
      </c>
      <c r="J7" s="3">
        <v>45245</v>
      </c>
      <c r="K7" s="3">
        <v>99291</v>
      </c>
      <c r="L7" s="3">
        <v>115049</v>
      </c>
      <c r="M7" s="3">
        <v>101460</v>
      </c>
      <c r="N7" s="3">
        <v>71160</v>
      </c>
      <c r="O7" s="3">
        <v>143422</v>
      </c>
      <c r="P7" s="3">
        <v>133400</v>
      </c>
      <c r="Q7" s="3">
        <v>76999</v>
      </c>
      <c r="R7" s="3">
        <v>45982</v>
      </c>
      <c r="S7" s="3">
        <v>13428</v>
      </c>
      <c r="T7" s="3">
        <f>97176-Q7-R7-S7</f>
        <v>-39233</v>
      </c>
      <c r="Z7" s="3">
        <f>SUM(M7:P7)</f>
        <v>449442</v>
      </c>
      <c r="AA7" s="3">
        <f t="shared" si="1"/>
        <v>97176</v>
      </c>
    </row>
    <row r="8" spans="1:46" s="3" customFormat="1" x14ac:dyDescent="0.25">
      <c r="B8" s="3" t="s">
        <v>45</v>
      </c>
      <c r="D8" s="3">
        <f>D6+D7</f>
        <v>2762</v>
      </c>
      <c r="E8" s="3">
        <f>E6+E7</f>
        <v>1295</v>
      </c>
      <c r="F8" s="3">
        <f>F6+F7</f>
        <v>1295</v>
      </c>
      <c r="G8" s="3">
        <f>G6+G7</f>
        <v>9923</v>
      </c>
      <c r="H8" s="3">
        <f>H6+H7</f>
        <v>31306</v>
      </c>
      <c r="I8" s="3">
        <f>I6+I7</f>
        <v>33103</v>
      </c>
      <c r="J8" s="3">
        <f>J6+J7</f>
        <v>53153</v>
      </c>
      <c r="K8" s="3">
        <f>K6+K7</f>
        <v>109564</v>
      </c>
      <c r="L8" s="3">
        <f>L6+L7</f>
        <v>133434</v>
      </c>
      <c r="M8" s="3">
        <f>M6+M7</f>
        <v>123452</v>
      </c>
      <c r="N8" s="3">
        <f>N6+N7</f>
        <v>88681</v>
      </c>
      <c r="O8" s="3">
        <f>O6+O7</f>
        <v>280974</v>
      </c>
      <c r="P8" s="3">
        <f>P6+P7</f>
        <v>178202</v>
      </c>
      <c r="Q8" s="3">
        <f>Q6+Q7</f>
        <v>121647</v>
      </c>
      <c r="R8" s="3">
        <f>R6+R7</f>
        <v>88249</v>
      </c>
      <c r="S8" s="3">
        <f>S6+S7</f>
        <v>71078</v>
      </c>
      <c r="T8" s="3">
        <f>T6+T7</f>
        <v>33174</v>
      </c>
      <c r="Z8" s="3">
        <f>SUM(M8:P8)</f>
        <v>671309</v>
      </c>
      <c r="AA8" s="3">
        <f t="shared" si="1"/>
        <v>314148</v>
      </c>
    </row>
    <row r="9" spans="1:46" s="11" customFormat="1" x14ac:dyDescent="0.25">
      <c r="B9" s="11" t="s">
        <v>46</v>
      </c>
      <c r="D9" s="11">
        <f>D5-D8</f>
        <v>-2762</v>
      </c>
      <c r="E9" s="11">
        <f>E5-E8</f>
        <v>-1295</v>
      </c>
      <c r="F9" s="11">
        <f>F5-F8</f>
        <v>-1295</v>
      </c>
      <c r="G9" s="11">
        <f>G5-G8</f>
        <v>-9923</v>
      </c>
      <c r="H9" s="11">
        <f>H5-H8</f>
        <v>-31306</v>
      </c>
      <c r="I9" s="11">
        <f>I5-I8</f>
        <v>-33098</v>
      </c>
      <c r="J9" s="11">
        <f>J5-J8</f>
        <v>-53140</v>
      </c>
      <c r="K9" s="11">
        <f>K5-K8</f>
        <v>-109565</v>
      </c>
      <c r="L9" s="11">
        <f>L5-L8</f>
        <v>-133433</v>
      </c>
      <c r="M9" s="11">
        <f>M5-M8</f>
        <v>-123451</v>
      </c>
      <c r="N9" s="11">
        <f>N5-N8</f>
        <v>-88679</v>
      </c>
      <c r="O9" s="11">
        <f>O5-O8</f>
        <v>-313623</v>
      </c>
      <c r="P9" s="11">
        <f>P5-P8</f>
        <v>-178134</v>
      </c>
      <c r="Q9" s="11">
        <f>Q5-Q8</f>
        <v>-121613</v>
      </c>
      <c r="R9" s="11">
        <f>R5-R8</f>
        <v>-88184</v>
      </c>
      <c r="S9" s="11">
        <f>S5-S8</f>
        <v>-103826</v>
      </c>
      <c r="T9" s="11">
        <f>T5-T8</f>
        <v>-103468</v>
      </c>
      <c r="Z9" s="11">
        <f>SUM(M9:P9)</f>
        <v>-703887</v>
      </c>
      <c r="AA9" s="11">
        <f>SUM(T9)</f>
        <v>-103468</v>
      </c>
    </row>
    <row r="10" spans="1:46" s="3" customFormat="1" x14ac:dyDescent="0.25">
      <c r="B10" s="3" t="s">
        <v>47</v>
      </c>
      <c r="D10" s="3">
        <v>-25</v>
      </c>
      <c r="E10" s="3">
        <v>4</v>
      </c>
      <c r="F10" s="3">
        <v>4</v>
      </c>
      <c r="G10" s="3">
        <v>6</v>
      </c>
      <c r="H10" s="3">
        <v>196</v>
      </c>
      <c r="I10" s="3">
        <v>75</v>
      </c>
      <c r="J10" s="3">
        <v>-89</v>
      </c>
      <c r="K10" s="3">
        <v>-84</v>
      </c>
      <c r="L10" s="3">
        <v>-304</v>
      </c>
      <c r="M10" s="3">
        <v>-371</v>
      </c>
      <c r="N10" s="3">
        <v>-452</v>
      </c>
      <c r="O10" s="3">
        <v>-2593</v>
      </c>
      <c r="P10" s="3">
        <v>433</v>
      </c>
      <c r="Q10" s="3">
        <v>-45</v>
      </c>
      <c r="R10" s="3">
        <v>-260</v>
      </c>
      <c r="S10" s="3">
        <v>-2288</v>
      </c>
      <c r="T10" s="3">
        <f>-13095-Q10-R10-S10</f>
        <v>-10502</v>
      </c>
      <c r="Z10" s="3">
        <f t="shared" ref="Z10:Z16" si="2">SUM(M10:P10)</f>
        <v>-2983</v>
      </c>
      <c r="AA10" s="3">
        <f t="shared" ref="AA10:AA16" si="3">SUM(Q10:T10)</f>
        <v>-13095</v>
      </c>
    </row>
    <row r="11" spans="1:46" s="3" customFormat="1" x14ac:dyDescent="0.25">
      <c r="B11" s="3" t="s">
        <v>57</v>
      </c>
      <c r="D11" s="3">
        <v>-158</v>
      </c>
      <c r="E11" s="3">
        <v>2</v>
      </c>
      <c r="F11" s="3">
        <v>2</v>
      </c>
      <c r="G11" s="3">
        <v>8</v>
      </c>
      <c r="H11" s="3">
        <v>-284</v>
      </c>
      <c r="I11" s="3">
        <v>156</v>
      </c>
      <c r="J11" s="3">
        <v>105</v>
      </c>
      <c r="K11" s="3">
        <v>155</v>
      </c>
      <c r="L11" s="3">
        <v>212</v>
      </c>
      <c r="M11" s="3">
        <v>265</v>
      </c>
      <c r="N11" s="3">
        <v>1353</v>
      </c>
      <c r="O11" s="3">
        <v>19870</v>
      </c>
      <c r="P11" s="3">
        <v>5685</v>
      </c>
      <c r="Q11" s="3">
        <v>6894</v>
      </c>
      <c r="R11" s="3">
        <v>6581</v>
      </c>
      <c r="S11" s="3">
        <v>6395</v>
      </c>
      <c r="T11" s="3">
        <f>24190-Q11-R11-S11</f>
        <v>4320</v>
      </c>
      <c r="Z11" s="3">
        <f t="shared" si="2"/>
        <v>27173</v>
      </c>
      <c r="AA11" s="3">
        <f t="shared" si="3"/>
        <v>24190</v>
      </c>
    </row>
    <row r="12" spans="1:46" s="3" customFormat="1" x14ac:dyDescent="0.25">
      <c r="B12" s="3" t="s">
        <v>48</v>
      </c>
      <c r="E12" s="3">
        <v>-313</v>
      </c>
      <c r="F12" s="3">
        <v>-313</v>
      </c>
      <c r="G12" s="3">
        <v>-765</v>
      </c>
      <c r="K12" s="3">
        <v>-2147</v>
      </c>
      <c r="L12" s="3">
        <v>-4399</v>
      </c>
      <c r="M12" s="3">
        <v>-4383</v>
      </c>
      <c r="N12" s="3">
        <v>-4751</v>
      </c>
      <c r="O12" s="3">
        <v>-14134</v>
      </c>
      <c r="P12" s="3">
        <v>-4599</v>
      </c>
      <c r="Q12" s="3">
        <v>-4601</v>
      </c>
      <c r="R12" s="3">
        <v>-4605</v>
      </c>
      <c r="S12" s="3">
        <v>-4928</v>
      </c>
      <c r="T12" s="3">
        <f>-18745-Q12-R12-S12</f>
        <v>-4611</v>
      </c>
      <c r="Z12" s="3">
        <f t="shared" si="2"/>
        <v>-27867</v>
      </c>
      <c r="AA12" s="3">
        <f t="shared" si="3"/>
        <v>-18745</v>
      </c>
    </row>
    <row r="13" spans="1:46" s="3" customFormat="1" x14ac:dyDescent="0.25">
      <c r="B13" s="3" t="s">
        <v>51</v>
      </c>
      <c r="E13" s="3">
        <v>-59</v>
      </c>
      <c r="F13" s="3">
        <v>-59</v>
      </c>
      <c r="G13" s="3">
        <v>159</v>
      </c>
      <c r="J13" s="3">
        <v>88</v>
      </c>
      <c r="K13" s="3">
        <v>1797</v>
      </c>
      <c r="L13" s="3">
        <v>-493</v>
      </c>
      <c r="M13" s="3">
        <v>746</v>
      </c>
      <c r="N13" s="3">
        <v>-3417</v>
      </c>
      <c r="O13" s="3">
        <v>14467</v>
      </c>
      <c r="P13" s="3">
        <v>7916</v>
      </c>
      <c r="Q13" s="3">
        <v>-401</v>
      </c>
      <c r="R13" s="3">
        <v>3800</v>
      </c>
      <c r="S13" s="3">
        <v>11068</v>
      </c>
      <c r="T13" s="3">
        <f>-5389-Q13-R13-S13</f>
        <v>-19856</v>
      </c>
      <c r="Z13" s="3">
        <f t="shared" si="2"/>
        <v>19712</v>
      </c>
      <c r="AA13" s="3">
        <f t="shared" si="3"/>
        <v>-5389</v>
      </c>
    </row>
    <row r="14" spans="1:46" s="3" customFormat="1" x14ac:dyDescent="0.25">
      <c r="B14" s="3" t="s">
        <v>49</v>
      </c>
      <c r="E14" s="3">
        <v>-154</v>
      </c>
      <c r="F14" s="3">
        <v>-154</v>
      </c>
      <c r="G14" s="3">
        <v>-29149</v>
      </c>
      <c r="I14" s="3">
        <v>-145249</v>
      </c>
      <c r="J14" s="3">
        <v>6814</v>
      </c>
      <c r="M14" s="3">
        <v>5120</v>
      </c>
      <c r="N14" s="3">
        <v>-10030</v>
      </c>
      <c r="O14" s="3">
        <v>-920</v>
      </c>
      <c r="P14" s="3">
        <v>-1220</v>
      </c>
      <c r="Q14" s="3">
        <v>-730</v>
      </c>
      <c r="R14" s="3">
        <v>340</v>
      </c>
      <c r="S14" s="3">
        <v>-530</v>
      </c>
      <c r="T14" s="3">
        <f>-1791-Q14-R14-S14</f>
        <v>-871</v>
      </c>
      <c r="Z14" s="3">
        <f t="shared" si="2"/>
        <v>-7050</v>
      </c>
      <c r="AA14" s="3">
        <f t="shared" si="3"/>
        <v>-1791</v>
      </c>
    </row>
    <row r="15" spans="1:46" s="3" customFormat="1" x14ac:dyDescent="0.25">
      <c r="B15" s="3" t="s">
        <v>50</v>
      </c>
      <c r="D15" s="3">
        <v>-71</v>
      </c>
      <c r="H15" s="3">
        <v>19356</v>
      </c>
      <c r="O15" s="3">
        <v>725</v>
      </c>
      <c r="S15" s="3">
        <v>725</v>
      </c>
      <c r="T15" s="3">
        <f>-327822-Q15-R15-S15</f>
        <v>-328547</v>
      </c>
      <c r="Z15" s="3">
        <f t="shared" si="2"/>
        <v>725</v>
      </c>
      <c r="AA15" s="3">
        <f t="shared" si="3"/>
        <v>-327822</v>
      </c>
    </row>
    <row r="16" spans="1:46" s="3" customFormat="1" x14ac:dyDescent="0.25">
      <c r="B16" s="3" t="s">
        <v>52</v>
      </c>
      <c r="D16" s="3">
        <f>SUM(D10:D15)</f>
        <v>-254</v>
      </c>
      <c r="E16" s="3">
        <f>SUM(E10:E15)</f>
        <v>-520</v>
      </c>
      <c r="F16" s="3">
        <f>SUM(F10:F15)</f>
        <v>-520</v>
      </c>
      <c r="G16" s="3">
        <f>SUM(G10:G15)</f>
        <v>-29741</v>
      </c>
      <c r="H16" s="3">
        <f>SUM(H10:H15)</f>
        <v>19268</v>
      </c>
      <c r="I16" s="3">
        <f>SUM(I10:I15)</f>
        <v>-145018</v>
      </c>
      <c r="J16" s="3">
        <f>SUM(J10:J15)</f>
        <v>6918</v>
      </c>
      <c r="K16" s="3">
        <f>SUM(K10:K15)</f>
        <v>-279</v>
      </c>
      <c r="L16" s="3">
        <f>SUM(L10:L15)</f>
        <v>-4984</v>
      </c>
      <c r="M16" s="3">
        <f>SUM(M10:M15)</f>
        <v>1377</v>
      </c>
      <c r="N16" s="3">
        <f>SUM(N10:N15)</f>
        <v>-17297</v>
      </c>
      <c r="O16" s="3">
        <f>SUM(O10:O15)</f>
        <v>17415</v>
      </c>
      <c r="P16" s="3">
        <f>SUM(P10:P15)</f>
        <v>8215</v>
      </c>
      <c r="Q16" s="3">
        <f>SUM(Q10:Q15)</f>
        <v>1117</v>
      </c>
      <c r="R16" s="3">
        <f>SUM(R10:R15)</f>
        <v>5856</v>
      </c>
      <c r="S16" s="3">
        <f>SUM(S10:S15)</f>
        <v>10442</v>
      </c>
      <c r="T16" s="3">
        <f>SUM(T10:T15)</f>
        <v>-360067</v>
      </c>
      <c r="Z16" s="3">
        <f>SUM(M16:P16)</f>
        <v>9710</v>
      </c>
      <c r="AA16" s="3">
        <f t="shared" si="3"/>
        <v>-342652</v>
      </c>
    </row>
    <row r="17" spans="2:27" s="11" customFormat="1" x14ac:dyDescent="0.25">
      <c r="B17" s="11" t="s">
        <v>53</v>
      </c>
      <c r="D17" s="11">
        <f>D9+D16</f>
        <v>-3016</v>
      </c>
      <c r="E17" s="11">
        <f>E9+E16</f>
        <v>-1815</v>
      </c>
      <c r="F17" s="11">
        <f>F9+F16</f>
        <v>-1815</v>
      </c>
      <c r="G17" s="11">
        <f>G9+G16</f>
        <v>-39664</v>
      </c>
      <c r="H17" s="11">
        <f>H9+H16</f>
        <v>-12038</v>
      </c>
      <c r="I17" s="11">
        <f>I9+I16</f>
        <v>-178116</v>
      </c>
      <c r="J17" s="11">
        <f>J9+J16</f>
        <v>-46222</v>
      </c>
      <c r="K17" s="11">
        <f>K9+K16</f>
        <v>-109844</v>
      </c>
      <c r="L17" s="11">
        <f>L9+L16</f>
        <v>-138417</v>
      </c>
      <c r="M17" s="11">
        <f>M9+M16</f>
        <v>-122074</v>
      </c>
      <c r="N17" s="11">
        <f>N9+N16</f>
        <v>-105976</v>
      </c>
      <c r="O17" s="11">
        <f>O9+O16</f>
        <v>-296208</v>
      </c>
      <c r="P17" s="11">
        <f>P9+P16</f>
        <v>-169919</v>
      </c>
      <c r="Q17" s="11">
        <f>Q9+Q16</f>
        <v>-120496</v>
      </c>
      <c r="R17" s="11">
        <f>R9+R16</f>
        <v>-82328</v>
      </c>
      <c r="S17" s="11">
        <f>S9+S16</f>
        <v>-93384</v>
      </c>
      <c r="T17" s="11">
        <f>T9+T16</f>
        <v>-463535</v>
      </c>
      <c r="Z17" s="11">
        <f>SUM(M17:P17)</f>
        <v>-694177</v>
      </c>
      <c r="AA17" s="11">
        <f>SUM(T17)</f>
        <v>-463535</v>
      </c>
    </row>
    <row r="18" spans="2:27" s="3" customFormat="1" x14ac:dyDescent="0.25">
      <c r="B18" s="3" t="s">
        <v>54</v>
      </c>
      <c r="K18" s="3">
        <v>-279</v>
      </c>
      <c r="L18" s="3">
        <v>-15</v>
      </c>
      <c r="O18" s="3">
        <v>-2173</v>
      </c>
      <c r="P18" s="3">
        <v>-185</v>
      </c>
      <c r="Q18" s="3">
        <v>-59</v>
      </c>
      <c r="R18" s="3">
        <v>-279</v>
      </c>
      <c r="S18" s="3">
        <v>-1835</v>
      </c>
      <c r="T18" s="3">
        <f>-2243-Q18-R18-S18</f>
        <v>-70</v>
      </c>
      <c r="Z18" s="3">
        <f>SUM(M18:P18)</f>
        <v>-2358</v>
      </c>
      <c r="AA18" s="3">
        <f>SUM(Q18:T18)</f>
        <v>-2243</v>
      </c>
    </row>
    <row r="19" spans="2:27" s="22" customFormat="1" ht="15.75" thickBot="1" x14ac:dyDescent="0.3">
      <c r="B19" s="21" t="s">
        <v>55</v>
      </c>
      <c r="C19" s="21"/>
      <c r="D19" s="21">
        <f>D17+D18</f>
        <v>-3016</v>
      </c>
      <c r="E19" s="21">
        <f>E17+E18</f>
        <v>-1815</v>
      </c>
      <c r="F19" s="21">
        <f>F17+F18</f>
        <v>-1815</v>
      </c>
      <c r="G19" s="21">
        <f>G17+G18</f>
        <v>-39664</v>
      </c>
      <c r="H19" s="21">
        <f>H17+H18</f>
        <v>-12038</v>
      </c>
      <c r="I19" s="21">
        <f>I17+I18</f>
        <v>-178116</v>
      </c>
      <c r="J19" s="21">
        <f>J17+J18</f>
        <v>-46222</v>
      </c>
      <c r="K19" s="21">
        <f>K17+K18</f>
        <v>-110123</v>
      </c>
      <c r="L19" s="21">
        <f>L17+L18</f>
        <v>-138432</v>
      </c>
      <c r="M19" s="21">
        <f>M17+M18</f>
        <v>-122074</v>
      </c>
      <c r="N19" s="21">
        <f>N17+N18</f>
        <v>-105976</v>
      </c>
      <c r="O19" s="21">
        <f>O17+O18</f>
        <v>-298381</v>
      </c>
      <c r="P19" s="21">
        <f>P17+P18</f>
        <v>-170104</v>
      </c>
      <c r="Q19" s="21">
        <f>Q17+Q18</f>
        <v>-120555</v>
      </c>
      <c r="R19" s="21">
        <f>R17+R18</f>
        <v>-82607</v>
      </c>
      <c r="S19" s="21">
        <f>S17+S18</f>
        <v>-95219</v>
      </c>
      <c r="T19" s="21">
        <f>T17+T18</f>
        <v>-463605</v>
      </c>
      <c r="Z19" s="21">
        <f>SUM(M19:P19)</f>
        <v>-696535</v>
      </c>
      <c r="AA19" s="21">
        <f>SUM(Q19:T19)</f>
        <v>-761986</v>
      </c>
    </row>
    <row r="20" spans="2:27" s="25" customFormat="1" ht="15.75" thickTop="1" x14ac:dyDescent="0.25">
      <c r="B20" s="23" t="s">
        <v>56</v>
      </c>
      <c r="C20" s="23"/>
      <c r="D20" s="24">
        <f>D19/D21</f>
        <v>-2.8605816524246659E-2</v>
      </c>
      <c r="E20" s="24">
        <f>E19/E21</f>
        <v>-1.7214707225300958E-2</v>
      </c>
      <c r="F20" s="24">
        <f>F19/F21</f>
        <v>-1.7214707225300958E-2</v>
      </c>
      <c r="G20" s="24">
        <f>G19/G21</f>
        <v>-0.37578474696495601</v>
      </c>
      <c r="H20" s="24">
        <f>H19/H21</f>
        <v>-5.3953962685496779E-2</v>
      </c>
      <c r="I20" s="24">
        <f>I19/I21</f>
        <v>-0.63649782427529211</v>
      </c>
      <c r="J20" s="24">
        <f>J19/J21</f>
        <v>-0.15653840994262677</v>
      </c>
      <c r="K20" s="24">
        <f>K19/K21</f>
        <v>-0.37186940634517135</v>
      </c>
      <c r="L20" s="24">
        <f>L19/L21</f>
        <v>-0.46656235701349402</v>
      </c>
      <c r="M20" s="24">
        <f>M19/M21</f>
        <v>-0.41170472687001386</v>
      </c>
      <c r="N20" s="24">
        <f>N19/N21</f>
        <v>-0.35530247998522657</v>
      </c>
      <c r="O20" s="24">
        <f>O19/O21</f>
        <v>-0.89499702866961506</v>
      </c>
      <c r="P20" s="24">
        <f>P19/P21</f>
        <v>-0.54019826251807634</v>
      </c>
      <c r="Q20" s="24">
        <f>Q19/Q21</f>
        <v>-0.37557994904219233</v>
      </c>
      <c r="R20" s="24">
        <f>R19/R21</f>
        <v>-0.24593610803975877</v>
      </c>
      <c r="S20" s="24">
        <f>S19/S21</f>
        <v>-0.27752401039988578</v>
      </c>
      <c r="T20" s="24">
        <f>T19/T21</f>
        <v>-1.324200390889114</v>
      </c>
      <c r="Z20" s="30">
        <f>SUM(M20:P20)</f>
        <v>-2.202202498042932</v>
      </c>
      <c r="AA20" s="30">
        <f>SUM(T20)</f>
        <v>-1.324200390889114</v>
      </c>
    </row>
    <row r="21" spans="2:27" x14ac:dyDescent="0.25">
      <c r="B21" s="3" t="s">
        <v>1</v>
      </c>
      <c r="C21" s="3"/>
      <c r="D21" s="3">
        <v>105433.103</v>
      </c>
      <c r="E21" s="3">
        <v>105433.103</v>
      </c>
      <c r="F21" s="3">
        <v>105433.103</v>
      </c>
      <c r="G21" s="3">
        <v>105549.787</v>
      </c>
      <c r="H21" s="3">
        <v>223116.14199999999</v>
      </c>
      <c r="I21" s="3">
        <v>279837.56300000002</v>
      </c>
      <c r="J21" s="3">
        <v>295275.77299999999</v>
      </c>
      <c r="K21" s="3">
        <v>296133.53000000003</v>
      </c>
      <c r="L21" s="3">
        <v>296706.32</v>
      </c>
      <c r="M21" s="3">
        <v>296508.61900000001</v>
      </c>
      <c r="N21" s="3">
        <v>298269.80099999998</v>
      </c>
      <c r="O21" s="3">
        <v>333387.69900000002</v>
      </c>
      <c r="P21" s="3">
        <v>314891.79399999999</v>
      </c>
      <c r="Q21" s="3">
        <v>320983.58899999998</v>
      </c>
      <c r="R21" s="3">
        <v>335888.05099999998</v>
      </c>
      <c r="S21" s="3">
        <v>343101.84499999997</v>
      </c>
      <c r="T21" s="3">
        <v>350101.84499999997</v>
      </c>
      <c r="Z21" s="3">
        <f>AVERAGE(M21:P21)</f>
        <v>310764.47824999999</v>
      </c>
      <c r="AA21" s="3">
        <f>AVERAGE(Q21:T21)</f>
        <v>337518.83249999996</v>
      </c>
    </row>
    <row r="23" spans="2:27" s="13" customFormat="1" x14ac:dyDescent="0.25">
      <c r="B23" s="12" t="s">
        <v>67</v>
      </c>
      <c r="H23" s="18"/>
      <c r="I23" s="18"/>
      <c r="J23" s="18"/>
      <c r="K23" s="18"/>
      <c r="L23" s="18"/>
      <c r="M23" s="18">
        <f t="shared" ref="M23:Q23" si="4">M3/I3-1</f>
        <v>-0.45454545454545459</v>
      </c>
      <c r="N23" s="18">
        <f t="shared" si="4"/>
        <v>-0.62962962962962965</v>
      </c>
      <c r="O23" s="18">
        <f>O3/K3-1</f>
        <v>4853.8666666666668</v>
      </c>
      <c r="P23" s="18">
        <f t="shared" si="4"/>
        <v>6.4634146341463419</v>
      </c>
      <c r="Q23" s="18">
        <f t="shared" si="4"/>
        <v>15.5</v>
      </c>
      <c r="R23" s="18">
        <f>R3/N3-1</f>
        <v>81.5</v>
      </c>
      <c r="S23" s="18">
        <f>S3/P3-1</f>
        <v>233.640522875817</v>
      </c>
      <c r="T23" s="18">
        <f>T3/Q3-1</f>
        <v>1009.4545454545455</v>
      </c>
      <c r="AA23" s="31">
        <f>AA3/Z3-1</f>
        <v>1.7350275457615072</v>
      </c>
    </row>
    <row r="24" spans="2:27" s="15" customFormat="1" x14ac:dyDescent="0.25">
      <c r="B24" s="14" t="s">
        <v>68</v>
      </c>
      <c r="J24" s="19">
        <f t="shared" ref="J24:R24" si="5">J3/I3</f>
        <v>1.2272727272727273</v>
      </c>
      <c r="K24" s="19">
        <f t="shared" si="5"/>
        <v>0.55555555555555558</v>
      </c>
      <c r="L24" s="19">
        <f t="shared" si="5"/>
        <v>2.7333333333333334</v>
      </c>
      <c r="M24" s="19">
        <f t="shared" si="5"/>
        <v>0.29268292682926828</v>
      </c>
      <c r="N24" s="19">
        <f t="shared" si="5"/>
        <v>0.83333333333333337</v>
      </c>
      <c r="O24" s="19">
        <f t="shared" si="5"/>
        <v>7282.3</v>
      </c>
      <c r="P24" s="19">
        <f t="shared" si="5"/>
        <v>4.2019691580956562E-3</v>
      </c>
      <c r="Q24" s="19">
        <f t="shared" si="5"/>
        <v>0.6470588235294118</v>
      </c>
      <c r="R24" s="19">
        <f t="shared" si="5"/>
        <v>4.166666666666667</v>
      </c>
      <c r="S24" s="19">
        <f>S3/R3</f>
        <v>87.030303030303031</v>
      </c>
      <c r="T24" s="19">
        <f>T3/S3</f>
        <v>2.7864902506963789</v>
      </c>
    </row>
    <row r="26" spans="2:27" s="13" customFormat="1" x14ac:dyDescent="0.25">
      <c r="B26" s="12" t="s">
        <v>69</v>
      </c>
      <c r="I26" s="18">
        <f t="shared" ref="I26:R26" si="6">I5/I3</f>
        <v>0.22727272727272727</v>
      </c>
      <c r="J26" s="18">
        <f t="shared" si="6"/>
        <v>0.48148148148148145</v>
      </c>
      <c r="K26" s="18">
        <f t="shared" si="6"/>
        <v>-6.6666666666666666E-2</v>
      </c>
      <c r="L26" s="18">
        <f t="shared" si="6"/>
        <v>2.4390243902439025E-2</v>
      </c>
      <c r="M26" s="18">
        <f t="shared" si="6"/>
        <v>8.3333333333333329E-2</v>
      </c>
      <c r="N26" s="18">
        <f t="shared" si="6"/>
        <v>0.2</v>
      </c>
      <c r="O26" s="18">
        <f t="shared" si="6"/>
        <v>-0.44833363085838268</v>
      </c>
      <c r="P26" s="18">
        <f t="shared" si="6"/>
        <v>0.22222222222222221</v>
      </c>
      <c r="Q26" s="18">
        <f t="shared" si="6"/>
        <v>0.17171717171717171</v>
      </c>
      <c r="R26" s="18">
        <f t="shared" si="6"/>
        <v>7.8787878787878782E-2</v>
      </c>
      <c r="S26" s="18">
        <f>S5/S3</f>
        <v>-0.45610027855153201</v>
      </c>
      <c r="T26" s="18">
        <f>T5/T3</f>
        <v>-0.35134702854001099</v>
      </c>
      <c r="Z26" s="18">
        <f>Z5/Z3</f>
        <v>-0.44535276346188024</v>
      </c>
      <c r="AA26" s="18">
        <f>AA5/AA3</f>
        <v>-0.35134702854001099</v>
      </c>
    </row>
    <row r="27" spans="2:27" s="17" customFormat="1" x14ac:dyDescent="0.25">
      <c r="B27" s="16" t="s">
        <v>70</v>
      </c>
      <c r="I27" s="20">
        <f t="shared" ref="I27:R27" si="7">I9/I3</f>
        <v>-1504.4545454545455</v>
      </c>
      <c r="J27" s="20">
        <f t="shared" si="7"/>
        <v>-1968.148148148148</v>
      </c>
      <c r="K27" s="20">
        <f t="shared" si="7"/>
        <v>-7304.333333333333</v>
      </c>
      <c r="L27" s="20">
        <f t="shared" si="7"/>
        <v>-3254.4634146341464</v>
      </c>
      <c r="M27" s="20">
        <f t="shared" si="7"/>
        <v>-10287.583333333334</v>
      </c>
      <c r="N27" s="20">
        <f t="shared" si="7"/>
        <v>-8867.9</v>
      </c>
      <c r="O27" s="20">
        <f t="shared" si="7"/>
        <v>-4.3066476250635102</v>
      </c>
      <c r="P27" s="20">
        <f t="shared" si="7"/>
        <v>-582.13725490196077</v>
      </c>
      <c r="Q27" s="20">
        <f t="shared" si="7"/>
        <v>-614.20707070707067</v>
      </c>
      <c r="R27" s="20">
        <f t="shared" si="7"/>
        <v>-106.88969696969697</v>
      </c>
      <c r="S27" s="20">
        <f>S9/S3</f>
        <v>-1.4460445682451253</v>
      </c>
      <c r="T27" s="20">
        <f>T9/T3</f>
        <v>-0.51715899435197676</v>
      </c>
      <c r="Z27" s="20">
        <f>Z9/Z3</f>
        <v>-9.6223838361744889</v>
      </c>
      <c r="AA27" s="20">
        <f>AA9/AA3</f>
        <v>-0.51715899435197676</v>
      </c>
    </row>
    <row r="28" spans="2:27" s="17" customFormat="1" x14ac:dyDescent="0.25">
      <c r="B28" s="16" t="s">
        <v>71</v>
      </c>
      <c r="I28" s="20">
        <f t="shared" ref="I28:R28" si="8">I19/I3</f>
        <v>-8096.181818181818</v>
      </c>
      <c r="J28" s="20">
        <f t="shared" si="8"/>
        <v>-1711.9259259259259</v>
      </c>
      <c r="K28" s="20">
        <f t="shared" si="8"/>
        <v>-7341.5333333333338</v>
      </c>
      <c r="L28" s="20">
        <f t="shared" si="8"/>
        <v>-3376.3902439024391</v>
      </c>
      <c r="M28" s="20">
        <f t="shared" si="8"/>
        <v>-10172.833333333334</v>
      </c>
      <c r="N28" s="20">
        <f t="shared" si="8"/>
        <v>-10597.6</v>
      </c>
      <c r="O28" s="20">
        <f t="shared" si="8"/>
        <v>-4.0973456188292161</v>
      </c>
      <c r="P28" s="20">
        <f t="shared" si="8"/>
        <v>-555.89542483660125</v>
      </c>
      <c r="Q28" s="20">
        <f t="shared" si="8"/>
        <v>-608.86363636363637</v>
      </c>
      <c r="R28" s="20">
        <f t="shared" si="8"/>
        <v>-100.12969696969697</v>
      </c>
      <c r="S28" s="20">
        <f>S19/S3</f>
        <v>-1.3261699164345404</v>
      </c>
      <c r="T28" s="20">
        <f>T19/T3</f>
        <v>-2.3172139751087117</v>
      </c>
      <c r="Z28" s="20">
        <f>Z19/Z3</f>
        <v>-9.5218794001449059</v>
      </c>
      <c r="AA28" s="20">
        <f>AA19/AA3</f>
        <v>-3.8085969910531312</v>
      </c>
    </row>
    <row r="29" spans="2:27" s="15" customFormat="1" x14ac:dyDescent="0.25">
      <c r="B29" s="14" t="s">
        <v>72</v>
      </c>
      <c r="I29" s="19">
        <f t="shared" ref="I29:R29" si="9">I18/I17</f>
        <v>0</v>
      </c>
      <c r="J29" s="19">
        <f t="shared" si="9"/>
        <v>0</v>
      </c>
      <c r="K29" s="19">
        <f t="shared" si="9"/>
        <v>2.5399657696369396E-3</v>
      </c>
      <c r="L29" s="19">
        <f t="shared" si="9"/>
        <v>1.0836819176835215E-4</v>
      </c>
      <c r="M29" s="19">
        <f t="shared" si="9"/>
        <v>0</v>
      </c>
      <c r="N29" s="19">
        <f t="shared" si="9"/>
        <v>0</v>
      </c>
      <c r="O29" s="19">
        <f t="shared" si="9"/>
        <v>7.3360611462215744E-3</v>
      </c>
      <c r="P29" s="19">
        <f t="shared" si="9"/>
        <v>1.088754053401915E-3</v>
      </c>
      <c r="Q29" s="19">
        <f t="shared" si="9"/>
        <v>4.896428097198247E-4</v>
      </c>
      <c r="R29" s="19">
        <f t="shared" si="9"/>
        <v>3.3888834904285299E-3</v>
      </c>
      <c r="S29" s="19">
        <f>S18/S17</f>
        <v>1.965004711727919E-2</v>
      </c>
      <c r="T29" s="19">
        <f>T18/T17</f>
        <v>1.510134078332812E-4</v>
      </c>
      <c r="Z29" s="32">
        <f>Z18/Z17</f>
        <v>3.3968281864711737E-3</v>
      </c>
      <c r="AA29" s="32">
        <f>AA18/AA17</f>
        <v>4.8389010538578536E-3</v>
      </c>
    </row>
    <row r="31" spans="2:27" s="27" customFormat="1" x14ac:dyDescent="0.25">
      <c r="B31" s="26" t="s">
        <v>73</v>
      </c>
      <c r="T31" s="27">
        <f>T32-T43</f>
        <v>-836629</v>
      </c>
      <c r="AA31" s="27">
        <f>AA32-AA43</f>
        <v>-836629</v>
      </c>
    </row>
    <row r="32" spans="2:27" s="27" customFormat="1" x14ac:dyDescent="0.25">
      <c r="B32" s="26" t="s">
        <v>3</v>
      </c>
      <c r="T32" s="27">
        <f>325452+1350+70447</f>
        <v>397249</v>
      </c>
      <c r="AA32" s="27">
        <f>325452+1350+70447</f>
        <v>397249</v>
      </c>
    </row>
    <row r="33" spans="2:27" s="27" customFormat="1" x14ac:dyDescent="0.25">
      <c r="B33" s="26" t="s">
        <v>74</v>
      </c>
      <c r="T33" s="27">
        <v>538889</v>
      </c>
      <c r="AA33" s="27">
        <v>538889</v>
      </c>
    </row>
    <row r="34" spans="2:27" s="27" customFormat="1" x14ac:dyDescent="0.25">
      <c r="B34" s="26" t="s">
        <v>75</v>
      </c>
      <c r="T34" s="27">
        <v>19592</v>
      </c>
      <c r="AA34" s="27">
        <v>19592</v>
      </c>
    </row>
    <row r="35" spans="2:27" s="27" customFormat="1" x14ac:dyDescent="0.25">
      <c r="B35" s="26" t="s">
        <v>76</v>
      </c>
      <c r="T35" s="27">
        <v>135575</v>
      </c>
      <c r="AA35" s="27">
        <v>135575</v>
      </c>
    </row>
    <row r="36" spans="2:27" s="27" customFormat="1" x14ac:dyDescent="0.25">
      <c r="B36" s="26" t="s">
        <v>77</v>
      </c>
      <c r="T36" s="27">
        <v>575407</v>
      </c>
      <c r="AA36" s="27">
        <v>575407</v>
      </c>
    </row>
    <row r="37" spans="2:27" s="27" customFormat="1" x14ac:dyDescent="0.25">
      <c r="B37" s="26" t="s">
        <v>78</v>
      </c>
      <c r="T37" s="27">
        <v>220743</v>
      </c>
      <c r="AA37" s="27">
        <v>220743</v>
      </c>
    </row>
    <row r="38" spans="2:27" s="27" customFormat="1" x14ac:dyDescent="0.25">
      <c r="B38" s="26" t="s">
        <v>79</v>
      </c>
      <c r="T38" s="27">
        <v>90686</v>
      </c>
      <c r="AA38" s="27">
        <v>90686</v>
      </c>
    </row>
    <row r="39" spans="2:27" s="27" customFormat="1" x14ac:dyDescent="0.25">
      <c r="B39" s="26" t="s">
        <v>80</v>
      </c>
      <c r="T39" s="27">
        <v>27224</v>
      </c>
      <c r="AA39" s="27">
        <v>27224</v>
      </c>
    </row>
    <row r="40" spans="2:27" s="11" customFormat="1" x14ac:dyDescent="0.25">
      <c r="B40" s="28" t="s">
        <v>81</v>
      </c>
      <c r="T40" s="11">
        <f>SUM(T32:T39)</f>
        <v>2005365</v>
      </c>
      <c r="AA40" s="11">
        <f>SUM(AA32:AA39)</f>
        <v>2005365</v>
      </c>
    </row>
    <row r="41" spans="2:27" s="27" customFormat="1" x14ac:dyDescent="0.25"/>
    <row r="42" spans="2:27" s="27" customFormat="1" x14ac:dyDescent="0.25">
      <c r="B42" s="26" t="s">
        <v>82</v>
      </c>
      <c r="T42" s="27">
        <v>165345</v>
      </c>
      <c r="AA42" s="27">
        <v>165345</v>
      </c>
    </row>
    <row r="43" spans="2:27" s="27" customFormat="1" x14ac:dyDescent="0.25">
      <c r="B43" s="26" t="s">
        <v>4</v>
      </c>
      <c r="T43" s="27">
        <f>6935+1226943</f>
        <v>1233878</v>
      </c>
      <c r="AA43" s="27">
        <f>6935+1226943</f>
        <v>1233878</v>
      </c>
    </row>
    <row r="44" spans="2:27" s="27" customFormat="1" x14ac:dyDescent="0.25">
      <c r="B44" s="26" t="s">
        <v>83</v>
      </c>
      <c r="T44" s="27">
        <v>375684</v>
      </c>
      <c r="AA44" s="27">
        <v>375684</v>
      </c>
    </row>
    <row r="45" spans="2:27" s="27" customFormat="1" x14ac:dyDescent="0.25">
      <c r="B45" s="26" t="s">
        <v>84</v>
      </c>
      <c r="T45" s="27">
        <v>25184</v>
      </c>
      <c r="AA45" s="27">
        <v>25184</v>
      </c>
    </row>
    <row r="46" spans="2:27" s="27" customFormat="1" x14ac:dyDescent="0.25">
      <c r="B46" s="26" t="s">
        <v>85</v>
      </c>
      <c r="T46" s="27">
        <v>17724</v>
      </c>
      <c r="AA46" s="27">
        <v>17724</v>
      </c>
    </row>
    <row r="47" spans="2:27" s="27" customFormat="1" x14ac:dyDescent="0.25">
      <c r="B47" s="26" t="s">
        <v>86</v>
      </c>
      <c r="T47" s="27">
        <f>15049+65723</f>
        <v>80772</v>
      </c>
      <c r="AA47" s="27">
        <f>15049+65723</f>
        <v>80772</v>
      </c>
    </row>
    <row r="48" spans="2:27" s="27" customFormat="1" x14ac:dyDescent="0.25">
      <c r="B48" s="26" t="s">
        <v>87</v>
      </c>
      <c r="T48" s="27">
        <v>26897</v>
      </c>
      <c r="AA48" s="27">
        <v>26897</v>
      </c>
    </row>
    <row r="49" spans="2:27" s="11" customFormat="1" x14ac:dyDescent="0.25">
      <c r="B49" s="28" t="s">
        <v>88</v>
      </c>
      <c r="T49" s="11">
        <f>SUM(T42:T48)</f>
        <v>1925484</v>
      </c>
      <c r="AA49" s="11">
        <f>SUM(AA42:AA48)</f>
        <v>1925484</v>
      </c>
    </row>
    <row r="50" spans="2:27" s="27" customFormat="1" x14ac:dyDescent="0.25">
      <c r="B50" s="26" t="s">
        <v>89</v>
      </c>
      <c r="T50" s="27">
        <v>79880</v>
      </c>
      <c r="AA50" s="27">
        <v>79880</v>
      </c>
    </row>
    <row r="51" spans="2:27" s="21" customFormat="1" ht="15.75" thickBot="1" x14ac:dyDescent="0.3">
      <c r="B51" s="29" t="s">
        <v>90</v>
      </c>
      <c r="T51" s="21">
        <f>T49+T50</f>
        <v>2005364</v>
      </c>
      <c r="AA51" s="21">
        <f>AA49+AA50</f>
        <v>2005364</v>
      </c>
    </row>
    <row r="52" spans="2:27" ht="15.75" thickTop="1" x14ac:dyDescent="0.25"/>
  </sheetData>
  <phoneticPr fontId="2" type="noConversion"/>
  <hyperlinks>
    <hyperlink ref="A1" location="FSRN!A1" display="Main" xr:uid="{F11DAF57-F530-4668-9C6A-3624BEB892EC}"/>
  </hyperlinks>
  <pageMargins left="0.7" right="0.7" top="0.75" bottom="0.75" header="0.3" footer="0.3"/>
  <ignoredErrors>
    <ignoredError sqref="Z3:AA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FSRN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2024-04-19T15:09:02Z</dcterms:modified>
</cp:coreProperties>
</file>