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423" documentId="8_{6E34FC57-6FF2-4B37-85C8-077372CDB323}" xr6:coauthVersionLast="47" xr6:coauthVersionMax="47" xr10:uidLastSave="{49D881F0-2A64-4C67-9DD3-BA224D1A54AD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5" i="1" l="1"/>
  <c r="AQ44" i="1" l="1"/>
  <c r="AQ43" i="1"/>
  <c r="AQ41" i="1"/>
  <c r="AP20" i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AO20" i="1"/>
  <c r="Q37" i="1"/>
  <c r="P37" i="1"/>
  <c r="O37" i="1"/>
  <c r="N37" i="1"/>
  <c r="M37" i="1"/>
  <c r="M35" i="1" s="1"/>
  <c r="Q36" i="1"/>
  <c r="Q35" i="1" s="1"/>
  <c r="P36" i="1"/>
  <c r="O36" i="1"/>
  <c r="O35" i="1" s="1"/>
  <c r="N36" i="1"/>
  <c r="M36" i="1"/>
  <c r="P35" i="1"/>
  <c r="N35" i="1"/>
  <c r="R35" i="1"/>
  <c r="R37" i="1"/>
  <c r="R36" i="1"/>
  <c r="AD22" i="1"/>
  <c r="AD16" i="1"/>
  <c r="U4" i="1"/>
  <c r="U27" i="1" s="1"/>
  <c r="T4" i="1"/>
  <c r="T21" i="1" s="1"/>
  <c r="S4" i="1"/>
  <c r="U8" i="1"/>
  <c r="U5" i="1"/>
  <c r="U6" i="1" s="1"/>
  <c r="T17" i="1"/>
  <c r="T5" i="1"/>
  <c r="T6" i="1" s="1"/>
  <c r="X10" i="1"/>
  <c r="W10" i="1"/>
  <c r="Y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10" i="1"/>
  <c r="U106" i="1"/>
  <c r="U102" i="1"/>
  <c r="U90" i="1"/>
  <c r="U82" i="1"/>
  <c r="U109" i="1" s="1"/>
  <c r="T106" i="1"/>
  <c r="T102" i="1"/>
  <c r="T90" i="1"/>
  <c r="T82" i="1"/>
  <c r="T109" i="1" s="1"/>
  <c r="S106" i="1"/>
  <c r="S102" i="1"/>
  <c r="S90" i="1"/>
  <c r="S82" i="1"/>
  <c r="S109" i="1" s="1"/>
  <c r="R106" i="1"/>
  <c r="R102" i="1"/>
  <c r="R90" i="1"/>
  <c r="R45" i="1"/>
  <c r="R59" i="1"/>
  <c r="R52" i="1"/>
  <c r="R56" i="1" s="1"/>
  <c r="R43" i="1"/>
  <c r="R28" i="1"/>
  <c r="R27" i="1"/>
  <c r="R6" i="1"/>
  <c r="R30" i="1" s="1"/>
  <c r="Y32" i="1"/>
  <c r="X32" i="1"/>
  <c r="W32" i="1"/>
  <c r="Y27" i="1"/>
  <c r="X27" i="1"/>
  <c r="Y23" i="1"/>
  <c r="X23" i="1"/>
  <c r="W23" i="1"/>
  <c r="Y6" i="1"/>
  <c r="Y30" i="1" s="1"/>
  <c r="X6" i="1"/>
  <c r="X30" i="1" s="1"/>
  <c r="W6" i="1"/>
  <c r="Z17" i="1"/>
  <c r="Z25" i="1"/>
  <c r="Z22" i="1"/>
  <c r="Z21" i="1"/>
  <c r="Z16" i="1"/>
  <c r="Z15" i="1"/>
  <c r="Z14" i="1"/>
  <c r="Z13" i="1"/>
  <c r="Z12" i="1"/>
  <c r="Z9" i="1"/>
  <c r="Z8" i="1"/>
  <c r="Z7" i="1"/>
  <c r="Z5" i="1"/>
  <c r="Z4" i="1"/>
  <c r="Z27" i="1" s="1"/>
  <c r="AA25" i="1"/>
  <c r="AA22" i="1"/>
  <c r="AA21" i="1"/>
  <c r="AA17" i="1"/>
  <c r="AA16" i="1"/>
  <c r="AA15" i="1"/>
  <c r="AA14" i="1"/>
  <c r="AA13" i="1"/>
  <c r="AA12" i="1"/>
  <c r="AA9" i="1"/>
  <c r="AA8" i="1"/>
  <c r="AA7" i="1"/>
  <c r="AA5" i="1"/>
  <c r="AA4" i="1"/>
  <c r="AB25" i="1"/>
  <c r="AB22" i="1"/>
  <c r="AB21" i="1"/>
  <c r="AB17" i="1"/>
  <c r="AB16" i="1"/>
  <c r="AB15" i="1"/>
  <c r="AB14" i="1"/>
  <c r="AB13" i="1"/>
  <c r="AB12" i="1"/>
  <c r="AB9" i="1"/>
  <c r="AB8" i="1"/>
  <c r="AB7" i="1"/>
  <c r="AB5" i="1"/>
  <c r="AB4" i="1"/>
  <c r="AC25" i="1"/>
  <c r="AC22" i="1"/>
  <c r="AC21" i="1"/>
  <c r="AC17" i="1"/>
  <c r="AC16" i="1"/>
  <c r="AC15" i="1"/>
  <c r="AC14" i="1"/>
  <c r="AC13" i="1"/>
  <c r="AC12" i="1"/>
  <c r="AC9" i="1"/>
  <c r="AC8" i="1"/>
  <c r="AC7" i="1"/>
  <c r="AC5" i="1"/>
  <c r="AC4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P27" i="1"/>
  <c r="O27" i="1"/>
  <c r="N27" i="1"/>
  <c r="M27" i="1"/>
  <c r="L27" i="1"/>
  <c r="K27" i="1"/>
  <c r="J27" i="1"/>
  <c r="I27" i="1"/>
  <c r="H27" i="1"/>
  <c r="G27" i="1"/>
  <c r="F27" i="1"/>
  <c r="Q28" i="1"/>
  <c r="Q27" i="1"/>
  <c r="AB57" i="1"/>
  <c r="AB58" i="1"/>
  <c r="AB55" i="1"/>
  <c r="AB54" i="1"/>
  <c r="AB53" i="1"/>
  <c r="AB51" i="1"/>
  <c r="AB50" i="1"/>
  <c r="AB49" i="1"/>
  <c r="AB47" i="1"/>
  <c r="AB46" i="1"/>
  <c r="AB44" i="1"/>
  <c r="AB42" i="1"/>
  <c r="AB41" i="1"/>
  <c r="AB40" i="1"/>
  <c r="AB39" i="1"/>
  <c r="AC58" i="1"/>
  <c r="AC59" i="1" s="1"/>
  <c r="AC55" i="1"/>
  <c r="AC54" i="1"/>
  <c r="AC53" i="1"/>
  <c r="AC51" i="1"/>
  <c r="AC50" i="1"/>
  <c r="AC49" i="1"/>
  <c r="AC47" i="1"/>
  <c r="AC46" i="1"/>
  <c r="AC44" i="1"/>
  <c r="AC42" i="1"/>
  <c r="AC41" i="1"/>
  <c r="AC40" i="1"/>
  <c r="AC39" i="1"/>
  <c r="AB106" i="1"/>
  <c r="AB102" i="1"/>
  <c r="AB90" i="1"/>
  <c r="AB82" i="1"/>
  <c r="AB109" i="1" s="1"/>
  <c r="AC106" i="1"/>
  <c r="AC102" i="1"/>
  <c r="AC90" i="1"/>
  <c r="AC82" i="1"/>
  <c r="AC109" i="1" s="1"/>
  <c r="Q106" i="1"/>
  <c r="P106" i="1"/>
  <c r="P103" i="1"/>
  <c r="P95" i="1"/>
  <c r="P93" i="1"/>
  <c r="P92" i="1"/>
  <c r="P45" i="1"/>
  <c r="O106" i="1"/>
  <c r="O101" i="1"/>
  <c r="P101" i="1" s="1"/>
  <c r="O100" i="1"/>
  <c r="P100" i="1" s="1"/>
  <c r="O98" i="1"/>
  <c r="P98" i="1" s="1"/>
  <c r="O97" i="1"/>
  <c r="P97" i="1" s="1"/>
  <c r="O96" i="1"/>
  <c r="P96" i="1" s="1"/>
  <c r="O94" i="1"/>
  <c r="P94" i="1" s="1"/>
  <c r="O91" i="1"/>
  <c r="P91" i="1" s="1"/>
  <c r="O84" i="1"/>
  <c r="P84" i="1" s="1"/>
  <c r="O83" i="1"/>
  <c r="P83" i="1" s="1"/>
  <c r="O89" i="1"/>
  <c r="P89" i="1" s="1"/>
  <c r="O87" i="1"/>
  <c r="P87" i="1" s="1"/>
  <c r="O73" i="1"/>
  <c r="P73" i="1" s="1"/>
  <c r="O74" i="1"/>
  <c r="P74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2" i="1"/>
  <c r="P72" i="1" s="1"/>
  <c r="O71" i="1"/>
  <c r="P71" i="1" s="1"/>
  <c r="O70" i="1"/>
  <c r="P70" i="1" s="1"/>
  <c r="O69" i="1"/>
  <c r="P69" i="1" s="1"/>
  <c r="O67" i="1"/>
  <c r="P67" i="1" s="1"/>
  <c r="O66" i="1"/>
  <c r="P66" i="1" s="1"/>
  <c r="O65" i="1"/>
  <c r="P65" i="1" s="1"/>
  <c r="O64" i="1"/>
  <c r="P64" i="1" s="1"/>
  <c r="O63" i="1"/>
  <c r="P63" i="1" s="1"/>
  <c r="O45" i="1"/>
  <c r="N106" i="1"/>
  <c r="Q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N102" i="1"/>
  <c r="Q90" i="1"/>
  <c r="M90" i="1"/>
  <c r="L90" i="1"/>
  <c r="K90" i="1"/>
  <c r="J90" i="1"/>
  <c r="I90" i="1"/>
  <c r="H90" i="1"/>
  <c r="G90" i="1"/>
  <c r="F90" i="1"/>
  <c r="E90" i="1"/>
  <c r="D90" i="1"/>
  <c r="C90" i="1"/>
  <c r="B90" i="1"/>
  <c r="N90" i="1"/>
  <c r="N45" i="1"/>
  <c r="M59" i="1"/>
  <c r="AB59" i="1" s="1"/>
  <c r="M45" i="1"/>
  <c r="AB45" i="1" s="1"/>
  <c r="P59" i="1"/>
  <c r="O59" i="1"/>
  <c r="N59" i="1"/>
  <c r="L59" i="1"/>
  <c r="K59" i="1"/>
  <c r="J59" i="1"/>
  <c r="I59" i="1"/>
  <c r="H59" i="1"/>
  <c r="G59" i="1"/>
  <c r="F59" i="1"/>
  <c r="E59" i="1"/>
  <c r="D59" i="1"/>
  <c r="Q59" i="1"/>
  <c r="P52" i="1"/>
  <c r="P56" i="1" s="1"/>
  <c r="O52" i="1"/>
  <c r="O56" i="1" s="1"/>
  <c r="N52" i="1"/>
  <c r="N56" i="1" s="1"/>
  <c r="M52" i="1"/>
  <c r="M56" i="1" s="1"/>
  <c r="AB56" i="1" s="1"/>
  <c r="L52" i="1"/>
  <c r="L56" i="1" s="1"/>
  <c r="K52" i="1"/>
  <c r="K56" i="1" s="1"/>
  <c r="J52" i="1"/>
  <c r="J56" i="1" s="1"/>
  <c r="I52" i="1"/>
  <c r="I56" i="1" s="1"/>
  <c r="H52" i="1"/>
  <c r="H56" i="1" s="1"/>
  <c r="G52" i="1"/>
  <c r="G56" i="1" s="1"/>
  <c r="F52" i="1"/>
  <c r="F56" i="1" s="1"/>
  <c r="E52" i="1"/>
  <c r="E56" i="1" s="1"/>
  <c r="D52" i="1"/>
  <c r="D56" i="1" s="1"/>
  <c r="P43" i="1"/>
  <c r="O43" i="1"/>
  <c r="N43" i="1"/>
  <c r="M43" i="1"/>
  <c r="AB43" i="1" s="1"/>
  <c r="L43" i="1"/>
  <c r="L48" i="1" s="1"/>
  <c r="K43" i="1"/>
  <c r="K48" i="1" s="1"/>
  <c r="J43" i="1"/>
  <c r="J48" i="1" s="1"/>
  <c r="I43" i="1"/>
  <c r="I48" i="1" s="1"/>
  <c r="H43" i="1"/>
  <c r="H48" i="1" s="1"/>
  <c r="G43" i="1"/>
  <c r="G48" i="1" s="1"/>
  <c r="F43" i="1"/>
  <c r="F48" i="1" s="1"/>
  <c r="E43" i="1"/>
  <c r="E48" i="1" s="1"/>
  <c r="D43" i="1"/>
  <c r="D48" i="1" s="1"/>
  <c r="Q52" i="1"/>
  <c r="Q56" i="1" s="1"/>
  <c r="Q45" i="1"/>
  <c r="AC45" i="1" s="1"/>
  <c r="Q43" i="1"/>
  <c r="E6" i="1"/>
  <c r="E30" i="1" s="1"/>
  <c r="B6" i="1"/>
  <c r="B30" i="1" s="1"/>
  <c r="C6" i="1"/>
  <c r="C30" i="1" s="1"/>
  <c r="F6" i="1"/>
  <c r="G6" i="1"/>
  <c r="G30" i="1" s="1"/>
  <c r="D6" i="1"/>
  <c r="D30" i="1" s="1"/>
  <c r="H6" i="1"/>
  <c r="H30" i="1" s="1"/>
  <c r="I6" i="1"/>
  <c r="I30" i="1" s="1"/>
  <c r="J6" i="1"/>
  <c r="J30" i="1" s="1"/>
  <c r="N6" i="1"/>
  <c r="K6" i="1"/>
  <c r="K30" i="1" s="1"/>
  <c r="O6" i="1"/>
  <c r="O30" i="1" s="1"/>
  <c r="L6" i="1"/>
  <c r="L30" i="1" s="1"/>
  <c r="P6" i="1"/>
  <c r="P30" i="1" s="1"/>
  <c r="M6" i="1"/>
  <c r="M30" i="1" s="1"/>
  <c r="Q6" i="1"/>
  <c r="Q30" i="1" s="1"/>
  <c r="T28" i="1" l="1"/>
  <c r="T7" i="1"/>
  <c r="T8" i="1"/>
  <c r="T9" i="1"/>
  <c r="T13" i="1"/>
  <c r="T15" i="1"/>
  <c r="U7" i="1"/>
  <c r="U9" i="1"/>
  <c r="U13" i="1"/>
  <c r="U15" i="1"/>
  <c r="U17" i="1"/>
  <c r="S27" i="1"/>
  <c r="T14" i="1"/>
  <c r="S28" i="1"/>
  <c r="U14" i="1"/>
  <c r="T27" i="1"/>
  <c r="S14" i="1"/>
  <c r="W11" i="1"/>
  <c r="W31" i="1" s="1"/>
  <c r="S21" i="1"/>
  <c r="AD4" i="1"/>
  <c r="S15" i="1"/>
  <c r="U21" i="1"/>
  <c r="U28" i="1"/>
  <c r="AB6" i="1"/>
  <c r="AC10" i="1"/>
  <c r="U10" i="1"/>
  <c r="T10" i="1"/>
  <c r="S17" i="1"/>
  <c r="AD17" i="1" s="1"/>
  <c r="S5" i="1"/>
  <c r="AD5" i="1" s="1"/>
  <c r="S8" i="1"/>
  <c r="AD8" i="1" s="1"/>
  <c r="S13" i="1"/>
  <c r="S7" i="1"/>
  <c r="AD7" i="1" s="1"/>
  <c r="S9" i="1"/>
  <c r="U11" i="1"/>
  <c r="U18" i="1" s="1"/>
  <c r="T11" i="1"/>
  <c r="R11" i="1"/>
  <c r="T108" i="1"/>
  <c r="R48" i="1"/>
  <c r="S108" i="1"/>
  <c r="U108" i="1"/>
  <c r="R60" i="1"/>
  <c r="W30" i="1"/>
  <c r="Z6" i="1"/>
  <c r="Z30" i="1" s="1"/>
  <c r="Y11" i="1"/>
  <c r="Z10" i="1"/>
  <c r="AA27" i="1"/>
  <c r="AA6" i="1"/>
  <c r="AA30" i="1" s="1"/>
  <c r="X11" i="1"/>
  <c r="AC6" i="1"/>
  <c r="AC30" i="1" s="1"/>
  <c r="AB10" i="1"/>
  <c r="AA10" i="1"/>
  <c r="AC27" i="1"/>
  <c r="AC43" i="1"/>
  <c r="AC48" i="1" s="1"/>
  <c r="F30" i="1"/>
  <c r="N30" i="1"/>
  <c r="AB30" i="1"/>
  <c r="AB108" i="1"/>
  <c r="AB27" i="1"/>
  <c r="AC52" i="1"/>
  <c r="AC56" i="1" s="1"/>
  <c r="AC60" i="1" s="1"/>
  <c r="AC108" i="1"/>
  <c r="AB52" i="1"/>
  <c r="P48" i="1"/>
  <c r="O102" i="1"/>
  <c r="P102" i="1"/>
  <c r="P90" i="1"/>
  <c r="O90" i="1"/>
  <c r="Q60" i="1"/>
  <c r="O48" i="1"/>
  <c r="M48" i="1"/>
  <c r="AB48" i="1" s="1"/>
  <c r="Q48" i="1"/>
  <c r="C11" i="1"/>
  <c r="N48" i="1"/>
  <c r="D60" i="1"/>
  <c r="L60" i="1"/>
  <c r="I60" i="1"/>
  <c r="H60" i="1"/>
  <c r="O60" i="1"/>
  <c r="P60" i="1"/>
  <c r="E60" i="1"/>
  <c r="F60" i="1"/>
  <c r="G60" i="1"/>
  <c r="J60" i="1"/>
  <c r="K60" i="1"/>
  <c r="N60" i="1"/>
  <c r="M60" i="1"/>
  <c r="AB60" i="1" s="1"/>
  <c r="E11" i="1"/>
  <c r="B11" i="1"/>
  <c r="F11" i="1"/>
  <c r="D11" i="1"/>
  <c r="G11" i="1"/>
  <c r="G31" i="1" s="1"/>
  <c r="H11" i="1"/>
  <c r="I11" i="1"/>
  <c r="J11" i="1"/>
  <c r="N11" i="1"/>
  <c r="Q11" i="1"/>
  <c r="K11" i="1"/>
  <c r="O11" i="1"/>
  <c r="L11" i="1"/>
  <c r="P11" i="1"/>
  <c r="M11" i="1"/>
  <c r="L4" i="2"/>
  <c r="L7" i="2" s="1"/>
  <c r="L8" i="2"/>
  <c r="T18" i="1" l="1"/>
  <c r="T19" i="1" s="1"/>
  <c r="T20" i="1" s="1"/>
  <c r="T23" i="1" s="1"/>
  <c r="AD14" i="1"/>
  <c r="AD15" i="1"/>
  <c r="AD21" i="1"/>
  <c r="AD9" i="1"/>
  <c r="AD13" i="1"/>
  <c r="R31" i="1"/>
  <c r="W18" i="1"/>
  <c r="W33" i="1" s="1"/>
  <c r="AE4" i="1"/>
  <c r="AD27" i="1"/>
  <c r="R18" i="1"/>
  <c r="R20" i="1" s="1"/>
  <c r="S6" i="1"/>
  <c r="AD6" i="1" s="1"/>
  <c r="AD30" i="1" s="1"/>
  <c r="S10" i="1"/>
  <c r="U19" i="1"/>
  <c r="R33" i="1"/>
  <c r="X18" i="1"/>
  <c r="X33" i="1" s="1"/>
  <c r="X31" i="1"/>
  <c r="Y18" i="1"/>
  <c r="Y33" i="1" s="1"/>
  <c r="Y31" i="1"/>
  <c r="N18" i="1"/>
  <c r="AC11" i="1"/>
  <c r="AC31" i="1" s="1"/>
  <c r="N31" i="1"/>
  <c r="J18" i="1"/>
  <c r="AB11" i="1"/>
  <c r="AB31" i="1" s="1"/>
  <c r="J31" i="1"/>
  <c r="Q18" i="1"/>
  <c r="Q31" i="1"/>
  <c r="B18" i="1"/>
  <c r="B31" i="1"/>
  <c r="Z11" i="1"/>
  <c r="Z31" i="1" s="1"/>
  <c r="E18" i="1"/>
  <c r="E31" i="1"/>
  <c r="M18" i="1"/>
  <c r="M31" i="1"/>
  <c r="I18" i="1"/>
  <c r="I31" i="1"/>
  <c r="C18" i="1"/>
  <c r="C31" i="1"/>
  <c r="H18" i="1"/>
  <c r="H31" i="1"/>
  <c r="L18" i="1"/>
  <c r="L31" i="1"/>
  <c r="D18" i="1"/>
  <c r="D31" i="1"/>
  <c r="P18" i="1"/>
  <c r="P31" i="1"/>
  <c r="O18" i="1"/>
  <c r="O31" i="1"/>
  <c r="K18" i="1"/>
  <c r="K31" i="1"/>
  <c r="F18" i="1"/>
  <c r="AA11" i="1"/>
  <c r="AA31" i="1" s="1"/>
  <c r="F31" i="1"/>
  <c r="G18" i="1"/>
  <c r="S11" i="1" l="1"/>
  <c r="AD10" i="1"/>
  <c r="AE14" i="1"/>
  <c r="AE8" i="1"/>
  <c r="AE21" i="1"/>
  <c r="AE7" i="1"/>
  <c r="AE9" i="1"/>
  <c r="AF4" i="1"/>
  <c r="AE17" i="1"/>
  <c r="AE5" i="1"/>
  <c r="AE6" i="1" s="1"/>
  <c r="AE15" i="1"/>
  <c r="AE13" i="1"/>
  <c r="AE27" i="1"/>
  <c r="U20" i="1"/>
  <c r="R62" i="1"/>
  <c r="R82" i="1" s="1"/>
  <c r="R109" i="1" s="1"/>
  <c r="R32" i="1"/>
  <c r="R23" i="1"/>
  <c r="R24" i="1" s="1"/>
  <c r="AD24" i="1" s="1"/>
  <c r="G20" i="1"/>
  <c r="G33" i="1"/>
  <c r="Q20" i="1"/>
  <c r="Q33" i="1"/>
  <c r="K20" i="1"/>
  <c r="K33" i="1"/>
  <c r="L20" i="1"/>
  <c r="L33" i="1"/>
  <c r="M20" i="1"/>
  <c r="M33" i="1"/>
  <c r="O20" i="1"/>
  <c r="O33" i="1"/>
  <c r="H20" i="1"/>
  <c r="H33" i="1"/>
  <c r="E20" i="1"/>
  <c r="E33" i="1"/>
  <c r="J20" i="1"/>
  <c r="AB18" i="1"/>
  <c r="AB33" i="1" s="1"/>
  <c r="J33" i="1"/>
  <c r="F20" i="1"/>
  <c r="F33" i="1"/>
  <c r="AA18" i="1"/>
  <c r="AA33" i="1" s="1"/>
  <c r="I20" i="1"/>
  <c r="I33" i="1"/>
  <c r="P20" i="1"/>
  <c r="P33" i="1"/>
  <c r="C20" i="1"/>
  <c r="C33" i="1"/>
  <c r="D20" i="1"/>
  <c r="D33" i="1"/>
  <c r="B20" i="1"/>
  <c r="B33" i="1"/>
  <c r="Z18" i="1"/>
  <c r="Z33" i="1" s="1"/>
  <c r="N20" i="1"/>
  <c r="N33" i="1"/>
  <c r="AC18" i="1"/>
  <c r="AC33" i="1" s="1"/>
  <c r="AE30" i="1" l="1"/>
  <c r="R108" i="1"/>
  <c r="AE10" i="1"/>
  <c r="AE11" i="1" s="1"/>
  <c r="AF21" i="1"/>
  <c r="AF14" i="1"/>
  <c r="AF9" i="1"/>
  <c r="AF27" i="1"/>
  <c r="AF8" i="1"/>
  <c r="AF15" i="1"/>
  <c r="AF17" i="1"/>
  <c r="AG4" i="1"/>
  <c r="AF7" i="1"/>
  <c r="AF13" i="1"/>
  <c r="AF5" i="1"/>
  <c r="AF6" i="1" s="1"/>
  <c r="S18" i="1"/>
  <c r="AD11" i="1"/>
  <c r="AD31" i="1" s="1"/>
  <c r="U23" i="1"/>
  <c r="G32" i="1"/>
  <c r="G62" i="1"/>
  <c r="G82" i="1" s="1"/>
  <c r="G23" i="1"/>
  <c r="G24" i="1" s="1"/>
  <c r="I32" i="1"/>
  <c r="I23" i="1"/>
  <c r="I24" i="1" s="1"/>
  <c r="I62" i="1"/>
  <c r="I82" i="1" s="1"/>
  <c r="E32" i="1"/>
  <c r="E23" i="1"/>
  <c r="E24" i="1" s="1"/>
  <c r="E62" i="1"/>
  <c r="E82" i="1" s="1"/>
  <c r="L32" i="1"/>
  <c r="L23" i="1"/>
  <c r="L24" i="1" s="1"/>
  <c r="L62" i="1"/>
  <c r="L82" i="1" s="1"/>
  <c r="H32" i="1"/>
  <c r="H23" i="1"/>
  <c r="H24" i="1" s="1"/>
  <c r="H62" i="1"/>
  <c r="H82" i="1" s="1"/>
  <c r="K32" i="1"/>
  <c r="K62" i="1"/>
  <c r="K82" i="1" s="1"/>
  <c r="K23" i="1"/>
  <c r="K24" i="1" s="1"/>
  <c r="B32" i="1"/>
  <c r="Z20" i="1"/>
  <c r="Z32" i="1" s="1"/>
  <c r="B23" i="1"/>
  <c r="B62" i="1"/>
  <c r="B82" i="1" s="1"/>
  <c r="AA20" i="1"/>
  <c r="AA32" i="1" s="1"/>
  <c r="F32" i="1"/>
  <c r="F62" i="1"/>
  <c r="F82" i="1" s="1"/>
  <c r="F23" i="1"/>
  <c r="C32" i="1"/>
  <c r="C62" i="1"/>
  <c r="C82" i="1" s="1"/>
  <c r="C23" i="1"/>
  <c r="C24" i="1" s="1"/>
  <c r="O32" i="1"/>
  <c r="O23" i="1"/>
  <c r="O24" i="1" s="1"/>
  <c r="Q32" i="1"/>
  <c r="Q23" i="1"/>
  <c r="Q24" i="1" s="1"/>
  <c r="Q62" i="1"/>
  <c r="Q82" i="1" s="1"/>
  <c r="D32" i="1"/>
  <c r="D23" i="1"/>
  <c r="D24" i="1" s="1"/>
  <c r="D62" i="1"/>
  <c r="D82" i="1" s="1"/>
  <c r="N32" i="1"/>
  <c r="AC20" i="1"/>
  <c r="AC32" i="1" s="1"/>
  <c r="N23" i="1"/>
  <c r="N62" i="1"/>
  <c r="P32" i="1"/>
  <c r="P23" i="1"/>
  <c r="P24" i="1" s="1"/>
  <c r="P62" i="1"/>
  <c r="P82" i="1" s="1"/>
  <c r="AB20" i="1"/>
  <c r="AB32" i="1" s="1"/>
  <c r="J32" i="1"/>
  <c r="J23" i="1"/>
  <c r="J62" i="1"/>
  <c r="J82" i="1" s="1"/>
  <c r="M32" i="1"/>
  <c r="M23" i="1"/>
  <c r="M24" i="1" s="1"/>
  <c r="M62" i="1"/>
  <c r="M82" i="1" s="1"/>
  <c r="AF10" i="1" l="1"/>
  <c r="AE18" i="1"/>
  <c r="AE19" i="1" s="1"/>
  <c r="AE31" i="1"/>
  <c r="AF30" i="1"/>
  <c r="AF11" i="1"/>
  <c r="AG14" i="1"/>
  <c r="AG27" i="1"/>
  <c r="AG7" i="1"/>
  <c r="AG10" i="1" s="1"/>
  <c r="AG8" i="1"/>
  <c r="AG13" i="1"/>
  <c r="AG15" i="1"/>
  <c r="AG5" i="1"/>
  <c r="AG6" i="1" s="1"/>
  <c r="AG30" i="1" s="1"/>
  <c r="AG17" i="1"/>
  <c r="AH4" i="1"/>
  <c r="AG9" i="1"/>
  <c r="AG21" i="1"/>
  <c r="S19" i="1"/>
  <c r="AD18" i="1"/>
  <c r="Q108" i="1"/>
  <c r="Q109" i="1"/>
  <c r="F24" i="1"/>
  <c r="AA24" i="1" s="1"/>
  <c r="AA23" i="1"/>
  <c r="N24" i="1"/>
  <c r="AC24" i="1" s="1"/>
  <c r="AC23" i="1"/>
  <c r="J24" i="1"/>
  <c r="AB24" i="1" s="1"/>
  <c r="AB23" i="1"/>
  <c r="O62" i="1"/>
  <c r="O82" i="1" s="1"/>
  <c r="N82" i="1"/>
  <c r="B24" i="1"/>
  <c r="Z24" i="1" s="1"/>
  <c r="Z23" i="1"/>
  <c r="P109" i="1"/>
  <c r="P108" i="1"/>
  <c r="AG11" i="1" l="1"/>
  <c r="AG18" i="1" s="1"/>
  <c r="AG19" i="1" s="1"/>
  <c r="AG31" i="1"/>
  <c r="AF18" i="1"/>
  <c r="AF19" i="1" s="1"/>
  <c r="AF31" i="1"/>
  <c r="S20" i="1"/>
  <c r="AD19" i="1"/>
  <c r="AD33" i="1" s="1"/>
  <c r="AH14" i="1"/>
  <c r="AI4" i="1"/>
  <c r="AH27" i="1"/>
  <c r="AH9" i="1"/>
  <c r="AH13" i="1"/>
  <c r="AH21" i="1"/>
  <c r="AH5" i="1"/>
  <c r="AH6" i="1" s="1"/>
  <c r="AH8" i="1"/>
  <c r="AH15" i="1"/>
  <c r="AH17" i="1"/>
  <c r="AH7" i="1"/>
  <c r="AE20" i="1"/>
  <c r="AE33" i="1"/>
  <c r="N109" i="1"/>
  <c r="N108" i="1"/>
  <c r="O109" i="1"/>
  <c r="O108" i="1"/>
  <c r="AH30" i="1" l="1"/>
  <c r="S23" i="1"/>
  <c r="AD23" i="1" s="1"/>
  <c r="AD20" i="1"/>
  <c r="AD32" i="1" s="1"/>
  <c r="AF20" i="1"/>
  <c r="AF33" i="1"/>
  <c r="AE32" i="1"/>
  <c r="AE23" i="1"/>
  <c r="AJ4" i="1"/>
  <c r="AI14" i="1"/>
  <c r="AI27" i="1"/>
  <c r="AI17" i="1"/>
  <c r="AI5" i="1"/>
  <c r="AI6" i="1" s="1"/>
  <c r="AI30" i="1" s="1"/>
  <c r="AI7" i="1"/>
  <c r="AI15" i="1"/>
  <c r="AI9" i="1"/>
  <c r="AI21" i="1"/>
  <c r="AI13" i="1"/>
  <c r="AI8" i="1"/>
  <c r="AH10" i="1"/>
  <c r="AH11" i="1" s="1"/>
  <c r="AG20" i="1"/>
  <c r="AG33" i="1"/>
  <c r="AH18" i="1" l="1"/>
  <c r="AH19" i="1" s="1"/>
  <c r="AH31" i="1"/>
  <c r="AI10" i="1"/>
  <c r="AI11" i="1" s="1"/>
  <c r="AG23" i="1"/>
  <c r="AG32" i="1"/>
  <c r="AF23" i="1"/>
  <c r="AF32" i="1"/>
  <c r="AK4" i="1"/>
  <c r="AJ7" i="1"/>
  <c r="AJ21" i="1"/>
  <c r="AJ17" i="1"/>
  <c r="AJ9" i="1"/>
  <c r="AJ27" i="1"/>
  <c r="AJ8" i="1"/>
  <c r="AJ14" i="1"/>
  <c r="AJ15" i="1"/>
  <c r="AJ13" i="1"/>
  <c r="AJ5" i="1"/>
  <c r="AJ6" i="1" s="1"/>
  <c r="AI18" i="1" l="1"/>
  <c r="AI31" i="1"/>
  <c r="AJ30" i="1"/>
  <c r="AL4" i="1"/>
  <c r="AK9" i="1"/>
  <c r="AK13" i="1"/>
  <c r="AK27" i="1"/>
  <c r="AK17" i="1"/>
  <c r="AK21" i="1"/>
  <c r="AK15" i="1"/>
  <c r="AK7" i="1"/>
  <c r="AK14" i="1"/>
  <c r="AK8" i="1"/>
  <c r="AK5" i="1"/>
  <c r="AK6" i="1" s="1"/>
  <c r="AJ10" i="1"/>
  <c r="AJ11" i="1" s="1"/>
  <c r="AH20" i="1"/>
  <c r="AH33" i="1"/>
  <c r="AJ31" i="1" l="1"/>
  <c r="AJ18" i="1"/>
  <c r="AM4" i="1"/>
  <c r="AL17" i="1"/>
  <c r="AL14" i="1"/>
  <c r="AL27" i="1"/>
  <c r="AL8" i="1"/>
  <c r="AL7" i="1"/>
  <c r="AL10" i="1" s="1"/>
  <c r="AL13" i="1"/>
  <c r="AL5" i="1"/>
  <c r="AL6" i="1" s="1"/>
  <c r="AL15" i="1"/>
  <c r="AL9" i="1"/>
  <c r="AL21" i="1"/>
  <c r="AK30" i="1"/>
  <c r="AK10" i="1"/>
  <c r="AK11" i="1" s="1"/>
  <c r="AH23" i="1"/>
  <c r="AH32" i="1"/>
  <c r="AI19" i="1"/>
  <c r="AI33" i="1" s="1"/>
  <c r="AI20" i="1" l="1"/>
  <c r="AK31" i="1"/>
  <c r="AK18" i="1"/>
  <c r="AI32" i="1"/>
  <c r="AI23" i="1"/>
  <c r="AM7" i="1"/>
  <c r="AM13" i="1"/>
  <c r="AN4" i="1"/>
  <c r="AM5" i="1"/>
  <c r="AM6" i="1" s="1"/>
  <c r="AM27" i="1"/>
  <c r="AM9" i="1"/>
  <c r="AM15" i="1"/>
  <c r="AM14" i="1"/>
  <c r="AM21" i="1"/>
  <c r="AM8" i="1"/>
  <c r="AM17" i="1"/>
  <c r="AL30" i="1"/>
  <c r="AL11" i="1"/>
  <c r="AJ19" i="1"/>
  <c r="AJ33" i="1" s="1"/>
  <c r="AM10" i="1" l="1"/>
  <c r="AM11" i="1" s="1"/>
  <c r="AJ20" i="1"/>
  <c r="AM30" i="1"/>
  <c r="AL31" i="1"/>
  <c r="AL18" i="1"/>
  <c r="AK19" i="1"/>
  <c r="AK33" i="1" s="1"/>
  <c r="AN15" i="1"/>
  <c r="AN5" i="1"/>
  <c r="AN6" i="1" s="1"/>
  <c r="AN30" i="1" s="1"/>
  <c r="AN14" i="1"/>
  <c r="AN9" i="1"/>
  <c r="AN8" i="1"/>
  <c r="AN21" i="1"/>
  <c r="AN27" i="1"/>
  <c r="AN17" i="1"/>
  <c r="AN7" i="1"/>
  <c r="AN10" i="1" s="1"/>
  <c r="AN13" i="1"/>
  <c r="AK20" i="1" l="1"/>
  <c r="AM18" i="1"/>
  <c r="AM31" i="1"/>
  <c r="AN11" i="1"/>
  <c r="AK32" i="1"/>
  <c r="AK23" i="1"/>
  <c r="AL19" i="1"/>
  <c r="AL33" i="1" s="1"/>
  <c r="AJ32" i="1"/>
  <c r="AJ23" i="1"/>
  <c r="AN18" i="1" l="1"/>
  <c r="AN31" i="1"/>
  <c r="AL20" i="1"/>
  <c r="AM19" i="1"/>
  <c r="AM33" i="1" s="1"/>
  <c r="AM20" i="1"/>
  <c r="AL23" i="1" l="1"/>
  <c r="AL32" i="1"/>
  <c r="AM23" i="1"/>
  <c r="AM32" i="1"/>
  <c r="AN19" i="1"/>
  <c r="AN33" i="1" s="1"/>
  <c r="AN20" i="1"/>
  <c r="AN23" i="1" l="1"/>
  <c r="AN32" i="1"/>
</calcChain>
</file>

<file path=xl/sharedStrings.xml><?xml version="1.0" encoding="utf-8"?>
<sst xmlns="http://schemas.openxmlformats.org/spreadsheetml/2006/main" count="156" uniqueCount="144">
  <si>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</si>
  <si>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</si>
  <si>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</si>
  <si>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</si>
  <si>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</si>
  <si>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</si>
  <si>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</si>
  <si>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</si>
  <si>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</si>
  <si>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</si>
  <si>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</si>
  <si>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</si>
  <si>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</si>
  <si>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</si>
  <si>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</si>
  <si>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</si>
  <si>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</si>
  <si>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GLW</t>
  </si>
  <si>
    <t>CORNING INCORPORATED</t>
  </si>
  <si>
    <t>Founded by Amory Houghton Sr. in 1851 and is headquartered in Corning, NY.</t>
  </si>
  <si>
    <t xml:space="preserve">Operates through the following segments: </t>
  </si>
  <si>
    <t>Optical Communications</t>
  </si>
  <si>
    <t>Display Technologies</t>
  </si>
  <si>
    <t>Specialty Materials</t>
  </si>
  <si>
    <t>Environmental Technologies</t>
  </si>
  <si>
    <t>Life Sciences</t>
  </si>
  <si>
    <t>Glass for notebook computers, flat panel desktop monitors, display televisions</t>
  </si>
  <si>
    <t>and other information display applications, carrier network and enterprise network</t>
  </si>
  <si>
    <t>products for the telecom industry, ceramic substrates for gasoline and diesel</t>
  </si>
  <si>
    <t>engines, laboratory products, polymer products for biotech, optical materials</t>
  </si>
  <si>
    <t>for the semiconductor industry, and polycrystalline silicon products and other.</t>
  </si>
  <si>
    <t>Revenue</t>
  </si>
  <si>
    <t>COGS</t>
  </si>
  <si>
    <t>Gross profit</t>
  </si>
  <si>
    <t>SG&amp;A</t>
  </si>
  <si>
    <t>R&amp;D and engineering</t>
  </si>
  <si>
    <t>Operating income</t>
  </si>
  <si>
    <t>Interest income</t>
  </si>
  <si>
    <t>Interest expense</t>
  </si>
  <si>
    <t>Translated earnings contract gain</t>
  </si>
  <si>
    <t>Other (expense) income</t>
  </si>
  <si>
    <t>Pretax</t>
  </si>
  <si>
    <t>Taxes</t>
  </si>
  <si>
    <t>Net income</t>
  </si>
  <si>
    <t>Non-controlling interest</t>
  </si>
  <si>
    <t>Net income to Corning Inc</t>
  </si>
  <si>
    <t>Operating expenses</t>
  </si>
  <si>
    <t>Amortization of intangibles</t>
  </si>
  <si>
    <t>Q121</t>
  </si>
  <si>
    <t>Q221</t>
  </si>
  <si>
    <t>Q321</t>
  </si>
  <si>
    <t>Q421</t>
  </si>
  <si>
    <t>EPS</t>
  </si>
  <si>
    <t>Equity in earnigns of affiliates</t>
  </si>
  <si>
    <t>Q120</t>
  </si>
  <si>
    <t>Q220</t>
  </si>
  <si>
    <t>Q320</t>
  </si>
  <si>
    <t>Q420</t>
  </si>
  <si>
    <t>Transaction related gain</t>
  </si>
  <si>
    <t>Convertible preferred dividend</t>
  </si>
  <si>
    <t>Cash and equivalents</t>
  </si>
  <si>
    <t>Trade accounts receivable</t>
  </si>
  <si>
    <t>Inventiories</t>
  </si>
  <si>
    <t>OCA</t>
  </si>
  <si>
    <t>Current assets</t>
  </si>
  <si>
    <t>PP&amp;E</t>
  </si>
  <si>
    <t>Goodwill + Intangibles</t>
  </si>
  <si>
    <t>DT</t>
  </si>
  <si>
    <t>OA</t>
  </si>
  <si>
    <t>Assets</t>
  </si>
  <si>
    <t>Current portion of long-term debt</t>
  </si>
  <si>
    <t>A/P</t>
  </si>
  <si>
    <t>Other accrued liabilities</t>
  </si>
  <si>
    <t>Current liabilities</t>
  </si>
  <si>
    <t>Long-term debt</t>
  </si>
  <si>
    <t>Postretirement</t>
  </si>
  <si>
    <t>Other liabilities</t>
  </si>
  <si>
    <t>Liabilities</t>
  </si>
  <si>
    <t>SE</t>
  </si>
  <si>
    <t>Non-controlling</t>
  </si>
  <si>
    <t>Total equity</t>
  </si>
  <si>
    <t>L+E</t>
  </si>
  <si>
    <t>Model NI</t>
  </si>
  <si>
    <t>Depreciation</t>
  </si>
  <si>
    <t>Amortization of purch. intangibles</t>
  </si>
  <si>
    <t>Gain on sale of business</t>
  </si>
  <si>
    <t>SBC</t>
  </si>
  <si>
    <t>Translation gain on yen-denominated debt</t>
  </si>
  <si>
    <t>DT (benefit) provision</t>
  </si>
  <si>
    <t>Translated earnings contract loss (gain)</t>
  </si>
  <si>
    <t>Unrealized translation loss on transactions</t>
  </si>
  <si>
    <t>Inventories</t>
  </si>
  <si>
    <t>Deposits</t>
  </si>
  <si>
    <t>Deferred income</t>
  </si>
  <si>
    <t>Other</t>
  </si>
  <si>
    <t>CFFO</t>
  </si>
  <si>
    <t>CapEx</t>
  </si>
  <si>
    <t>Proceeds from sale of equipment to related party</t>
  </si>
  <si>
    <t>Proceeds from sale of business</t>
  </si>
  <si>
    <t>Realized gains on translated earnings contract</t>
  </si>
  <si>
    <t>CFFI</t>
  </si>
  <si>
    <t>Repayments of short-term borrowings</t>
  </si>
  <si>
    <t>Proceeds from other financing arrangements</t>
  </si>
  <si>
    <t>Proceeds from exercice of stock options</t>
  </si>
  <si>
    <t>Purchases of common stock for treasury</t>
  </si>
  <si>
    <t>Dividends paid</t>
  </si>
  <si>
    <t>CFFF</t>
  </si>
  <si>
    <t xml:space="preserve">Exchange rate </t>
  </si>
  <si>
    <t>Decrease in cash</t>
  </si>
  <si>
    <t>Cash at beginning of period</t>
  </si>
  <si>
    <t>Cash at end of period</t>
  </si>
  <si>
    <t>Cash Flow Statement</t>
  </si>
  <si>
    <t>Balance Sheet</t>
  </si>
  <si>
    <t>Income Statement</t>
  </si>
  <si>
    <t>Tax deposit refund</t>
  </si>
  <si>
    <t>Loss on disposal of assets</t>
  </si>
  <si>
    <t>Severance charges</t>
  </si>
  <si>
    <t>Severance payments</t>
  </si>
  <si>
    <t>Redemption of preferred stock</t>
  </si>
  <si>
    <t>Employee withholding tax on stock awards</t>
  </si>
  <si>
    <t>Issuance of short-term borrowings</t>
  </si>
  <si>
    <t>Repayments of other financing arrangement</t>
  </si>
  <si>
    <t>Issuance of euro bonds and other long-term</t>
  </si>
  <si>
    <t>Proceeds from and investments in entities</t>
  </si>
  <si>
    <t>Premiums paid on hedging contracts</t>
  </si>
  <si>
    <t>Cash Flow</t>
  </si>
  <si>
    <t>Free Cash Flow</t>
  </si>
  <si>
    <t>Gross Margin %</t>
  </si>
  <si>
    <t>Operating Margin %</t>
  </si>
  <si>
    <t>Net Margin %</t>
  </si>
  <si>
    <t>Tax Rate %</t>
  </si>
  <si>
    <t>Revenue Y/Y</t>
  </si>
  <si>
    <t>Revenue Q/Q</t>
  </si>
  <si>
    <t>Q124</t>
  </si>
  <si>
    <t>Q224</t>
  </si>
  <si>
    <t>Q324</t>
  </si>
  <si>
    <t>Q424</t>
  </si>
  <si>
    <t>Maturity</t>
  </si>
  <si>
    <t>Discount</t>
  </si>
  <si>
    <t>NPV</t>
  </si>
  <si>
    <t>Value</t>
  </si>
  <si>
    <t>Per share</t>
  </si>
  <si>
    <t>Change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</si>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</sst>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0.0%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Arial"/>
      <family val="2"/>
    </font>
    <font>
      <b/>
      <u/>
      <sz val="14"/>
      <color theme="10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  <xf numFmtId="0" fontId="7" fillId="0" borderId="2" xfId="0" applyFont="1" applyBorder="1"/>
    <xf numFmtId="0" fontId="7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7" fillId="0" borderId="0" xfId="0" applyFont="1"/>
    <xf numFmtId="0" fontId="0" fillId="0" borderId="6" xfId="0" applyBorder="1"/>
    <xf numFmtId="0" fontId="8" fillId="0" borderId="5" xfId="0" applyFont="1" applyBorder="1"/>
    <xf numFmtId="0" fontId="8" fillId="0" borderId="7" xfId="0" applyFont="1" applyBorder="1"/>
    <xf numFmtId="0" fontId="7" fillId="0" borderId="8" xfId="0" applyFont="1" applyBorder="1"/>
    <xf numFmtId="0" fontId="0" fillId="0" borderId="8" xfId="0" applyBorder="1"/>
    <xf numFmtId="0" fontId="0" fillId="0" borderId="9" xfId="0" applyBorder="1"/>
    <xf numFmtId="0" fontId="7" fillId="0" borderId="7" xfId="0" applyFont="1" applyBorder="1"/>
    <xf numFmtId="0" fontId="0" fillId="0" borderId="8" xfId="0" quotePrefix="1" applyBorder="1"/>
    <xf numFmtId="0" fontId="10" fillId="2" borderId="0" xfId="1" applyFont="1" applyFill="1" applyAlignment="1">
      <alignment horizont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/>
    <xf numFmtId="3" fontId="9" fillId="2" borderId="10" xfId="0" applyNumberFormat="1" applyFont="1" applyFill="1" applyBorder="1"/>
    <xf numFmtId="3" fontId="9" fillId="0" borderId="10" xfId="0" applyNumberFormat="1" applyFont="1" applyBorder="1"/>
    <xf numFmtId="3" fontId="2" fillId="2" borderId="10" xfId="0" applyNumberFormat="1" applyFont="1" applyFill="1" applyBorder="1"/>
    <xf numFmtId="3" fontId="2" fillId="0" borderId="10" xfId="0" applyNumberFormat="1" applyFont="1" applyBorder="1"/>
    <xf numFmtId="4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/>
    <xf numFmtId="0" fontId="12" fillId="2" borderId="3" xfId="0" applyFont="1" applyFill="1" applyBorder="1"/>
    <xf numFmtId="9" fontId="12" fillId="2" borderId="3" xfId="0" applyNumberFormat="1" applyFont="1" applyFill="1" applyBorder="1"/>
    <xf numFmtId="0" fontId="12" fillId="0" borderId="3" xfId="0" applyFont="1" applyBorder="1"/>
    <xf numFmtId="0" fontId="12" fillId="2" borderId="8" xfId="0" applyFont="1" applyFill="1" applyBorder="1"/>
    <xf numFmtId="9" fontId="12" fillId="2" borderId="8" xfId="0" applyNumberFormat="1" applyFont="1" applyFill="1" applyBorder="1"/>
    <xf numFmtId="0" fontId="12" fillId="0" borderId="8" xfId="0" applyFont="1" applyBorder="1"/>
    <xf numFmtId="9" fontId="2" fillId="2" borderId="0" xfId="0" applyNumberFormat="1" applyFont="1" applyFill="1"/>
    <xf numFmtId="3" fontId="12" fillId="2" borderId="3" xfId="0" applyNumberFormat="1" applyFont="1" applyFill="1" applyBorder="1"/>
    <xf numFmtId="3" fontId="12" fillId="2" borderId="0" xfId="0" applyNumberFormat="1" applyFont="1" applyFill="1"/>
    <xf numFmtId="9" fontId="12" fillId="2" borderId="0" xfId="0" applyNumberFormat="1" applyFont="1" applyFill="1"/>
    <xf numFmtId="0" fontId="12" fillId="2" borderId="0" xfId="0" applyFont="1" applyFill="1"/>
    <xf numFmtId="0" fontId="12" fillId="0" borderId="0" xfId="0" applyFont="1"/>
    <xf numFmtId="3" fontId="12" fillId="2" borderId="8" xfId="0" applyNumberFormat="1" applyFont="1" applyFill="1" applyBorder="1"/>
    <xf numFmtId="0" fontId="9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0" xfId="0" applyNumberFormat="1" applyFont="1" applyFill="1"/>
    <xf numFmtId="3" fontId="9" fillId="0" borderId="0" xfId="0" applyNumberFormat="1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12" fillId="2" borderId="0" xfId="0" applyNumberFormat="1" applyFont="1" applyFill="1" applyBorder="1"/>
    <xf numFmtId="9" fontId="12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 applyBorder="1"/>
    <xf numFmtId="165" fontId="12" fillId="2" borderId="3" xfId="0" applyNumberFormat="1" applyFont="1" applyFill="1" applyBorder="1"/>
    <xf numFmtId="10" fontId="12" fillId="2" borderId="3" xfId="0" applyNumberFormat="1" applyFont="1" applyFill="1" applyBorder="1"/>
    <xf numFmtId="3" fontId="1" fillId="0" borderId="0" xfId="0" applyNumberFormat="1" applyFont="1"/>
    <xf numFmtId="9" fontId="2" fillId="0" borderId="0" xfId="2" applyFont="1"/>
    <xf numFmtId="3" fontId="14" fillId="2" borderId="0" xfId="0" applyNumberFormat="1" applyFont="1" applyFill="1" applyBorder="1"/>
    <xf numFmtId="3" fontId="12" fillId="2" borderId="11" xfId="0" applyNumberFormat="1" applyFont="1" applyFill="1" applyBorder="1"/>
    <xf numFmtId="3" fontId="14" fillId="0" borderId="0" xfId="0" applyNumberFormat="1" applyFont="1" applyBorder="1"/>
    <xf numFmtId="3" fontId="12" fillId="0" borderId="0" xfId="0" applyNumberFormat="1" applyFont="1" applyBorder="1"/>
    <xf numFmtId="3" fontId="12" fillId="0" borderId="11" xfId="0" applyNumberFormat="1" applyFont="1" applyBorder="1"/>
    <xf numFmtId="4" fontId="2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29</xdr:col>
      <xdr:colOff>0</xdr:colOff>
      <xdr:row>42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68C8C2D-3BC9-4EC8-AB02-D47D3178C9C5}"/>
            </a:ext>
          </a:extLst>
        </xdr:cNvPr>
        <xdr:cNvCxnSpPr/>
      </xdr:nvCxnSpPr>
      <xdr:spPr>
        <a:xfrm>
          <a:off x="22898100" y="238125"/>
          <a:ext cx="0" cy="725805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0</xdr:rowOff>
    </xdr:from>
    <xdr:to>
      <xdr:col>18</xdr:col>
      <xdr:colOff>0</xdr:colOff>
      <xdr:row>111</xdr:row>
      <xdr:rowOff>60960</xdr:rowOff>
    </xdr:to>
    <xdr:cxnSp macro="">
      <xdr:nvCxnSpPr>
        <xdr:cNvPr id="2" name="Straight Connector 4">
          <a:extLst>
            <a:ext uri="{FF2B5EF4-FFF2-40B4-BE49-F238E27FC236}">
              <a16:creationId xmlns:a16="http://schemas.microsoft.com/office/drawing/2014/main" id="{CD026187-F529-4D45-B110-04D9278999E5}"/>
            </a:ext>
          </a:extLst>
        </xdr:cNvPr>
        <xdr:cNvCxnSpPr/>
      </xdr:nvCxnSpPr>
      <xdr:spPr>
        <a:xfrm>
          <a:off x="14112240" y="228600"/>
          <a:ext cx="0" cy="19629120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16"/>
  <sheetViews>
    <sheetView zoomScale="130" zoomScaleNormal="130" workbookViewId="0">
      <selection activeCell="L3" sqref="L3"/>
    </sheetView>
  </sheetViews>
  <sheetFormatPr defaultRowHeight="14.4" x14ac:dyDescent="0.3"/>
  <cols>
    <col min="12" max="12" width="13.88671875" customWidth="1"/>
    <col min="13" max="13" width="9.109375" customWidth="1"/>
  </cols>
  <sheetData>
    <row r="1" spans="2:13" ht="21" x14ac:dyDescent="0.4">
      <c r="K1" s="48" t="s">
        <v>17</v>
      </c>
      <c r="L1" s="48"/>
    </row>
    <row r="2" spans="2:13" ht="22.8" x14ac:dyDescent="0.3">
      <c r="B2" s="49" t="s">
        <v>18</v>
      </c>
      <c r="C2" s="49"/>
      <c r="D2" s="49"/>
      <c r="E2" s="49"/>
      <c r="F2" s="49"/>
      <c r="G2" s="49"/>
      <c r="H2" s="49"/>
      <c r="I2" s="49"/>
      <c r="K2" s="1" t="s">
        <v>0</v>
      </c>
      <c r="L2" s="3">
        <v>37.409999999999997</v>
      </c>
    </row>
    <row r="3" spans="2:13" x14ac:dyDescent="0.3">
      <c r="K3" s="1" t="s">
        <v>1</v>
      </c>
      <c r="L3" s="2">
        <v>856.61922200000004</v>
      </c>
      <c r="M3" t="s">
        <v>133</v>
      </c>
    </row>
    <row r="4" spans="2:13" x14ac:dyDescent="0.3">
      <c r="B4" s="4" t="s">
        <v>19</v>
      </c>
      <c r="C4" s="5"/>
      <c r="D4" s="6"/>
      <c r="E4" s="6"/>
      <c r="F4" s="6"/>
      <c r="G4" s="6"/>
      <c r="H4" s="6"/>
      <c r="I4" s="7"/>
      <c r="K4" s="1" t="s">
        <v>2</v>
      </c>
      <c r="L4" s="2">
        <f>L3*L2</f>
        <v>32046.125095019997</v>
      </c>
    </row>
    <row r="5" spans="2:13" x14ac:dyDescent="0.3">
      <c r="B5" s="8" t="s">
        <v>20</v>
      </c>
      <c r="C5" s="9"/>
      <c r="I5" s="10"/>
      <c r="K5" s="1" t="s">
        <v>3</v>
      </c>
      <c r="L5" s="2">
        <v>1365</v>
      </c>
      <c r="M5" t="s">
        <v>133</v>
      </c>
    </row>
    <row r="6" spans="2:13" x14ac:dyDescent="0.3">
      <c r="B6" s="11" t="s">
        <v>21</v>
      </c>
      <c r="C6" s="9"/>
      <c r="I6" s="10"/>
      <c r="K6" s="1" t="s">
        <v>4</v>
      </c>
      <c r="L6" s="2">
        <v>7368</v>
      </c>
      <c r="M6" t="s">
        <v>133</v>
      </c>
    </row>
    <row r="7" spans="2:13" x14ac:dyDescent="0.3">
      <c r="B7" s="11" t="s">
        <v>22</v>
      </c>
      <c r="C7" s="9"/>
      <c r="I7" s="10"/>
      <c r="K7" s="1" t="s">
        <v>5</v>
      </c>
      <c r="L7" s="2">
        <f>L4-L5+L6</f>
        <v>38049.125095019997</v>
      </c>
    </row>
    <row r="8" spans="2:13" x14ac:dyDescent="0.3">
      <c r="B8" s="11" t="s">
        <v>23</v>
      </c>
      <c r="C8" s="9"/>
      <c r="I8" s="10"/>
      <c r="K8" s="1" t="s">
        <v>6</v>
      </c>
      <c r="L8" s="2">
        <f>L5-L6</f>
        <v>-6003</v>
      </c>
    </row>
    <row r="9" spans="2:13" x14ac:dyDescent="0.3">
      <c r="B9" s="11" t="s">
        <v>24</v>
      </c>
      <c r="C9" s="9"/>
      <c r="I9" s="10"/>
      <c r="K9" s="1"/>
      <c r="L9" s="1"/>
    </row>
    <row r="10" spans="2:13" x14ac:dyDescent="0.3">
      <c r="B10" s="12" t="s">
        <v>25</v>
      </c>
      <c r="C10" s="13"/>
      <c r="D10" s="14"/>
      <c r="E10" s="14"/>
      <c r="F10" s="14"/>
      <c r="G10" s="14"/>
      <c r="H10" s="14"/>
      <c r="I10" s="15"/>
      <c r="K10" s="1" t="s">
        <v>7</v>
      </c>
      <c r="L10" s="1"/>
    </row>
    <row r="12" spans="2:13" x14ac:dyDescent="0.3">
      <c r="B12" s="4" t="s">
        <v>26</v>
      </c>
      <c r="C12" s="6"/>
      <c r="D12" s="6"/>
      <c r="E12" s="6"/>
      <c r="F12" s="6"/>
      <c r="G12" s="6"/>
      <c r="H12" s="6"/>
      <c r="I12" s="7"/>
    </row>
    <row r="13" spans="2:13" x14ac:dyDescent="0.3">
      <c r="B13" s="8" t="s">
        <v>27</v>
      </c>
      <c r="I13" s="10"/>
    </row>
    <row r="14" spans="2:13" x14ac:dyDescent="0.3">
      <c r="B14" s="8" t="s">
        <v>28</v>
      </c>
      <c r="I14" s="10"/>
    </row>
    <row r="15" spans="2:13" x14ac:dyDescent="0.3">
      <c r="B15" s="8" t="s">
        <v>29</v>
      </c>
      <c r="I15" s="10"/>
    </row>
    <row r="16" spans="2:13" x14ac:dyDescent="0.3">
      <c r="B16" s="16" t="s">
        <v>30</v>
      </c>
      <c r="C16" s="14"/>
      <c r="D16" s="14"/>
      <c r="E16" s="14"/>
      <c r="F16" s="17"/>
      <c r="G16" s="14"/>
      <c r="H16" s="14"/>
      <c r="I16" s="15"/>
    </row>
  </sheetData>
  <mergeCells count="2">
    <mergeCell ref="K1:L1"/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S109"/>
  <sheetViews>
    <sheetView tabSelected="1" zoomScale="130" zoomScaleNormal="130" workbookViewId="0">
      <pane xSplit="1" ySplit="2" topLeftCell="Z13" activePane="bottomRight" state="frozen"/>
      <selection pane="topRight" activeCell="C1" sqref="C1"/>
      <selection pane="bottomLeft" activeCell="A3" sqref="A3"/>
      <selection pane="bottomRight" activeCell="AQ46" sqref="AQ46"/>
    </sheetView>
  </sheetViews>
  <sheetFormatPr defaultRowHeight="13.8" outlineLevelRow="1" x14ac:dyDescent="0.25"/>
  <cols>
    <col min="1" max="1" width="50.88671875" style="19" customWidth="1"/>
    <col min="2" max="5" width="9.109375" style="19" customWidth="1"/>
    <col min="6" max="9" width="9.21875" style="19" bestFit="1" customWidth="1"/>
    <col min="10" max="10" width="9.109375" style="19" customWidth="1"/>
    <col min="11" max="16" width="9.21875" style="19" bestFit="1" customWidth="1"/>
    <col min="17" max="17" width="10.33203125" style="19" bestFit="1" customWidth="1"/>
    <col min="18" max="18" width="9.5546875" style="19" bestFit="1" customWidth="1"/>
    <col min="19" max="19" width="9.109375" style="19"/>
    <col min="20" max="20" width="9.21875" style="19" bestFit="1" customWidth="1"/>
    <col min="21" max="21" width="10.33203125" style="19" bestFit="1" customWidth="1"/>
    <col min="22" max="22" width="10.33203125" style="19" customWidth="1"/>
    <col min="23" max="29" width="11.21875" style="19" customWidth="1"/>
    <col min="30" max="16384" width="8.88671875" style="29"/>
  </cols>
  <sheetData>
    <row r="1" spans="1:48" s="19" customFormat="1" ht="17.399999999999999" x14ac:dyDescent="0.3">
      <c r="A1" s="18" t="s">
        <v>16</v>
      </c>
      <c r="B1" s="18"/>
      <c r="C1" s="18"/>
      <c r="D1" s="18"/>
      <c r="E1" s="18"/>
    </row>
    <row r="2" spans="1:48" s="20" customFormat="1" x14ac:dyDescent="0.25">
      <c r="B2" s="20" t="s">
        <v>54</v>
      </c>
      <c r="C2" s="20" t="s">
        <v>55</v>
      </c>
      <c r="D2" s="20" t="s">
        <v>56</v>
      </c>
      <c r="E2" s="20" t="s">
        <v>57</v>
      </c>
      <c r="F2" s="20" t="s">
        <v>48</v>
      </c>
      <c r="G2" s="20" t="s">
        <v>49</v>
      </c>
      <c r="H2" s="20" t="s">
        <v>50</v>
      </c>
      <c r="I2" s="20" t="s">
        <v>51</v>
      </c>
      <c r="J2" s="20" t="s">
        <v>14</v>
      </c>
      <c r="K2" s="20" t="s">
        <v>15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8</v>
      </c>
      <c r="Q2" s="20" t="s">
        <v>9</v>
      </c>
      <c r="R2" s="20" t="s">
        <v>133</v>
      </c>
      <c r="S2" s="20" t="s">
        <v>134</v>
      </c>
      <c r="T2" s="20" t="s">
        <v>135</v>
      </c>
      <c r="U2" s="20" t="s">
        <v>136</v>
      </c>
      <c r="W2" s="20">
        <v>2017</v>
      </c>
      <c r="X2" s="20">
        <v>2018</v>
      </c>
      <c r="Y2" s="20">
        <v>2019</v>
      </c>
      <c r="Z2" s="20">
        <v>2020</v>
      </c>
      <c r="AA2" s="20">
        <v>2021</v>
      </c>
      <c r="AB2" s="20">
        <v>2022</v>
      </c>
      <c r="AC2" s="20">
        <v>2023</v>
      </c>
      <c r="AD2" s="20">
        <v>2024</v>
      </c>
      <c r="AE2" s="20">
        <v>2025</v>
      </c>
      <c r="AF2" s="20">
        <v>2026</v>
      </c>
      <c r="AG2" s="20">
        <v>2027</v>
      </c>
      <c r="AH2" s="20">
        <v>2028</v>
      </c>
      <c r="AI2" s="20">
        <v>2029</v>
      </c>
      <c r="AJ2" s="20">
        <v>2030</v>
      </c>
      <c r="AK2" s="20">
        <v>2031</v>
      </c>
      <c r="AL2" s="20">
        <v>2032</v>
      </c>
      <c r="AM2" s="20">
        <v>2033</v>
      </c>
      <c r="AN2" s="20">
        <v>2034</v>
      </c>
      <c r="AO2" s="20">
        <v>2035</v>
      </c>
      <c r="AP2" s="20">
        <v>2036</v>
      </c>
      <c r="AQ2" s="20">
        <v>2037</v>
      </c>
      <c r="AR2" s="20">
        <v>2038</v>
      </c>
      <c r="AS2" s="20">
        <v>2039</v>
      </c>
      <c r="AT2" s="20">
        <v>2040</v>
      </c>
      <c r="AU2" s="20">
        <v>2041</v>
      </c>
      <c r="AV2" s="20">
        <v>2042</v>
      </c>
    </row>
    <row r="3" spans="1:48" s="20" customFormat="1" x14ac:dyDescent="0.25">
      <c r="A3" s="20" t="s">
        <v>113</v>
      </c>
    </row>
    <row r="4" spans="1:48" s="22" customFormat="1" x14ac:dyDescent="0.25">
      <c r="A4" s="21" t="s">
        <v>31</v>
      </c>
      <c r="B4" s="21">
        <v>2391</v>
      </c>
      <c r="C4" s="21">
        <v>2561</v>
      </c>
      <c r="D4" s="21">
        <v>3001</v>
      </c>
      <c r="E4" s="21">
        <v>3350</v>
      </c>
      <c r="F4" s="21">
        <v>3290</v>
      </c>
      <c r="G4" s="21">
        <v>3501</v>
      </c>
      <c r="H4" s="21">
        <v>3615</v>
      </c>
      <c r="I4" s="21">
        <v>3676</v>
      </c>
      <c r="J4" s="21">
        <v>3680</v>
      </c>
      <c r="K4" s="21">
        <v>3615</v>
      </c>
      <c r="L4" s="21">
        <v>3488</v>
      </c>
      <c r="M4" s="21">
        <v>3406</v>
      </c>
      <c r="N4" s="21">
        <v>3178</v>
      </c>
      <c r="O4" s="21">
        <v>3243</v>
      </c>
      <c r="P4" s="21">
        <v>3173</v>
      </c>
      <c r="Q4" s="21">
        <v>2994</v>
      </c>
      <c r="R4" s="21">
        <v>2975</v>
      </c>
      <c r="S4" s="21">
        <f>O4*0.973</f>
        <v>3155.4389999999999</v>
      </c>
      <c r="T4" s="21">
        <f>P4*1.037</f>
        <v>3290.4009999999998</v>
      </c>
      <c r="U4" s="21">
        <f>R4*1.05</f>
        <v>3123.75</v>
      </c>
      <c r="V4" s="21"/>
      <c r="W4" s="21">
        <v>10116</v>
      </c>
      <c r="X4" s="21">
        <v>11290</v>
      </c>
      <c r="Y4" s="21">
        <v>11503</v>
      </c>
      <c r="Z4" s="21">
        <f>SUM(B4:E4)</f>
        <v>11303</v>
      </c>
      <c r="AA4" s="21">
        <f>SUM(F4:I4)</f>
        <v>14082</v>
      </c>
      <c r="AB4" s="21">
        <f>SUM(J4:M4)</f>
        <v>14189</v>
      </c>
      <c r="AC4" s="21">
        <f>SUM(N4:Q4)</f>
        <v>12588</v>
      </c>
      <c r="AD4" s="22">
        <f>SUM(R4:U4)</f>
        <v>12544.59</v>
      </c>
      <c r="AE4" s="22">
        <f>AD4*1.061</f>
        <v>13309.80999</v>
      </c>
      <c r="AF4" s="22">
        <f t="shared" ref="AF4:AH4" si="0">AE4*1.061</f>
        <v>14121.70839939</v>
      </c>
      <c r="AG4" s="22">
        <f t="shared" si="0"/>
        <v>14983.13261175279</v>
      </c>
      <c r="AH4" s="22">
        <f t="shared" si="0"/>
        <v>15897.103701069709</v>
      </c>
      <c r="AI4" s="22">
        <f>AH4*1.051</f>
        <v>16707.855989824264</v>
      </c>
      <c r="AJ4" s="22">
        <f t="shared" ref="AJ4:AM4" si="1">AI4*1.051</f>
        <v>17559.956645305301</v>
      </c>
      <c r="AK4" s="22">
        <f t="shared" si="1"/>
        <v>18455.514434215871</v>
      </c>
      <c r="AL4" s="22">
        <f t="shared" si="1"/>
        <v>19396.74567036088</v>
      </c>
      <c r="AM4" s="22">
        <f t="shared" si="1"/>
        <v>20385.979699549283</v>
      </c>
      <c r="AN4" s="22">
        <f>AM4*1.025</f>
        <v>20895.629192038014</v>
      </c>
    </row>
    <row r="5" spans="1:48" s="22" customFormat="1" x14ac:dyDescent="0.25">
      <c r="A5" s="21" t="s">
        <v>32</v>
      </c>
      <c r="B5" s="21">
        <v>1830</v>
      </c>
      <c r="C5" s="21">
        <v>1805</v>
      </c>
      <c r="D5" s="21">
        <v>2000</v>
      </c>
      <c r="E5" s="21">
        <v>2137</v>
      </c>
      <c r="F5" s="21">
        <v>2134</v>
      </c>
      <c r="G5" s="21">
        <v>2186</v>
      </c>
      <c r="H5" s="21">
        <v>2294</v>
      </c>
      <c r="I5" s="21">
        <v>2405</v>
      </c>
      <c r="J5" s="21">
        <v>2397</v>
      </c>
      <c r="K5" s="21">
        <v>2369</v>
      </c>
      <c r="L5" s="21">
        <v>2426</v>
      </c>
      <c r="M5" s="21">
        <v>2491</v>
      </c>
      <c r="N5" s="21">
        <v>2175</v>
      </c>
      <c r="O5" s="21">
        <v>2230</v>
      </c>
      <c r="P5" s="21">
        <v>2169</v>
      </c>
      <c r="Q5" s="21">
        <v>2083</v>
      </c>
      <c r="R5" s="21">
        <v>1982</v>
      </c>
      <c r="S5" s="21">
        <f>S4*0.6678</f>
        <v>2107.2021641999995</v>
      </c>
      <c r="T5" s="21">
        <f>T4*0.6678</f>
        <v>2197.3297877999998</v>
      </c>
      <c r="U5" s="21">
        <f>U4*0.6678</f>
        <v>2086.04025</v>
      </c>
      <c r="V5" s="21"/>
      <c r="W5" s="21">
        <v>6096</v>
      </c>
      <c r="X5" s="21">
        <v>6829</v>
      </c>
      <c r="Y5" s="21">
        <v>7468</v>
      </c>
      <c r="Z5" s="21">
        <f>SUM(B5:E5)</f>
        <v>7772</v>
      </c>
      <c r="AA5" s="21">
        <f>SUM(F5:I5)</f>
        <v>9019</v>
      </c>
      <c r="AB5" s="21">
        <f>SUM(J5:M5)</f>
        <v>9683</v>
      </c>
      <c r="AC5" s="21">
        <f>SUM(N5:Q5)</f>
        <v>8657</v>
      </c>
      <c r="AD5" s="22">
        <f>SUM(R5:U5)</f>
        <v>8372.5722019999994</v>
      </c>
      <c r="AE5" s="21">
        <f>AE4*0.6678</f>
        <v>8888.2911113219998</v>
      </c>
      <c r="AF5" s="21">
        <f t="shared" ref="AF5:AN5" si="2">AF4*0.6678</f>
        <v>9430.476869112641</v>
      </c>
      <c r="AG5" s="21">
        <f t="shared" si="2"/>
        <v>10005.735958128513</v>
      </c>
      <c r="AH5" s="21">
        <f t="shared" si="2"/>
        <v>10616.085851574351</v>
      </c>
      <c r="AI5" s="21">
        <f t="shared" si="2"/>
        <v>11157.506230004643</v>
      </c>
      <c r="AJ5" s="21">
        <f t="shared" si="2"/>
        <v>11726.539047734879</v>
      </c>
      <c r="AK5" s="21">
        <f t="shared" si="2"/>
        <v>12324.592539169358</v>
      </c>
      <c r="AL5" s="21">
        <f t="shared" si="2"/>
        <v>12953.146758666995</v>
      </c>
      <c r="AM5" s="21">
        <f t="shared" si="2"/>
        <v>13613.75724335901</v>
      </c>
      <c r="AN5" s="21">
        <f t="shared" si="2"/>
        <v>13954.101174442985</v>
      </c>
    </row>
    <row r="6" spans="1:48" s="24" customFormat="1" x14ac:dyDescent="0.25">
      <c r="A6" s="23" t="s">
        <v>33</v>
      </c>
      <c r="B6" s="23">
        <f t="shared" ref="B6:S6" si="3">B4-B5</f>
        <v>561</v>
      </c>
      <c r="C6" s="23">
        <f t="shared" si="3"/>
        <v>756</v>
      </c>
      <c r="D6" s="23">
        <f t="shared" si="3"/>
        <v>1001</v>
      </c>
      <c r="E6" s="23">
        <f t="shared" si="3"/>
        <v>1213</v>
      </c>
      <c r="F6" s="23">
        <f t="shared" si="3"/>
        <v>1156</v>
      </c>
      <c r="G6" s="23">
        <f t="shared" si="3"/>
        <v>1315</v>
      </c>
      <c r="H6" s="23">
        <f t="shared" si="3"/>
        <v>1321</v>
      </c>
      <c r="I6" s="23">
        <f t="shared" si="3"/>
        <v>1271</v>
      </c>
      <c r="J6" s="23">
        <f t="shared" si="3"/>
        <v>1283</v>
      </c>
      <c r="K6" s="23">
        <f t="shared" si="3"/>
        <v>1246</v>
      </c>
      <c r="L6" s="23">
        <f t="shared" si="3"/>
        <v>1062</v>
      </c>
      <c r="M6" s="23">
        <f t="shared" si="3"/>
        <v>915</v>
      </c>
      <c r="N6" s="23">
        <f t="shared" si="3"/>
        <v>1003</v>
      </c>
      <c r="O6" s="23">
        <f t="shared" si="3"/>
        <v>1013</v>
      </c>
      <c r="P6" s="23">
        <f t="shared" si="3"/>
        <v>1004</v>
      </c>
      <c r="Q6" s="23">
        <f t="shared" si="3"/>
        <v>911</v>
      </c>
      <c r="R6" s="23">
        <f t="shared" si="3"/>
        <v>993</v>
      </c>
      <c r="S6" s="23">
        <f t="shared" si="3"/>
        <v>1048.2368358000003</v>
      </c>
      <c r="T6" s="23">
        <f t="shared" ref="T6:U6" si="4">T4-T5</f>
        <v>1093.0712122</v>
      </c>
      <c r="U6" s="23">
        <f t="shared" si="4"/>
        <v>1037.70975</v>
      </c>
      <c r="V6" s="23"/>
      <c r="W6" s="23">
        <f t="shared" ref="W6:AB6" si="5">W4-W5</f>
        <v>4020</v>
      </c>
      <c r="X6" s="23">
        <f t="shared" si="5"/>
        <v>4461</v>
      </c>
      <c r="Y6" s="23">
        <f t="shared" si="5"/>
        <v>4035</v>
      </c>
      <c r="Z6" s="23">
        <f t="shared" si="5"/>
        <v>3531</v>
      </c>
      <c r="AA6" s="23">
        <f t="shared" si="5"/>
        <v>5063</v>
      </c>
      <c r="AB6" s="23">
        <f t="shared" si="5"/>
        <v>4506</v>
      </c>
      <c r="AC6" s="23">
        <f>SUM(N6:Q6)</f>
        <v>3931</v>
      </c>
      <c r="AD6" s="24">
        <f>SUM(R6:U6)</f>
        <v>4172.0177980000008</v>
      </c>
      <c r="AE6" s="23">
        <f t="shared" ref="AE6:AN6" si="6">AE4-AE5</f>
        <v>4421.518878678</v>
      </c>
      <c r="AF6" s="23">
        <f t="shared" si="6"/>
        <v>4691.2315302773586</v>
      </c>
      <c r="AG6" s="23">
        <f t="shared" si="6"/>
        <v>4977.396653624277</v>
      </c>
      <c r="AH6" s="23">
        <f t="shared" si="6"/>
        <v>5281.017849495358</v>
      </c>
      <c r="AI6" s="23">
        <f t="shared" si="6"/>
        <v>5550.3497598196209</v>
      </c>
      <c r="AJ6" s="23">
        <f t="shared" si="6"/>
        <v>5833.417597570422</v>
      </c>
      <c r="AK6" s="23">
        <f t="shared" si="6"/>
        <v>6130.9218950465129</v>
      </c>
      <c r="AL6" s="23">
        <f t="shared" si="6"/>
        <v>6443.5989116938854</v>
      </c>
      <c r="AM6" s="23">
        <f t="shared" si="6"/>
        <v>6772.2224561902731</v>
      </c>
      <c r="AN6" s="23">
        <f t="shared" si="6"/>
        <v>6941.5280175950284</v>
      </c>
    </row>
    <row r="7" spans="1:48" s="22" customFormat="1" x14ac:dyDescent="0.25">
      <c r="A7" s="21" t="s">
        <v>34</v>
      </c>
      <c r="B7" s="21">
        <v>395</v>
      </c>
      <c r="C7" s="21">
        <v>401</v>
      </c>
      <c r="D7" s="21">
        <v>480</v>
      </c>
      <c r="E7" s="21">
        <v>471</v>
      </c>
      <c r="F7" s="21">
        <v>400</v>
      </c>
      <c r="G7" s="21">
        <v>465</v>
      </c>
      <c r="H7" s="21">
        <v>486</v>
      </c>
      <c r="I7" s="21">
        <v>476</v>
      </c>
      <c r="J7" s="21">
        <v>434</v>
      </c>
      <c r="K7" s="21">
        <v>486</v>
      </c>
      <c r="L7" s="21">
        <v>461</v>
      </c>
      <c r="M7" s="21">
        <v>517</v>
      </c>
      <c r="N7" s="21">
        <v>421</v>
      </c>
      <c r="O7" s="21">
        <v>440</v>
      </c>
      <c r="P7" s="21">
        <v>468</v>
      </c>
      <c r="Q7" s="21">
        <v>514</v>
      </c>
      <c r="R7" s="21">
        <v>451</v>
      </c>
      <c r="S7" s="21">
        <f>S4*0.1417</f>
        <v>447.12570629999993</v>
      </c>
      <c r="T7" s="21">
        <f>T4*0.1417</f>
        <v>466.24982169999993</v>
      </c>
      <c r="U7" s="21">
        <f>U4*0.1417</f>
        <v>442.63537499999995</v>
      </c>
      <c r="V7" s="21"/>
      <c r="W7" s="21">
        <v>1473</v>
      </c>
      <c r="X7" s="21">
        <v>1799</v>
      </c>
      <c r="Y7" s="21">
        <v>1585</v>
      </c>
      <c r="Z7" s="21">
        <f t="shared" ref="Z7:Z9" si="7">SUM(B7:E7)</f>
        <v>1747</v>
      </c>
      <c r="AA7" s="21">
        <f t="shared" ref="AA7:AA9" si="8">SUM(F7:I7)</f>
        <v>1827</v>
      </c>
      <c r="AB7" s="21">
        <f t="shared" ref="AB7:AB9" si="9">SUM(J7:M7)</f>
        <v>1898</v>
      </c>
      <c r="AC7" s="21">
        <f t="shared" ref="AC7:AC9" si="10">SUM(N7:Q7)</f>
        <v>1843</v>
      </c>
      <c r="AD7" s="22">
        <f t="shared" ref="AD7:AD11" si="11">SUM(R7:U7)</f>
        <v>1807.0109029999999</v>
      </c>
      <c r="AE7" s="21">
        <f>AE4*0.1417</f>
        <v>1886.0000755829999</v>
      </c>
      <c r="AF7" s="21">
        <f t="shared" ref="AF7:AN7" si="12">AF4*0.1417</f>
        <v>2001.0460801935628</v>
      </c>
      <c r="AG7" s="21">
        <f t="shared" si="12"/>
        <v>2123.1098910853702</v>
      </c>
      <c r="AH7" s="21">
        <f t="shared" si="12"/>
        <v>2252.6195944415776</v>
      </c>
      <c r="AI7" s="21">
        <f t="shared" si="12"/>
        <v>2367.503193758098</v>
      </c>
      <c r="AJ7" s="21">
        <f t="shared" si="12"/>
        <v>2488.2458566397609</v>
      </c>
      <c r="AK7" s="21">
        <f t="shared" si="12"/>
        <v>2615.1463953283887</v>
      </c>
      <c r="AL7" s="21">
        <f t="shared" si="12"/>
        <v>2748.5188614901367</v>
      </c>
      <c r="AM7" s="21">
        <f t="shared" si="12"/>
        <v>2888.6933234261332</v>
      </c>
      <c r="AN7" s="21">
        <f t="shared" si="12"/>
        <v>2960.9106565117863</v>
      </c>
    </row>
    <row r="8" spans="1:48" s="22" customFormat="1" x14ac:dyDescent="0.25">
      <c r="A8" s="21" t="s">
        <v>35</v>
      </c>
      <c r="B8" s="21">
        <v>261</v>
      </c>
      <c r="C8" s="21">
        <v>430</v>
      </c>
      <c r="D8" s="21">
        <v>231</v>
      </c>
      <c r="E8" s="21">
        <v>232</v>
      </c>
      <c r="F8" s="21">
        <v>222</v>
      </c>
      <c r="G8" s="21">
        <v>242</v>
      </c>
      <c r="H8" s="21">
        <v>251</v>
      </c>
      <c r="I8" s="21">
        <v>280</v>
      </c>
      <c r="J8" s="21">
        <v>248</v>
      </c>
      <c r="K8" s="21">
        <v>240</v>
      </c>
      <c r="L8" s="21">
        <v>278</v>
      </c>
      <c r="M8" s="21">
        <v>281</v>
      </c>
      <c r="N8" s="21">
        <v>254</v>
      </c>
      <c r="O8" s="21">
        <v>263</v>
      </c>
      <c r="P8" s="21">
        <v>270</v>
      </c>
      <c r="Q8" s="21">
        <v>289</v>
      </c>
      <c r="R8" s="21">
        <v>258</v>
      </c>
      <c r="S8" s="21">
        <f>S4*0.0769</f>
        <v>242.65325909999999</v>
      </c>
      <c r="T8" s="21">
        <f>T4*0.0769</f>
        <v>253.03183689999997</v>
      </c>
      <c r="U8" s="21">
        <f>U4*0.0769</f>
        <v>240.216375</v>
      </c>
      <c r="V8" s="21"/>
      <c r="W8" s="21">
        <v>864</v>
      </c>
      <c r="X8" s="21">
        <v>993</v>
      </c>
      <c r="Y8" s="21">
        <v>1031</v>
      </c>
      <c r="Z8" s="21">
        <f t="shared" si="7"/>
        <v>1154</v>
      </c>
      <c r="AA8" s="21">
        <f t="shared" si="8"/>
        <v>995</v>
      </c>
      <c r="AB8" s="21">
        <f t="shared" si="9"/>
        <v>1047</v>
      </c>
      <c r="AC8" s="21">
        <f t="shared" si="10"/>
        <v>1076</v>
      </c>
      <c r="AD8" s="22">
        <f t="shared" si="11"/>
        <v>993.9014709999999</v>
      </c>
      <c r="AE8" s="21">
        <f>AE4*0.0769</f>
        <v>1023.5243882309999</v>
      </c>
      <c r="AF8" s="21">
        <f t="shared" ref="AF8:AN8" si="13">AF4*0.0769</f>
        <v>1085.959375913091</v>
      </c>
      <c r="AG8" s="21">
        <f t="shared" si="13"/>
        <v>1152.2028978437895</v>
      </c>
      <c r="AH8" s="21">
        <f t="shared" si="13"/>
        <v>1222.4872746122605</v>
      </c>
      <c r="AI8" s="21">
        <f t="shared" si="13"/>
        <v>1284.8341256174858</v>
      </c>
      <c r="AJ8" s="21">
        <f t="shared" si="13"/>
        <v>1350.3606660239775</v>
      </c>
      <c r="AK8" s="21">
        <f t="shared" si="13"/>
        <v>1419.2290599912003</v>
      </c>
      <c r="AL8" s="21">
        <f t="shared" si="13"/>
        <v>1491.6097420507517</v>
      </c>
      <c r="AM8" s="21">
        <f t="shared" si="13"/>
        <v>1567.6818388953398</v>
      </c>
      <c r="AN8" s="21">
        <f t="shared" si="13"/>
        <v>1606.8738848677231</v>
      </c>
    </row>
    <row r="9" spans="1:48" s="22" customFormat="1" x14ac:dyDescent="0.25">
      <c r="A9" s="21" t="s">
        <v>47</v>
      </c>
      <c r="B9" s="21">
        <v>26</v>
      </c>
      <c r="C9" s="21">
        <v>28</v>
      </c>
      <c r="D9" s="21">
        <v>33</v>
      </c>
      <c r="E9" s="21">
        <v>34</v>
      </c>
      <c r="F9" s="21">
        <v>32</v>
      </c>
      <c r="G9" s="21">
        <v>33</v>
      </c>
      <c r="H9" s="21">
        <v>32</v>
      </c>
      <c r="I9" s="21">
        <v>32</v>
      </c>
      <c r="J9" s="21">
        <v>31</v>
      </c>
      <c r="K9" s="21">
        <v>30</v>
      </c>
      <c r="L9" s="21">
        <v>31</v>
      </c>
      <c r="M9" s="21">
        <v>31</v>
      </c>
      <c r="N9" s="21">
        <v>31</v>
      </c>
      <c r="O9" s="21">
        <v>31</v>
      </c>
      <c r="P9" s="21">
        <v>30</v>
      </c>
      <c r="Q9" s="21">
        <v>30</v>
      </c>
      <c r="R9" s="21">
        <v>30</v>
      </c>
      <c r="S9" s="21">
        <f>S4*0.0096</f>
        <v>30.292214399999995</v>
      </c>
      <c r="T9" s="21">
        <f>T4*0.0096</f>
        <v>31.587849599999995</v>
      </c>
      <c r="U9" s="21">
        <f>U4*0.0096</f>
        <v>29.987999999999996</v>
      </c>
      <c r="V9" s="21"/>
      <c r="W9" s="21">
        <v>75</v>
      </c>
      <c r="X9" s="21">
        <v>94</v>
      </c>
      <c r="Y9" s="21">
        <v>113</v>
      </c>
      <c r="Z9" s="21">
        <f t="shared" si="7"/>
        <v>121</v>
      </c>
      <c r="AA9" s="21">
        <f t="shared" si="8"/>
        <v>129</v>
      </c>
      <c r="AB9" s="21">
        <f t="shared" si="9"/>
        <v>123</v>
      </c>
      <c r="AC9" s="21">
        <f t="shared" si="10"/>
        <v>122</v>
      </c>
      <c r="AD9" s="22">
        <f t="shared" si="11"/>
        <v>121.86806399999999</v>
      </c>
      <c r="AE9" s="21">
        <f>AE4*0.0096</f>
        <v>127.77417590399999</v>
      </c>
      <c r="AF9" s="21">
        <f t="shared" ref="AF9:AN9" si="14">AF4*0.0096</f>
        <v>135.56840063414398</v>
      </c>
      <c r="AG9" s="21">
        <f t="shared" si="14"/>
        <v>143.83807307282677</v>
      </c>
      <c r="AH9" s="21">
        <f t="shared" si="14"/>
        <v>152.61219553026919</v>
      </c>
      <c r="AI9" s="21">
        <f t="shared" si="14"/>
        <v>160.39541750231291</v>
      </c>
      <c r="AJ9" s="21">
        <f t="shared" si="14"/>
        <v>168.57558379493088</v>
      </c>
      <c r="AK9" s="21">
        <f t="shared" si="14"/>
        <v>177.17293856847235</v>
      </c>
      <c r="AL9" s="21">
        <f t="shared" si="14"/>
        <v>186.20875843546443</v>
      </c>
      <c r="AM9" s="21">
        <f t="shared" si="14"/>
        <v>195.7054051156731</v>
      </c>
      <c r="AN9" s="21">
        <f t="shared" si="14"/>
        <v>200.59804024356492</v>
      </c>
    </row>
    <row r="10" spans="1:48" s="26" customFormat="1" x14ac:dyDescent="0.25">
      <c r="A10" s="25" t="s">
        <v>46</v>
      </c>
      <c r="B10" s="25">
        <f t="shared" ref="B10:Q10" si="15">SUM(B7:B8)</f>
        <v>656</v>
      </c>
      <c r="C10" s="25">
        <f t="shared" si="15"/>
        <v>831</v>
      </c>
      <c r="D10" s="25">
        <f t="shared" si="15"/>
        <v>711</v>
      </c>
      <c r="E10" s="25">
        <f t="shared" si="15"/>
        <v>703</v>
      </c>
      <c r="F10" s="25">
        <f t="shared" si="15"/>
        <v>622</v>
      </c>
      <c r="G10" s="25">
        <f t="shared" si="15"/>
        <v>707</v>
      </c>
      <c r="H10" s="25">
        <f t="shared" si="15"/>
        <v>737</v>
      </c>
      <c r="I10" s="25">
        <f t="shared" si="15"/>
        <v>756</v>
      </c>
      <c r="J10" s="25">
        <f t="shared" si="15"/>
        <v>682</v>
      </c>
      <c r="K10" s="25">
        <f t="shared" si="15"/>
        <v>726</v>
      </c>
      <c r="L10" s="25">
        <f t="shared" si="15"/>
        <v>739</v>
      </c>
      <c r="M10" s="25">
        <f t="shared" si="15"/>
        <v>798</v>
      </c>
      <c r="N10" s="25">
        <f t="shared" si="15"/>
        <v>675</v>
      </c>
      <c r="O10" s="25">
        <f t="shared" si="15"/>
        <v>703</v>
      </c>
      <c r="P10" s="25">
        <f t="shared" si="15"/>
        <v>738</v>
      </c>
      <c r="Q10" s="25">
        <f t="shared" si="15"/>
        <v>803</v>
      </c>
      <c r="R10" s="25">
        <f>SUM(R7:R8)</f>
        <v>709</v>
      </c>
      <c r="S10" s="25">
        <f>SUM(S7:S8)</f>
        <v>689.77896539999995</v>
      </c>
      <c r="T10" s="25">
        <f>SUM(T7:T8)</f>
        <v>719.2816585999999</v>
      </c>
      <c r="U10" s="25">
        <f>SUM(U7:U8)</f>
        <v>682.85174999999992</v>
      </c>
      <c r="V10" s="25"/>
      <c r="W10" s="25">
        <f t="shared" ref="W10:X10" si="16">SUM(W7:W8)</f>
        <v>2337</v>
      </c>
      <c r="X10" s="25">
        <f t="shared" si="16"/>
        <v>2792</v>
      </c>
      <c r="Y10" s="25">
        <f>SUM(Y7:Y8)</f>
        <v>2616</v>
      </c>
      <c r="Z10" s="23">
        <f>SUM(B10:E10)</f>
        <v>2901</v>
      </c>
      <c r="AA10" s="23">
        <f>SUM(F10:I10)</f>
        <v>2822</v>
      </c>
      <c r="AB10" s="23">
        <f>SUM(J10:M10)</f>
        <v>2945</v>
      </c>
      <c r="AC10" s="23">
        <f>SUM(N10:Q10)</f>
        <v>2919</v>
      </c>
      <c r="AD10" s="24">
        <f t="shared" si="11"/>
        <v>2800.9123739999995</v>
      </c>
      <c r="AE10" s="25">
        <f>SUM(AE7:AE8)</f>
        <v>2909.5244638139998</v>
      </c>
      <c r="AF10" s="25">
        <f t="shared" ref="AF10:AN10" si="17">SUM(AF7:AF8)</f>
        <v>3087.0054561066536</v>
      </c>
      <c r="AG10" s="25">
        <f t="shared" si="17"/>
        <v>3275.31278892916</v>
      </c>
      <c r="AH10" s="25">
        <f t="shared" si="17"/>
        <v>3475.1068690538382</v>
      </c>
      <c r="AI10" s="25">
        <f t="shared" si="17"/>
        <v>3652.3373193755838</v>
      </c>
      <c r="AJ10" s="25">
        <f t="shared" si="17"/>
        <v>3838.6065226637384</v>
      </c>
      <c r="AK10" s="25">
        <f t="shared" si="17"/>
        <v>4034.375455319589</v>
      </c>
      <c r="AL10" s="25">
        <f t="shared" si="17"/>
        <v>4240.1286035408884</v>
      </c>
      <c r="AM10" s="25">
        <f t="shared" si="17"/>
        <v>4456.375162321473</v>
      </c>
      <c r="AN10" s="25">
        <f t="shared" si="17"/>
        <v>4567.7845413795094</v>
      </c>
    </row>
    <row r="11" spans="1:48" s="24" customFormat="1" x14ac:dyDescent="0.25">
      <c r="A11" s="23" t="s">
        <v>36</v>
      </c>
      <c r="B11" s="23">
        <f t="shared" ref="B11:R11" si="18">B6-B10</f>
        <v>-95</v>
      </c>
      <c r="C11" s="23">
        <f t="shared" si="18"/>
        <v>-75</v>
      </c>
      <c r="D11" s="23">
        <f t="shared" si="18"/>
        <v>290</v>
      </c>
      <c r="E11" s="23">
        <f t="shared" si="18"/>
        <v>510</v>
      </c>
      <c r="F11" s="23">
        <f t="shared" si="18"/>
        <v>534</v>
      </c>
      <c r="G11" s="23">
        <f t="shared" si="18"/>
        <v>608</v>
      </c>
      <c r="H11" s="23">
        <f t="shared" si="18"/>
        <v>584</v>
      </c>
      <c r="I11" s="23">
        <f t="shared" si="18"/>
        <v>515</v>
      </c>
      <c r="J11" s="23">
        <f t="shared" si="18"/>
        <v>601</v>
      </c>
      <c r="K11" s="23">
        <f t="shared" si="18"/>
        <v>520</v>
      </c>
      <c r="L11" s="23">
        <f t="shared" si="18"/>
        <v>323</v>
      </c>
      <c r="M11" s="23">
        <f t="shared" si="18"/>
        <v>117</v>
      </c>
      <c r="N11" s="23">
        <f t="shared" si="18"/>
        <v>328</v>
      </c>
      <c r="O11" s="23">
        <f t="shared" si="18"/>
        <v>310</v>
      </c>
      <c r="P11" s="23">
        <f t="shared" si="18"/>
        <v>266</v>
      </c>
      <c r="Q11" s="23">
        <f t="shared" si="18"/>
        <v>108</v>
      </c>
      <c r="R11" s="23">
        <f t="shared" si="18"/>
        <v>284</v>
      </c>
      <c r="S11" s="23">
        <f t="shared" ref="S11:T11" si="19">S6-S10</f>
        <v>358.45787040000039</v>
      </c>
      <c r="T11" s="23">
        <f t="shared" si="19"/>
        <v>373.78955360000009</v>
      </c>
      <c r="U11" s="23">
        <f t="shared" ref="U11" si="20">U6-U10</f>
        <v>354.85800000000006</v>
      </c>
      <c r="V11" s="23"/>
      <c r="W11" s="23">
        <f t="shared" ref="W11:Y11" si="21">W6-W10</f>
        <v>1683</v>
      </c>
      <c r="X11" s="23">
        <f t="shared" si="21"/>
        <v>1669</v>
      </c>
      <c r="Y11" s="23">
        <f t="shared" si="21"/>
        <v>1419</v>
      </c>
      <c r="Z11" s="23">
        <f>SUM(B11:E11)</f>
        <v>630</v>
      </c>
      <c r="AA11" s="23">
        <f>SUM(F11:I11)</f>
        <v>2241</v>
      </c>
      <c r="AB11" s="23">
        <f>SUM(J11:M11)</f>
        <v>1561</v>
      </c>
      <c r="AC11" s="23">
        <f>SUM(N11:Q11)</f>
        <v>1012</v>
      </c>
      <c r="AD11" s="24">
        <f t="shared" si="11"/>
        <v>1371.1054240000005</v>
      </c>
      <c r="AE11" s="23">
        <f t="shared" ref="AE11:AN11" si="22">AE6-AE10</f>
        <v>1511.9944148640002</v>
      </c>
      <c r="AF11" s="23">
        <f t="shared" si="22"/>
        <v>1604.226074170705</v>
      </c>
      <c r="AG11" s="23">
        <f t="shared" si="22"/>
        <v>1702.083864695117</v>
      </c>
      <c r="AH11" s="23">
        <f t="shared" si="22"/>
        <v>1805.9109804415198</v>
      </c>
      <c r="AI11" s="23">
        <f t="shared" si="22"/>
        <v>1898.0124404440371</v>
      </c>
      <c r="AJ11" s="23">
        <f t="shared" si="22"/>
        <v>1994.8110749066836</v>
      </c>
      <c r="AK11" s="23">
        <f t="shared" si="22"/>
        <v>2096.5464397269238</v>
      </c>
      <c r="AL11" s="23">
        <f t="shared" si="22"/>
        <v>2203.4703081529969</v>
      </c>
      <c r="AM11" s="23">
        <f t="shared" si="22"/>
        <v>2315.8472938688001</v>
      </c>
      <c r="AN11" s="23">
        <f t="shared" si="22"/>
        <v>2373.743476215519</v>
      </c>
    </row>
    <row r="12" spans="1:48" s="22" customFormat="1" hidden="1" outlineLevel="1" x14ac:dyDescent="0.25">
      <c r="A12" s="21" t="s">
        <v>53</v>
      </c>
      <c r="B12" s="21">
        <v>14</v>
      </c>
      <c r="C12" s="21">
        <v>79</v>
      </c>
      <c r="D12" s="21">
        <v>-76</v>
      </c>
      <c r="E12" s="21">
        <v>-42</v>
      </c>
      <c r="F12" s="21">
        <v>8</v>
      </c>
      <c r="G12" s="21">
        <v>7</v>
      </c>
      <c r="H12" s="21">
        <v>16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>
        <v>361</v>
      </c>
      <c r="X12" s="21">
        <v>390</v>
      </c>
      <c r="Y12" s="21">
        <v>17</v>
      </c>
      <c r="Z12" s="21">
        <f t="shared" ref="Z12:Z17" si="23">SUM(B12:E12)</f>
        <v>-25</v>
      </c>
      <c r="AA12" s="21">
        <f t="shared" ref="AA12:AA17" si="24">SUM(F12:I12)</f>
        <v>31</v>
      </c>
      <c r="AB12" s="21">
        <f t="shared" ref="AB12:AB17" si="25">SUM(J12:M12)</f>
        <v>0</v>
      </c>
      <c r="AC12" s="21">
        <f t="shared" ref="AC12:AC17" si="26">SUM(N12:Q12)</f>
        <v>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8" s="22" customFormat="1" collapsed="1" x14ac:dyDescent="0.25">
      <c r="A13" s="21" t="s">
        <v>37</v>
      </c>
      <c r="B13" s="21">
        <v>6</v>
      </c>
      <c r="C13" s="21">
        <v>3</v>
      </c>
      <c r="D13" s="21">
        <v>3</v>
      </c>
      <c r="E13" s="21">
        <v>3</v>
      </c>
      <c r="F13" s="21">
        <v>3</v>
      </c>
      <c r="G13" s="21">
        <v>2</v>
      </c>
      <c r="H13" s="21">
        <v>3</v>
      </c>
      <c r="I13" s="21">
        <v>3</v>
      </c>
      <c r="J13" s="21">
        <v>3</v>
      </c>
      <c r="K13" s="21">
        <v>3</v>
      </c>
      <c r="L13" s="21">
        <v>3</v>
      </c>
      <c r="M13" s="21">
        <v>6</v>
      </c>
      <c r="N13" s="21">
        <v>7</v>
      </c>
      <c r="O13" s="21">
        <v>8</v>
      </c>
      <c r="P13" s="21">
        <v>10</v>
      </c>
      <c r="Q13" s="21">
        <v>13</v>
      </c>
      <c r="R13" s="21">
        <v>12</v>
      </c>
      <c r="S13" s="21">
        <f>S4*0.003</f>
        <v>9.4663170000000001</v>
      </c>
      <c r="T13" s="21">
        <f>T4*0.003</f>
        <v>9.8712029999999995</v>
      </c>
      <c r="U13" s="21">
        <f>U4*0.003</f>
        <v>9.3712499999999999</v>
      </c>
      <c r="V13" s="21"/>
      <c r="W13" s="21">
        <v>45</v>
      </c>
      <c r="X13" s="21">
        <v>38</v>
      </c>
      <c r="Y13" s="21">
        <v>21</v>
      </c>
      <c r="Z13" s="21">
        <f t="shared" si="23"/>
        <v>15</v>
      </c>
      <c r="AA13" s="21">
        <f t="shared" si="24"/>
        <v>11</v>
      </c>
      <c r="AB13" s="21">
        <f t="shared" si="25"/>
        <v>15</v>
      </c>
      <c r="AC13" s="21">
        <f t="shared" si="26"/>
        <v>38</v>
      </c>
      <c r="AD13" s="22">
        <f t="shared" ref="AD13:AD17" si="27">SUM(R13:U13)</f>
        <v>40.708770000000001</v>
      </c>
      <c r="AE13" s="21">
        <f>AE4*0.003</f>
        <v>39.929429970000001</v>
      </c>
      <c r="AF13" s="21">
        <f t="shared" ref="AF13:AN13" si="28">AF4*0.003</f>
        <v>42.365125198169999</v>
      </c>
      <c r="AG13" s="21">
        <f t="shared" si="28"/>
        <v>44.949397835258367</v>
      </c>
      <c r="AH13" s="21">
        <f t="shared" si="28"/>
        <v>47.691311103209131</v>
      </c>
      <c r="AI13" s="21">
        <f t="shared" si="28"/>
        <v>50.123567969472795</v>
      </c>
      <c r="AJ13" s="21">
        <f t="shared" si="28"/>
        <v>52.679869935915903</v>
      </c>
      <c r="AK13" s="21">
        <f t="shared" si="28"/>
        <v>55.366543302647614</v>
      </c>
      <c r="AL13" s="21">
        <f t="shared" si="28"/>
        <v>58.190237011082644</v>
      </c>
      <c r="AM13" s="21">
        <f t="shared" si="28"/>
        <v>61.157939098647851</v>
      </c>
      <c r="AN13" s="21">
        <f t="shared" si="28"/>
        <v>62.686887576114039</v>
      </c>
    </row>
    <row r="14" spans="1:48" s="22" customFormat="1" x14ac:dyDescent="0.25">
      <c r="A14" s="21" t="s">
        <v>38</v>
      </c>
      <c r="B14" s="21">
        <v>-64</v>
      </c>
      <c r="C14" s="21">
        <v>-67</v>
      </c>
      <c r="D14" s="21">
        <v>-70</v>
      </c>
      <c r="E14" s="21">
        <v>-75</v>
      </c>
      <c r="F14" s="21">
        <v>-77</v>
      </c>
      <c r="G14" s="21">
        <v>-78</v>
      </c>
      <c r="H14" s="21">
        <v>-72</v>
      </c>
      <c r="I14" s="21">
        <v>-73</v>
      </c>
      <c r="J14" s="21">
        <v>-71</v>
      </c>
      <c r="K14" s="21">
        <v>-72</v>
      </c>
      <c r="L14" s="21">
        <v>-73</v>
      </c>
      <c r="M14" s="21">
        <v>-76</v>
      </c>
      <c r="N14" s="21">
        <v>-76</v>
      </c>
      <c r="O14" s="21">
        <v>-81</v>
      </c>
      <c r="P14" s="21">
        <v>-82</v>
      </c>
      <c r="Q14" s="21">
        <v>-90</v>
      </c>
      <c r="R14" s="21">
        <v>-83</v>
      </c>
      <c r="S14" s="21">
        <f>S4*-0.0265</f>
        <v>-83.61913349999999</v>
      </c>
      <c r="T14" s="21">
        <f>T4*-0.0265</f>
        <v>-87.195626499999989</v>
      </c>
      <c r="U14" s="21">
        <f>U4*-0.0267</f>
        <v>-83.404125000000008</v>
      </c>
      <c r="V14" s="21"/>
      <c r="W14" s="21">
        <v>-155</v>
      </c>
      <c r="X14" s="21">
        <v>-191</v>
      </c>
      <c r="Y14" s="21">
        <v>-221</v>
      </c>
      <c r="Z14" s="21">
        <f t="shared" si="23"/>
        <v>-276</v>
      </c>
      <c r="AA14" s="21">
        <f t="shared" si="24"/>
        <v>-300</v>
      </c>
      <c r="AB14" s="21">
        <f t="shared" si="25"/>
        <v>-292</v>
      </c>
      <c r="AC14" s="21">
        <f t="shared" si="26"/>
        <v>-329</v>
      </c>
      <c r="AD14" s="22">
        <f t="shared" si="27"/>
        <v>-337.218885</v>
      </c>
      <c r="AE14" s="21">
        <f>AE4*-0.0245</f>
        <v>-326.09034475499999</v>
      </c>
      <c r="AF14" s="21">
        <f>AF4*-0.0235</f>
        <v>-331.86014738566502</v>
      </c>
      <c r="AG14" s="21">
        <f>AG4*-0.0225</f>
        <v>-337.12048376443778</v>
      </c>
      <c r="AH14" s="21">
        <f>AH4*-0.0215</f>
        <v>-341.78772957299873</v>
      </c>
      <c r="AI14" s="21">
        <f t="shared" ref="AI14:AN14" si="29">AI4*-0.0215</f>
        <v>-359.21890378122163</v>
      </c>
      <c r="AJ14" s="21">
        <f t="shared" si="29"/>
        <v>-377.53906787406396</v>
      </c>
      <c r="AK14" s="21">
        <f t="shared" si="29"/>
        <v>-396.79356033564119</v>
      </c>
      <c r="AL14" s="21">
        <f t="shared" si="29"/>
        <v>-417.03003191275889</v>
      </c>
      <c r="AM14" s="21">
        <f t="shared" si="29"/>
        <v>-438.29856354030954</v>
      </c>
      <c r="AN14" s="21">
        <f t="shared" si="29"/>
        <v>-449.25602762881726</v>
      </c>
    </row>
    <row r="15" spans="1:48" s="22" customFormat="1" x14ac:dyDescent="0.25">
      <c r="A15" s="21" t="s">
        <v>39</v>
      </c>
      <c r="B15" s="21">
        <v>68</v>
      </c>
      <c r="C15" s="21">
        <v>37</v>
      </c>
      <c r="D15" s="21">
        <v>-100</v>
      </c>
      <c r="E15" s="21">
        <v>-43</v>
      </c>
      <c r="F15" s="21">
        <v>272</v>
      </c>
      <c r="G15" s="21">
        <v>3</v>
      </c>
      <c r="H15" s="21">
        <v>-13</v>
      </c>
      <c r="I15" s="21">
        <v>92</v>
      </c>
      <c r="J15" s="21">
        <v>129</v>
      </c>
      <c r="K15" s="21">
        <v>196</v>
      </c>
      <c r="L15" s="21">
        <v>-68</v>
      </c>
      <c r="M15" s="21">
        <v>94</v>
      </c>
      <c r="N15" s="21">
        <v>-8</v>
      </c>
      <c r="O15" s="21">
        <v>116</v>
      </c>
      <c r="P15" s="21">
        <v>20</v>
      </c>
      <c r="Q15" s="21">
        <v>33</v>
      </c>
      <c r="R15" s="21">
        <v>39</v>
      </c>
      <c r="S15" s="21">
        <f>S4*0.0155</f>
        <v>48.909304499999998</v>
      </c>
      <c r="T15" s="21">
        <f>T4*0.0155</f>
        <v>51.001215500000001</v>
      </c>
      <c r="U15" s="21">
        <f>U4*0.0155</f>
        <v>48.418124999999996</v>
      </c>
      <c r="V15" s="21"/>
      <c r="W15" s="21">
        <v>-121</v>
      </c>
      <c r="X15" s="21">
        <v>-93</v>
      </c>
      <c r="Y15" s="21">
        <v>248</v>
      </c>
      <c r="Z15" s="21">
        <f t="shared" si="23"/>
        <v>-38</v>
      </c>
      <c r="AA15" s="21">
        <f t="shared" si="24"/>
        <v>354</v>
      </c>
      <c r="AB15" s="21">
        <f t="shared" si="25"/>
        <v>351</v>
      </c>
      <c r="AC15" s="21">
        <f t="shared" si="26"/>
        <v>161</v>
      </c>
      <c r="AD15" s="22">
        <f t="shared" si="27"/>
        <v>187.32864499999999</v>
      </c>
      <c r="AE15" s="21">
        <f>AE4*0.0155</f>
        <v>206.30205484499999</v>
      </c>
      <c r="AF15" s="21">
        <f t="shared" ref="AF15:AN15" si="30">AF4*0.0155</f>
        <v>218.886480190545</v>
      </c>
      <c r="AG15" s="21">
        <f t="shared" si="30"/>
        <v>232.23855548216824</v>
      </c>
      <c r="AH15" s="21">
        <f t="shared" si="30"/>
        <v>246.40510736658049</v>
      </c>
      <c r="AI15" s="21">
        <f t="shared" si="30"/>
        <v>258.97176784227611</v>
      </c>
      <c r="AJ15" s="21">
        <f t="shared" si="30"/>
        <v>272.17932800223218</v>
      </c>
      <c r="AK15" s="21">
        <f t="shared" si="30"/>
        <v>286.06047373034602</v>
      </c>
      <c r="AL15" s="21">
        <f t="shared" si="30"/>
        <v>300.64955789059366</v>
      </c>
      <c r="AM15" s="21">
        <f t="shared" si="30"/>
        <v>315.98268534301388</v>
      </c>
      <c r="AN15" s="21">
        <f t="shared" si="30"/>
        <v>323.8822524765892</v>
      </c>
    </row>
    <row r="16" spans="1:48" s="22" customFormat="1" hidden="1" outlineLevel="1" x14ac:dyDescent="0.25">
      <c r="A16" s="21" t="s">
        <v>58</v>
      </c>
      <c r="B16" s="21"/>
      <c r="C16" s="21"/>
      <c r="D16" s="21">
        <v>498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>
        <f t="shared" si="23"/>
        <v>498</v>
      </c>
      <c r="AA16" s="21">
        <f t="shared" si="24"/>
        <v>0</v>
      </c>
      <c r="AB16" s="21">
        <f t="shared" si="25"/>
        <v>0</v>
      </c>
      <c r="AC16" s="21">
        <f t="shared" si="26"/>
        <v>0</v>
      </c>
      <c r="AD16" s="22">
        <f t="shared" si="27"/>
        <v>0</v>
      </c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201" s="22" customFormat="1" collapsed="1" x14ac:dyDescent="0.25">
      <c r="A17" s="21" t="s">
        <v>40</v>
      </c>
      <c r="B17" s="21">
        <v>-11</v>
      </c>
      <c r="C17" s="21">
        <v>2</v>
      </c>
      <c r="D17" s="21">
        <v>-62</v>
      </c>
      <c r="E17" s="21">
        <v>11</v>
      </c>
      <c r="F17" s="21">
        <v>117</v>
      </c>
      <c r="G17" s="21">
        <v>7</v>
      </c>
      <c r="H17" s="21">
        <v>-6</v>
      </c>
      <c r="I17" s="21">
        <v>80</v>
      </c>
      <c r="J17" s="21">
        <v>152</v>
      </c>
      <c r="K17" s="21">
        <v>133</v>
      </c>
      <c r="L17" s="21">
        <v>106</v>
      </c>
      <c r="M17" s="21">
        <v>-106</v>
      </c>
      <c r="N17" s="21">
        <v>8</v>
      </c>
      <c r="O17" s="21">
        <v>87</v>
      </c>
      <c r="P17" s="21">
        <v>33</v>
      </c>
      <c r="Q17" s="21">
        <v>-72</v>
      </c>
      <c r="R17" s="21">
        <v>74</v>
      </c>
      <c r="S17" s="21">
        <f>S4*0.0164</f>
        <v>51.749199600000004</v>
      </c>
      <c r="T17" s="21">
        <f>T4*0.0164</f>
        <v>53.962576400000003</v>
      </c>
      <c r="U17" s="21">
        <f>U4*-0.0176</f>
        <v>-54.978000000000002</v>
      </c>
      <c r="V17" s="21"/>
      <c r="W17" s="21">
        <v>-81</v>
      </c>
      <c r="X17" s="21">
        <v>-216</v>
      </c>
      <c r="Y17" s="21">
        <v>-155</v>
      </c>
      <c r="Z17" s="21">
        <f t="shared" si="23"/>
        <v>-60</v>
      </c>
      <c r="AA17" s="21">
        <f t="shared" si="24"/>
        <v>198</v>
      </c>
      <c r="AB17" s="21">
        <f t="shared" si="25"/>
        <v>285</v>
      </c>
      <c r="AC17" s="21">
        <f t="shared" si="26"/>
        <v>56</v>
      </c>
      <c r="AD17" s="22">
        <f t="shared" si="27"/>
        <v>124.73377599999998</v>
      </c>
      <c r="AE17" s="21">
        <f>AE4*0.0164</f>
        <v>218.28088383600002</v>
      </c>
      <c r="AF17" s="21">
        <f t="shared" ref="AF17:AN17" si="31">AF4*0.0164</f>
        <v>231.59601774999601</v>
      </c>
      <c r="AG17" s="21">
        <f t="shared" si="31"/>
        <v>245.72337483274578</v>
      </c>
      <c r="AH17" s="21">
        <f t="shared" si="31"/>
        <v>260.71250069754325</v>
      </c>
      <c r="AI17" s="21">
        <f t="shared" si="31"/>
        <v>274.00883823311796</v>
      </c>
      <c r="AJ17" s="21">
        <f t="shared" si="31"/>
        <v>287.98328898300696</v>
      </c>
      <c r="AK17" s="21">
        <f t="shared" si="31"/>
        <v>302.67043672114033</v>
      </c>
      <c r="AL17" s="21">
        <f t="shared" si="31"/>
        <v>318.10662899391849</v>
      </c>
      <c r="AM17" s="21">
        <f t="shared" si="31"/>
        <v>334.3300670726083</v>
      </c>
      <c r="AN17" s="21">
        <f t="shared" si="31"/>
        <v>342.68831874942344</v>
      </c>
    </row>
    <row r="18" spans="1:201" s="24" customFormat="1" x14ac:dyDescent="0.25">
      <c r="A18" s="23" t="s">
        <v>41</v>
      </c>
      <c r="B18" s="23">
        <f t="shared" ref="B18:S18" si="32">SUM(B11:B17)</f>
        <v>-82</v>
      </c>
      <c r="C18" s="23">
        <f t="shared" si="32"/>
        <v>-21</v>
      </c>
      <c r="D18" s="23">
        <f t="shared" si="32"/>
        <v>483</v>
      </c>
      <c r="E18" s="23">
        <f t="shared" si="32"/>
        <v>364</v>
      </c>
      <c r="F18" s="23">
        <f t="shared" si="32"/>
        <v>857</v>
      </c>
      <c r="G18" s="23">
        <f t="shared" si="32"/>
        <v>549</v>
      </c>
      <c r="H18" s="23">
        <f t="shared" si="32"/>
        <v>512</v>
      </c>
      <c r="I18" s="23">
        <f t="shared" si="32"/>
        <v>617</v>
      </c>
      <c r="J18" s="23">
        <f t="shared" si="32"/>
        <v>814</v>
      </c>
      <c r="K18" s="23">
        <f t="shared" si="32"/>
        <v>780</v>
      </c>
      <c r="L18" s="23">
        <f t="shared" si="32"/>
        <v>291</v>
      </c>
      <c r="M18" s="23">
        <f t="shared" si="32"/>
        <v>35</v>
      </c>
      <c r="N18" s="23">
        <f t="shared" si="32"/>
        <v>259</v>
      </c>
      <c r="O18" s="23">
        <f t="shared" si="32"/>
        <v>440</v>
      </c>
      <c r="P18" s="23">
        <f t="shared" si="32"/>
        <v>247</v>
      </c>
      <c r="Q18" s="23">
        <f t="shared" si="32"/>
        <v>-8</v>
      </c>
      <c r="R18" s="23">
        <f t="shared" si="32"/>
        <v>326</v>
      </c>
      <c r="S18" s="23">
        <f t="shared" si="32"/>
        <v>384.96355800000043</v>
      </c>
      <c r="T18" s="23">
        <f t="shared" ref="T18:U18" si="33">SUM(T11:T17)</f>
        <v>401.42892200000006</v>
      </c>
      <c r="U18" s="23">
        <f t="shared" si="33"/>
        <v>274.26524999999998</v>
      </c>
      <c r="V18" s="23"/>
      <c r="W18" s="23">
        <f t="shared" ref="W18:Y18" si="34">SUM(W11:W17)</f>
        <v>1732</v>
      </c>
      <c r="X18" s="23">
        <f t="shared" si="34"/>
        <v>1597</v>
      </c>
      <c r="Y18" s="23">
        <f t="shared" si="34"/>
        <v>1329</v>
      </c>
      <c r="Z18" s="23">
        <f>SUM(B18:E18)</f>
        <v>744</v>
      </c>
      <c r="AA18" s="23">
        <f>SUM(F18:I18)</f>
        <v>2535</v>
      </c>
      <c r="AB18" s="23">
        <f>SUM(J18:M18)</f>
        <v>1920</v>
      </c>
      <c r="AC18" s="23">
        <f>SUM(N18:Q18)</f>
        <v>938</v>
      </c>
      <c r="AD18" s="24">
        <f>SUM(R18:U18)</f>
        <v>1386.6577300000004</v>
      </c>
      <c r="AE18" s="23">
        <f t="shared" ref="AE18:AN18" si="35">SUM(AE11:AE17)</f>
        <v>1650.4164387600001</v>
      </c>
      <c r="AF18" s="23">
        <f t="shared" si="35"/>
        <v>1765.2135499237511</v>
      </c>
      <c r="AG18" s="23">
        <f t="shared" si="35"/>
        <v>1887.8747090808517</v>
      </c>
      <c r="AH18" s="23">
        <f t="shared" si="35"/>
        <v>2018.9321700358539</v>
      </c>
      <c r="AI18" s="23">
        <f t="shared" si="35"/>
        <v>2121.8977107076821</v>
      </c>
      <c r="AJ18" s="23">
        <f t="shared" si="35"/>
        <v>2230.1144939537744</v>
      </c>
      <c r="AK18" s="23">
        <f t="shared" si="35"/>
        <v>2343.8503331454167</v>
      </c>
      <c r="AL18" s="23">
        <f t="shared" si="35"/>
        <v>2463.3867001358326</v>
      </c>
      <c r="AM18" s="23">
        <f t="shared" si="35"/>
        <v>2589.0194218427609</v>
      </c>
      <c r="AN18" s="23">
        <f t="shared" si="35"/>
        <v>2653.7449073888288</v>
      </c>
    </row>
    <row r="19" spans="1:201" s="22" customFormat="1" x14ac:dyDescent="0.25">
      <c r="A19" s="21" t="s">
        <v>42</v>
      </c>
      <c r="B19" s="21">
        <v>12</v>
      </c>
      <c r="C19" s="21">
        <v>-22</v>
      </c>
      <c r="D19" s="21">
        <v>-23</v>
      </c>
      <c r="E19" s="21">
        <v>-78</v>
      </c>
      <c r="F19" s="21">
        <v>-226</v>
      </c>
      <c r="G19" s="21">
        <v>-67</v>
      </c>
      <c r="H19" s="21">
        <v>-109</v>
      </c>
      <c r="I19" s="21">
        <v>-89</v>
      </c>
      <c r="J19" s="21">
        <v>-180</v>
      </c>
      <c r="K19" s="21">
        <v>-166</v>
      </c>
      <c r="L19" s="21">
        <v>-34</v>
      </c>
      <c r="M19" s="21">
        <v>-31</v>
      </c>
      <c r="N19" s="21">
        <v>-37</v>
      </c>
      <c r="O19" s="21">
        <v>-106</v>
      </c>
      <c r="P19" s="21">
        <v>-35</v>
      </c>
      <c r="Q19" s="21">
        <v>10</v>
      </c>
      <c r="R19" s="21">
        <v>-71</v>
      </c>
      <c r="S19" s="21">
        <f>S18*-0.2076</f>
        <v>-79.918434640800086</v>
      </c>
      <c r="T19" s="21">
        <f>T18*-0.2076</f>
        <v>-83.33664420720001</v>
      </c>
      <c r="U19" s="21">
        <f>U18*-0.2076</f>
        <v>-56.937465899999999</v>
      </c>
      <c r="V19" s="21"/>
      <c r="W19" s="21">
        <v>2154</v>
      </c>
      <c r="X19" s="21">
        <v>437</v>
      </c>
      <c r="Y19" s="21">
        <v>256</v>
      </c>
      <c r="Z19" s="21">
        <v>111</v>
      </c>
      <c r="AA19" s="21">
        <v>491</v>
      </c>
      <c r="AB19" s="21">
        <v>411</v>
      </c>
      <c r="AC19" s="21">
        <v>168</v>
      </c>
      <c r="AD19" s="22">
        <f>SUM(R19:U19)</f>
        <v>-291.1925447480001</v>
      </c>
      <c r="AE19" s="21">
        <f>AE18*-0.2076</f>
        <v>-342.62645268657604</v>
      </c>
      <c r="AF19" s="21">
        <f t="shared" ref="AF19:AN19" si="36">AF18*-0.2076</f>
        <v>-366.45833296417072</v>
      </c>
      <c r="AG19" s="21">
        <f t="shared" si="36"/>
        <v>-391.92278960518485</v>
      </c>
      <c r="AH19" s="21">
        <f t="shared" si="36"/>
        <v>-419.13031849944326</v>
      </c>
      <c r="AI19" s="21">
        <f t="shared" si="36"/>
        <v>-440.50596474291484</v>
      </c>
      <c r="AJ19" s="21">
        <f t="shared" si="36"/>
        <v>-462.97176894480356</v>
      </c>
      <c r="AK19" s="21">
        <f t="shared" si="36"/>
        <v>-486.58332916098851</v>
      </c>
      <c r="AL19" s="21">
        <f t="shared" si="36"/>
        <v>-511.39907894819885</v>
      </c>
      <c r="AM19" s="21">
        <f t="shared" si="36"/>
        <v>-537.48043197455718</v>
      </c>
      <c r="AN19" s="21">
        <f t="shared" si="36"/>
        <v>-550.91744277392092</v>
      </c>
    </row>
    <row r="20" spans="1:201" s="24" customFormat="1" x14ac:dyDescent="0.25">
      <c r="A20" s="23" t="s">
        <v>43</v>
      </c>
      <c r="B20" s="23">
        <f t="shared" ref="B20:S20" si="37">B18+B19</f>
        <v>-70</v>
      </c>
      <c r="C20" s="23">
        <f t="shared" si="37"/>
        <v>-43</v>
      </c>
      <c r="D20" s="23">
        <f t="shared" si="37"/>
        <v>460</v>
      </c>
      <c r="E20" s="23">
        <f t="shared" si="37"/>
        <v>286</v>
      </c>
      <c r="F20" s="23">
        <f t="shared" si="37"/>
        <v>631</v>
      </c>
      <c r="G20" s="23">
        <f t="shared" si="37"/>
        <v>482</v>
      </c>
      <c r="H20" s="23">
        <f t="shared" si="37"/>
        <v>403</v>
      </c>
      <c r="I20" s="23">
        <f t="shared" si="37"/>
        <v>528</v>
      </c>
      <c r="J20" s="23">
        <f t="shared" si="37"/>
        <v>634</v>
      </c>
      <c r="K20" s="23">
        <f t="shared" si="37"/>
        <v>614</v>
      </c>
      <c r="L20" s="23">
        <f t="shared" si="37"/>
        <v>257</v>
      </c>
      <c r="M20" s="23">
        <f t="shared" si="37"/>
        <v>4</v>
      </c>
      <c r="N20" s="23">
        <f t="shared" si="37"/>
        <v>222</v>
      </c>
      <c r="O20" s="23">
        <f t="shared" si="37"/>
        <v>334</v>
      </c>
      <c r="P20" s="23">
        <f t="shared" si="37"/>
        <v>212</v>
      </c>
      <c r="Q20" s="23">
        <f t="shared" si="37"/>
        <v>2</v>
      </c>
      <c r="R20" s="23">
        <f t="shared" si="37"/>
        <v>255</v>
      </c>
      <c r="S20" s="23">
        <f t="shared" si="37"/>
        <v>305.04512335920037</v>
      </c>
      <c r="T20" s="23">
        <f t="shared" ref="T20:U20" si="38">T18+T19</f>
        <v>318.09227779280002</v>
      </c>
      <c r="U20" s="23">
        <f t="shared" si="38"/>
        <v>217.32778409999997</v>
      </c>
      <c r="V20" s="23"/>
      <c r="W20" s="23">
        <v>-497</v>
      </c>
      <c r="X20" s="23">
        <v>1066</v>
      </c>
      <c r="Y20" s="23">
        <v>960</v>
      </c>
      <c r="Z20" s="23">
        <f>SUM(B20:E20)</f>
        <v>633</v>
      </c>
      <c r="AA20" s="23">
        <f>SUM(F20:I20)</f>
        <v>2044</v>
      </c>
      <c r="AB20" s="23">
        <f>SUM(J20:M20)</f>
        <v>1509</v>
      </c>
      <c r="AC20" s="23">
        <f>SUM(N20:Q20)</f>
        <v>770</v>
      </c>
      <c r="AD20" s="24">
        <f>SUM(R20:U20)</f>
        <v>1095.4651852520003</v>
      </c>
      <c r="AE20" s="23">
        <f t="shared" ref="AE20:AN20" si="39">AE18+AE19</f>
        <v>1307.7899860734242</v>
      </c>
      <c r="AF20" s="23">
        <f t="shared" si="39"/>
        <v>1398.7552169595804</v>
      </c>
      <c r="AG20" s="23">
        <f t="shared" si="39"/>
        <v>1495.951919475667</v>
      </c>
      <c r="AH20" s="23">
        <f t="shared" si="39"/>
        <v>1599.8018515364106</v>
      </c>
      <c r="AI20" s="23">
        <f t="shared" si="39"/>
        <v>1681.3917459647673</v>
      </c>
      <c r="AJ20" s="23">
        <f t="shared" si="39"/>
        <v>1767.142725008971</v>
      </c>
      <c r="AK20" s="23">
        <f t="shared" si="39"/>
        <v>1857.2670039844281</v>
      </c>
      <c r="AL20" s="23">
        <f t="shared" si="39"/>
        <v>1951.9876211876337</v>
      </c>
      <c r="AM20" s="23">
        <f t="shared" si="39"/>
        <v>2051.5389898682038</v>
      </c>
      <c r="AN20" s="23">
        <f t="shared" si="39"/>
        <v>2102.827464614908</v>
      </c>
      <c r="AO20" s="24">
        <f>AN20*(1+$AQ$39)</f>
        <v>2081.799189968759</v>
      </c>
      <c r="AP20" s="24">
        <f t="shared" ref="AP20:DA20" si="40">AO20*(1+$AQ$39)</f>
        <v>2060.9811980690715</v>
      </c>
      <c r="AQ20" s="24">
        <f t="shared" si="40"/>
        <v>2040.3713860883809</v>
      </c>
      <c r="AR20" s="24">
        <f t="shared" si="40"/>
        <v>2019.9676722274971</v>
      </c>
      <c r="AS20" s="24">
        <f t="shared" si="40"/>
        <v>1999.7679955052222</v>
      </c>
      <c r="AT20" s="24">
        <f t="shared" si="40"/>
        <v>1979.7703155501699</v>
      </c>
      <c r="AU20" s="24">
        <f t="shared" si="40"/>
        <v>1959.9726123946682</v>
      </c>
      <c r="AV20" s="24">
        <f t="shared" si="40"/>
        <v>1940.3728862707214</v>
      </c>
      <c r="AW20" s="24">
        <f t="shared" si="40"/>
        <v>1920.9691574080141</v>
      </c>
      <c r="AX20" s="24">
        <f t="shared" si="40"/>
        <v>1901.759465833934</v>
      </c>
      <c r="AY20" s="24">
        <f t="shared" si="40"/>
        <v>1882.7418711755947</v>
      </c>
      <c r="AZ20" s="24">
        <f t="shared" si="40"/>
        <v>1863.9144524638389</v>
      </c>
      <c r="BA20" s="24">
        <f t="shared" si="40"/>
        <v>1845.2753079392005</v>
      </c>
      <c r="BB20" s="24">
        <f t="shared" si="40"/>
        <v>1826.8225548598084</v>
      </c>
      <c r="BC20" s="24">
        <f t="shared" si="40"/>
        <v>1808.5543293112103</v>
      </c>
      <c r="BD20" s="24">
        <f t="shared" si="40"/>
        <v>1790.4687860180982</v>
      </c>
      <c r="BE20" s="24">
        <f t="shared" si="40"/>
        <v>1772.5640981579172</v>
      </c>
      <c r="BF20" s="24">
        <f t="shared" si="40"/>
        <v>1754.8384571763381</v>
      </c>
      <c r="BG20" s="24">
        <f t="shared" si="40"/>
        <v>1737.2900726045748</v>
      </c>
      <c r="BH20" s="24">
        <f t="shared" si="40"/>
        <v>1719.917171878529</v>
      </c>
      <c r="BI20" s="24">
        <f t="shared" si="40"/>
        <v>1702.7180001597437</v>
      </c>
      <c r="BJ20" s="24">
        <f t="shared" si="40"/>
        <v>1685.6908201581464</v>
      </c>
      <c r="BK20" s="24">
        <f t="shared" si="40"/>
        <v>1668.8339119565649</v>
      </c>
      <c r="BL20" s="24">
        <f t="shared" si="40"/>
        <v>1652.1455728369992</v>
      </c>
      <c r="BM20" s="24">
        <f t="shared" si="40"/>
        <v>1635.6241171086292</v>
      </c>
      <c r="BN20" s="24">
        <f t="shared" si="40"/>
        <v>1619.2678759375428</v>
      </c>
      <c r="BO20" s="24">
        <f t="shared" si="40"/>
        <v>1603.0751971781674</v>
      </c>
      <c r="BP20" s="24">
        <f t="shared" si="40"/>
        <v>1587.0444452063857</v>
      </c>
      <c r="BQ20" s="24">
        <f t="shared" si="40"/>
        <v>1571.1740007543219</v>
      </c>
      <c r="BR20" s="24">
        <f t="shared" si="40"/>
        <v>1555.4622607467786</v>
      </c>
      <c r="BS20" s="24">
        <f t="shared" si="40"/>
        <v>1539.9076381393108</v>
      </c>
      <c r="BT20" s="24">
        <f t="shared" si="40"/>
        <v>1524.5085617579177</v>
      </c>
      <c r="BU20" s="24">
        <f t="shared" si="40"/>
        <v>1509.2634761403385</v>
      </c>
      <c r="BV20" s="24">
        <f t="shared" si="40"/>
        <v>1494.1708413789352</v>
      </c>
      <c r="BW20" s="24">
        <f t="shared" si="40"/>
        <v>1479.2291329651457</v>
      </c>
      <c r="BX20" s="24">
        <f t="shared" si="40"/>
        <v>1464.4368416354941</v>
      </c>
      <c r="BY20" s="24">
        <f t="shared" si="40"/>
        <v>1449.7924732191391</v>
      </c>
      <c r="BZ20" s="24">
        <f t="shared" si="40"/>
        <v>1435.2945484869476</v>
      </c>
      <c r="CA20" s="24">
        <f t="shared" si="40"/>
        <v>1420.9416030020782</v>
      </c>
      <c r="CB20" s="24">
        <f t="shared" si="40"/>
        <v>1406.7321869720574</v>
      </c>
      <c r="CC20" s="24">
        <f t="shared" si="40"/>
        <v>1392.6648651023368</v>
      </c>
      <c r="CD20" s="24">
        <f t="shared" si="40"/>
        <v>1378.7382164513133</v>
      </c>
      <c r="CE20" s="24">
        <f t="shared" si="40"/>
        <v>1364.9508342868</v>
      </c>
      <c r="CF20" s="24">
        <f t="shared" si="40"/>
        <v>1351.3013259439319</v>
      </c>
      <c r="CG20" s="24">
        <f t="shared" si="40"/>
        <v>1337.7883126844927</v>
      </c>
      <c r="CH20" s="24">
        <f t="shared" si="40"/>
        <v>1324.4104295576478</v>
      </c>
      <c r="CI20" s="24">
        <f t="shared" si="40"/>
        <v>1311.1663252620713</v>
      </c>
      <c r="CJ20" s="24">
        <f t="shared" si="40"/>
        <v>1298.0546620094506</v>
      </c>
      <c r="CK20" s="24">
        <f t="shared" si="40"/>
        <v>1285.0741153893559</v>
      </c>
      <c r="CL20" s="24">
        <f t="shared" si="40"/>
        <v>1272.2233742354624</v>
      </c>
      <c r="CM20" s="24">
        <f t="shared" si="40"/>
        <v>1259.5011404931079</v>
      </c>
      <c r="CN20" s="24">
        <f t="shared" si="40"/>
        <v>1246.9061290881768</v>
      </c>
      <c r="CO20" s="24">
        <f t="shared" si="40"/>
        <v>1234.437067797295</v>
      </c>
      <c r="CP20" s="24">
        <f t="shared" si="40"/>
        <v>1222.0926971193221</v>
      </c>
      <c r="CQ20" s="24">
        <f t="shared" si="40"/>
        <v>1209.8717701481289</v>
      </c>
      <c r="CR20" s="24">
        <f t="shared" si="40"/>
        <v>1197.7730524466476</v>
      </c>
      <c r="CS20" s="24">
        <f t="shared" si="40"/>
        <v>1185.7953219221811</v>
      </c>
      <c r="CT20" s="24">
        <f t="shared" si="40"/>
        <v>1173.9373687029592</v>
      </c>
      <c r="CU20" s="24">
        <f t="shared" si="40"/>
        <v>1162.1979950159296</v>
      </c>
      <c r="CV20" s="24">
        <f t="shared" si="40"/>
        <v>1150.5760150657702</v>
      </c>
      <c r="CW20" s="24">
        <f t="shared" si="40"/>
        <v>1139.0702549151124</v>
      </c>
      <c r="CX20" s="24">
        <f t="shared" si="40"/>
        <v>1127.6795523659612</v>
      </c>
      <c r="CY20" s="24">
        <f t="shared" si="40"/>
        <v>1116.4027568423016</v>
      </c>
      <c r="CZ20" s="24">
        <f t="shared" si="40"/>
        <v>1105.2387292738786</v>
      </c>
      <c r="DA20" s="24">
        <f t="shared" si="40"/>
        <v>1094.1863419811398</v>
      </c>
      <c r="DB20" s="24">
        <f t="shared" ref="DB20:FM20" si="41">DA20*(1+$AQ$39)</f>
        <v>1083.2444785613284</v>
      </c>
      <c r="DC20" s="24">
        <f t="shared" si="41"/>
        <v>1072.4120337757151</v>
      </c>
      <c r="DD20" s="24">
        <f t="shared" si="41"/>
        <v>1061.6879134379581</v>
      </c>
      <c r="DE20" s="24">
        <f t="shared" si="41"/>
        <v>1051.0710343035785</v>
      </c>
      <c r="DF20" s="24">
        <f t="shared" si="41"/>
        <v>1040.5603239605427</v>
      </c>
      <c r="DG20" s="24">
        <f t="shared" si="41"/>
        <v>1030.1547207209373</v>
      </c>
      <c r="DH20" s="24">
        <f t="shared" si="41"/>
        <v>1019.8531735137279</v>
      </c>
      <c r="DI20" s="24">
        <f t="shared" si="41"/>
        <v>1009.6546417785906</v>
      </c>
      <c r="DJ20" s="24">
        <f t="shared" si="41"/>
        <v>999.55809536080471</v>
      </c>
      <c r="DK20" s="24">
        <f t="shared" si="41"/>
        <v>989.56251440719666</v>
      </c>
      <c r="DL20" s="24">
        <f t="shared" si="41"/>
        <v>979.66688926312463</v>
      </c>
      <c r="DM20" s="24">
        <f t="shared" si="41"/>
        <v>969.87022037049337</v>
      </c>
      <c r="DN20" s="24">
        <f t="shared" si="41"/>
        <v>960.17151816678847</v>
      </c>
      <c r="DO20" s="24">
        <f t="shared" si="41"/>
        <v>950.56980298512053</v>
      </c>
      <c r="DP20" s="24">
        <f t="shared" si="41"/>
        <v>941.06410495526927</v>
      </c>
      <c r="DQ20" s="24">
        <f t="shared" si="41"/>
        <v>931.65346390571654</v>
      </c>
      <c r="DR20" s="24">
        <f t="shared" si="41"/>
        <v>922.33692926665935</v>
      </c>
      <c r="DS20" s="24">
        <f t="shared" si="41"/>
        <v>913.11355997399278</v>
      </c>
      <c r="DT20" s="24">
        <f t="shared" si="41"/>
        <v>903.98242437425279</v>
      </c>
      <c r="DU20" s="24">
        <f t="shared" si="41"/>
        <v>894.9426001305103</v>
      </c>
      <c r="DV20" s="24">
        <f t="shared" si="41"/>
        <v>885.99317412920516</v>
      </c>
      <c r="DW20" s="24">
        <f t="shared" si="41"/>
        <v>877.13324238791313</v>
      </c>
      <c r="DX20" s="24">
        <f t="shared" si="41"/>
        <v>868.361909964034</v>
      </c>
      <c r="DY20" s="24">
        <f t="shared" si="41"/>
        <v>859.6782908643936</v>
      </c>
      <c r="DZ20" s="24">
        <f t="shared" si="41"/>
        <v>851.08150795574966</v>
      </c>
      <c r="EA20" s="24">
        <f t="shared" si="41"/>
        <v>842.5706928761922</v>
      </c>
      <c r="EB20" s="24">
        <f t="shared" si="41"/>
        <v>834.14498594743031</v>
      </c>
      <c r="EC20" s="24">
        <f t="shared" si="41"/>
        <v>825.80353608795599</v>
      </c>
      <c r="ED20" s="24">
        <f t="shared" si="41"/>
        <v>817.54550072707639</v>
      </c>
      <c r="EE20" s="24">
        <f t="shared" si="41"/>
        <v>809.3700457198056</v>
      </c>
      <c r="EF20" s="24">
        <f t="shared" si="41"/>
        <v>801.27634526260749</v>
      </c>
      <c r="EG20" s="24">
        <f t="shared" si="41"/>
        <v>793.26358180998136</v>
      </c>
      <c r="EH20" s="24">
        <f t="shared" si="41"/>
        <v>785.33094599188155</v>
      </c>
      <c r="EI20" s="24">
        <f t="shared" si="41"/>
        <v>777.47763653196273</v>
      </c>
      <c r="EJ20" s="24">
        <f t="shared" si="41"/>
        <v>769.70286016664306</v>
      </c>
      <c r="EK20" s="24">
        <f t="shared" si="41"/>
        <v>762.00583156497657</v>
      </c>
      <c r="EL20" s="24">
        <f t="shared" si="41"/>
        <v>754.3857732493268</v>
      </c>
      <c r="EM20" s="24">
        <f t="shared" si="41"/>
        <v>746.84191551683352</v>
      </c>
      <c r="EN20" s="24">
        <f t="shared" si="41"/>
        <v>739.37349636166516</v>
      </c>
      <c r="EO20" s="24">
        <f t="shared" si="41"/>
        <v>731.97976139804848</v>
      </c>
      <c r="EP20" s="24">
        <f t="shared" si="41"/>
        <v>724.65996378406794</v>
      </c>
      <c r="EQ20" s="24">
        <f t="shared" si="41"/>
        <v>717.41336414622731</v>
      </c>
      <c r="ER20" s="24">
        <f t="shared" si="41"/>
        <v>710.23923050476503</v>
      </c>
      <c r="ES20" s="24">
        <f t="shared" si="41"/>
        <v>703.13683819971743</v>
      </c>
      <c r="ET20" s="24">
        <f t="shared" si="41"/>
        <v>696.10546981772029</v>
      </c>
      <c r="EU20" s="24">
        <f t="shared" si="41"/>
        <v>689.14441511954305</v>
      </c>
      <c r="EV20" s="24">
        <f t="shared" si="41"/>
        <v>682.25297096834765</v>
      </c>
      <c r="EW20" s="24">
        <f t="shared" si="41"/>
        <v>675.43044125866413</v>
      </c>
      <c r="EX20" s="24">
        <f t="shared" si="41"/>
        <v>668.6761368460775</v>
      </c>
      <c r="EY20" s="24">
        <f t="shared" si="41"/>
        <v>661.9893754776167</v>
      </c>
      <c r="EZ20" s="24">
        <f t="shared" si="41"/>
        <v>655.36948172284053</v>
      </c>
      <c r="FA20" s="24">
        <f t="shared" si="41"/>
        <v>648.81578690561207</v>
      </c>
      <c r="FB20" s="24">
        <f t="shared" si="41"/>
        <v>642.32762903655589</v>
      </c>
      <c r="FC20" s="24">
        <f t="shared" si="41"/>
        <v>635.90435274619028</v>
      </c>
      <c r="FD20" s="24">
        <f t="shared" si="41"/>
        <v>629.54530921872833</v>
      </c>
      <c r="FE20" s="24">
        <f t="shared" si="41"/>
        <v>623.24985612654109</v>
      </c>
      <c r="FF20" s="24">
        <f t="shared" si="41"/>
        <v>617.01735756527569</v>
      </c>
      <c r="FG20" s="24">
        <f t="shared" si="41"/>
        <v>610.84718398962298</v>
      </c>
      <c r="FH20" s="24">
        <f t="shared" si="41"/>
        <v>604.73871214972678</v>
      </c>
      <c r="FI20" s="24">
        <f t="shared" si="41"/>
        <v>598.69132502822947</v>
      </c>
      <c r="FJ20" s="24">
        <f t="shared" si="41"/>
        <v>592.70441177794714</v>
      </c>
      <c r="FK20" s="24">
        <f t="shared" si="41"/>
        <v>586.77736766016767</v>
      </c>
      <c r="FL20" s="24">
        <f t="shared" si="41"/>
        <v>580.90959398356597</v>
      </c>
      <c r="FM20" s="24">
        <f t="shared" si="41"/>
        <v>575.10049804373034</v>
      </c>
      <c r="FN20" s="24">
        <f t="shared" ref="FN20:GS20" si="42">FM20*(1+$AQ$39)</f>
        <v>569.34949306329304</v>
      </c>
      <c r="FO20" s="24">
        <f t="shared" si="42"/>
        <v>563.6559981326601</v>
      </c>
      <c r="FP20" s="24">
        <f t="shared" si="42"/>
        <v>558.01943815133347</v>
      </c>
      <c r="FQ20" s="24">
        <f t="shared" si="42"/>
        <v>552.43924376982011</v>
      </c>
      <c r="FR20" s="24">
        <f t="shared" si="42"/>
        <v>546.91485133212188</v>
      </c>
      <c r="FS20" s="24">
        <f t="shared" si="42"/>
        <v>541.44570281880067</v>
      </c>
      <c r="FT20" s="24">
        <f t="shared" si="42"/>
        <v>536.03124579061262</v>
      </c>
      <c r="FU20" s="24">
        <f t="shared" si="42"/>
        <v>530.67093333270645</v>
      </c>
      <c r="FV20" s="24">
        <f t="shared" si="42"/>
        <v>525.36422399937942</v>
      </c>
      <c r="FW20" s="24">
        <f t="shared" si="42"/>
        <v>520.11058175938558</v>
      </c>
      <c r="FX20" s="24">
        <f t="shared" si="42"/>
        <v>514.9094759417917</v>
      </c>
      <c r="FY20" s="24">
        <f t="shared" si="42"/>
        <v>509.76038118237375</v>
      </c>
      <c r="FZ20" s="24">
        <f t="shared" si="42"/>
        <v>504.66277737055003</v>
      </c>
      <c r="GA20" s="24">
        <f t="shared" si="42"/>
        <v>499.61614959684454</v>
      </c>
      <c r="GB20" s="24">
        <f t="shared" si="42"/>
        <v>494.61998810087607</v>
      </c>
      <c r="GC20" s="24">
        <f t="shared" si="42"/>
        <v>489.67378821986733</v>
      </c>
      <c r="GD20" s="24">
        <f t="shared" si="42"/>
        <v>484.77705033766864</v>
      </c>
      <c r="GE20" s="24">
        <f t="shared" si="42"/>
        <v>479.92927983429195</v>
      </c>
      <c r="GF20" s="24">
        <f t="shared" si="42"/>
        <v>475.129987035949</v>
      </c>
      <c r="GG20" s="24">
        <f t="shared" si="42"/>
        <v>470.3786871655895</v>
      </c>
      <c r="GH20" s="24">
        <f t="shared" si="42"/>
        <v>465.6749002939336</v>
      </c>
      <c r="GI20" s="24">
        <f t="shared" si="42"/>
        <v>461.01815129099424</v>
      </c>
      <c r="GJ20" s="24">
        <f t="shared" si="42"/>
        <v>456.40796977808429</v>
      </c>
      <c r="GK20" s="24">
        <f t="shared" si="42"/>
        <v>451.84389008030342</v>
      </c>
      <c r="GL20" s="24">
        <f t="shared" si="42"/>
        <v>447.32545117950036</v>
      </c>
      <c r="GM20" s="24">
        <f t="shared" si="42"/>
        <v>442.85219666770536</v>
      </c>
      <c r="GN20" s="24">
        <f t="shared" si="42"/>
        <v>438.42367470102829</v>
      </c>
      <c r="GO20" s="24">
        <f t="shared" si="42"/>
        <v>434.03943795401801</v>
      </c>
      <c r="GP20" s="24">
        <f t="shared" si="42"/>
        <v>429.69904357447786</v>
      </c>
      <c r="GQ20" s="24">
        <f t="shared" si="42"/>
        <v>425.40205313873309</v>
      </c>
      <c r="GR20" s="24">
        <f t="shared" si="42"/>
        <v>421.14803260734578</v>
      </c>
      <c r="GS20" s="24">
        <f t="shared" si="42"/>
        <v>416.93655228127233</v>
      </c>
    </row>
    <row r="21" spans="1:201" s="22" customFormat="1" x14ac:dyDescent="0.25">
      <c r="A21" s="21" t="s">
        <v>44</v>
      </c>
      <c r="B21" s="21"/>
      <c r="C21" s="21"/>
      <c r="D21" s="21"/>
      <c r="E21" s="21"/>
      <c r="F21" s="21"/>
      <c r="G21" s="21"/>
      <c r="H21" s="21"/>
      <c r="I21" s="21">
        <v>-9</v>
      </c>
      <c r="J21" s="21">
        <v>-22</v>
      </c>
      <c r="K21" s="21">
        <v>-21</v>
      </c>
      <c r="L21" s="21">
        <v>-18</v>
      </c>
      <c r="M21" s="21">
        <v>-9</v>
      </c>
      <c r="N21" s="21">
        <v>-15</v>
      </c>
      <c r="O21" s="21">
        <v>-22</v>
      </c>
      <c r="P21" s="21">
        <v>-18</v>
      </c>
      <c r="Q21" s="21">
        <v>-12</v>
      </c>
      <c r="R21" s="21">
        <v>-16</v>
      </c>
      <c r="S21" s="21">
        <f>S4*-0.00546</f>
        <v>-17.228696939999999</v>
      </c>
      <c r="T21" s="21">
        <f t="shared" ref="T21:U21" si="43">T4*-0.00546</f>
        <v>-17.965589459999997</v>
      </c>
      <c r="U21" s="21">
        <f t="shared" si="43"/>
        <v>-17.055674999999997</v>
      </c>
      <c r="V21" s="21"/>
      <c r="W21" s="21"/>
      <c r="X21" s="21"/>
      <c r="Y21" s="21"/>
      <c r="Z21" s="21">
        <f t="shared" ref="Z21:Z22" si="44">SUM(B21:E21)</f>
        <v>0</v>
      </c>
      <c r="AA21" s="21">
        <f t="shared" ref="AA21:AA22" si="45">SUM(F21:I21)</f>
        <v>-9</v>
      </c>
      <c r="AB21" s="21">
        <f t="shared" ref="AB21:AB22" si="46">SUM(J21:M21)</f>
        <v>-70</v>
      </c>
      <c r="AC21" s="21">
        <f t="shared" ref="AC21:AC22" si="47">SUM(N21:Q21)</f>
        <v>-67</v>
      </c>
      <c r="AD21" s="22">
        <f t="shared" ref="AD21:AD22" si="48">SUM(R21:U21)</f>
        <v>-68.249961399999989</v>
      </c>
      <c r="AE21" s="21">
        <f>AE4*-0.0061</f>
        <v>-81.189840939000007</v>
      </c>
      <c r="AF21" s="21">
        <f t="shared" ref="AF21:AN21" si="49">AF4*-0.0061</f>
        <v>-86.142421236279006</v>
      </c>
      <c r="AG21" s="21">
        <f t="shared" si="49"/>
        <v>-91.397108931692017</v>
      </c>
      <c r="AH21" s="21">
        <f t="shared" si="49"/>
        <v>-96.972332576525233</v>
      </c>
      <c r="AI21" s="21">
        <f t="shared" si="49"/>
        <v>-101.91792153792801</v>
      </c>
      <c r="AJ21" s="21">
        <f t="shared" si="49"/>
        <v>-107.11573553636235</v>
      </c>
      <c r="AK21" s="21">
        <f t="shared" si="49"/>
        <v>-112.57863804871683</v>
      </c>
      <c r="AL21" s="21">
        <f t="shared" si="49"/>
        <v>-118.32014858920138</v>
      </c>
      <c r="AM21" s="21">
        <f t="shared" si="49"/>
        <v>-124.35447616725064</v>
      </c>
      <c r="AN21" s="21">
        <f t="shared" si="49"/>
        <v>-127.46333807143189</v>
      </c>
    </row>
    <row r="22" spans="1:201" s="22" customFormat="1" x14ac:dyDescent="0.25">
      <c r="A22" s="21" t="s">
        <v>59</v>
      </c>
      <c r="B22" s="21"/>
      <c r="C22" s="21">
        <v>-25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>
        <f t="shared" si="44"/>
        <v>-25</v>
      </c>
      <c r="AA22" s="21">
        <f t="shared" si="45"/>
        <v>0</v>
      </c>
      <c r="AB22" s="21">
        <f t="shared" si="46"/>
        <v>0</v>
      </c>
      <c r="AC22" s="21">
        <f t="shared" si="47"/>
        <v>0</v>
      </c>
      <c r="AD22" s="22">
        <f t="shared" si="48"/>
        <v>0</v>
      </c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201" s="24" customFormat="1" x14ac:dyDescent="0.25">
      <c r="A23" s="23" t="s">
        <v>45</v>
      </c>
      <c r="B23" s="23">
        <f>SUM(B20:B21)+B22</f>
        <v>-70</v>
      </c>
      <c r="C23" s="23">
        <f>SUM(C20:C21)+C22</f>
        <v>-68</v>
      </c>
      <c r="D23" s="23">
        <f>SUM(D20:D21)</f>
        <v>460</v>
      </c>
      <c r="E23" s="23">
        <f>SUM(E20:E21)+E22</f>
        <v>286</v>
      </c>
      <c r="F23" s="23">
        <f>SUM(F20:F21)+F22</f>
        <v>631</v>
      </c>
      <c r="G23" s="23">
        <f t="shared" ref="G23:S23" si="50">SUM(G20:G21)</f>
        <v>482</v>
      </c>
      <c r="H23" s="23">
        <f t="shared" si="50"/>
        <v>403</v>
      </c>
      <c r="I23" s="23">
        <f t="shared" si="50"/>
        <v>519</v>
      </c>
      <c r="J23" s="23">
        <f t="shared" si="50"/>
        <v>612</v>
      </c>
      <c r="K23" s="23">
        <f t="shared" si="50"/>
        <v>593</v>
      </c>
      <c r="L23" s="23">
        <f t="shared" si="50"/>
        <v>239</v>
      </c>
      <c r="M23" s="23">
        <f t="shared" si="50"/>
        <v>-5</v>
      </c>
      <c r="N23" s="23">
        <f t="shared" si="50"/>
        <v>207</v>
      </c>
      <c r="O23" s="23">
        <f t="shared" si="50"/>
        <v>312</v>
      </c>
      <c r="P23" s="23">
        <f t="shared" si="50"/>
        <v>194</v>
      </c>
      <c r="Q23" s="23">
        <f t="shared" si="50"/>
        <v>-10</v>
      </c>
      <c r="R23" s="23">
        <f t="shared" si="50"/>
        <v>239</v>
      </c>
      <c r="S23" s="23">
        <f t="shared" si="50"/>
        <v>287.81642641920035</v>
      </c>
      <c r="T23" s="23">
        <f t="shared" ref="T23:U23" si="51">SUM(T20:T21)</f>
        <v>300.12668833280003</v>
      </c>
      <c r="U23" s="23">
        <f t="shared" si="51"/>
        <v>200.27210909999997</v>
      </c>
      <c r="V23" s="23"/>
      <c r="W23" s="23">
        <f t="shared" ref="W23:Y23" si="52">SUM(W20:W21)</f>
        <v>-497</v>
      </c>
      <c r="X23" s="23">
        <f t="shared" si="52"/>
        <v>1066</v>
      </c>
      <c r="Y23" s="23">
        <f t="shared" si="52"/>
        <v>960</v>
      </c>
      <c r="Z23" s="23">
        <f>SUM(B23:E23)</f>
        <v>608</v>
      </c>
      <c r="AA23" s="23">
        <f>SUM(F23:I23)</f>
        <v>2035</v>
      </c>
      <c r="AB23" s="23">
        <f>SUM(J23:M23)</f>
        <v>1439</v>
      </c>
      <c r="AC23" s="23">
        <f>SUM(N23:Q23)</f>
        <v>703</v>
      </c>
      <c r="AD23" s="24">
        <f>SUM(R23:U23)</f>
        <v>1027.2152238520002</v>
      </c>
      <c r="AE23" s="23">
        <f t="shared" ref="AE23:AN23" si="53">SUM(AE20:AE21)</f>
        <v>1226.6001451344241</v>
      </c>
      <c r="AF23" s="23">
        <f t="shared" si="53"/>
        <v>1312.6127957233014</v>
      </c>
      <c r="AG23" s="23">
        <f t="shared" si="53"/>
        <v>1404.554810543975</v>
      </c>
      <c r="AH23" s="23">
        <f t="shared" si="53"/>
        <v>1502.8295189598853</v>
      </c>
      <c r="AI23" s="23">
        <f t="shared" si="53"/>
        <v>1579.4738244268392</v>
      </c>
      <c r="AJ23" s="23">
        <f t="shared" si="53"/>
        <v>1660.0269894726086</v>
      </c>
      <c r="AK23" s="23">
        <f t="shared" si="53"/>
        <v>1744.6883659357113</v>
      </c>
      <c r="AL23" s="23">
        <f t="shared" si="53"/>
        <v>1833.6674725984324</v>
      </c>
      <c r="AM23" s="23">
        <f t="shared" si="53"/>
        <v>1927.1845137009532</v>
      </c>
      <c r="AN23" s="23">
        <f t="shared" si="53"/>
        <v>1975.364126543476</v>
      </c>
    </row>
    <row r="24" spans="1:201" s="22" customFormat="1" x14ac:dyDescent="0.25">
      <c r="A24" s="21" t="s">
        <v>52</v>
      </c>
      <c r="B24" s="27">
        <f t="shared" ref="B24:R24" si="54">B23/B25</f>
        <v>-9.2105263157894732E-2</v>
      </c>
      <c r="C24" s="27">
        <f t="shared" si="54"/>
        <v>-8.9591567852437423E-2</v>
      </c>
      <c r="D24" s="27">
        <f t="shared" si="54"/>
        <v>0.51743532058492692</v>
      </c>
      <c r="E24" s="27">
        <f t="shared" si="54"/>
        <v>0.31991051454138703</v>
      </c>
      <c r="F24" s="27">
        <f t="shared" si="54"/>
        <v>0.70267260579064583</v>
      </c>
      <c r="G24" s="27">
        <f t="shared" si="54"/>
        <v>0.57109004739336489</v>
      </c>
      <c r="H24" s="27">
        <f t="shared" si="54"/>
        <v>0.46535796766743648</v>
      </c>
      <c r="I24" s="27">
        <f t="shared" si="54"/>
        <v>0.61130742049469966</v>
      </c>
      <c r="J24" s="27">
        <f t="shared" si="54"/>
        <v>0.7124563445867288</v>
      </c>
      <c r="K24" s="27">
        <f t="shared" si="54"/>
        <v>0.69275700934579443</v>
      </c>
      <c r="L24" s="27">
        <f t="shared" si="54"/>
        <v>0.27953216374269008</v>
      </c>
      <c r="M24" s="27">
        <f t="shared" si="54"/>
        <v>-5.8411214953271026E-3</v>
      </c>
      <c r="N24" s="27">
        <f t="shared" si="54"/>
        <v>0.2409778812572759</v>
      </c>
      <c r="O24" s="27">
        <f t="shared" si="54"/>
        <v>0.36321303841676367</v>
      </c>
      <c r="P24" s="27">
        <f t="shared" si="54"/>
        <v>0.22584400465657742</v>
      </c>
      <c r="Q24" s="27">
        <f t="shared" si="54"/>
        <v>-1.1627906976744186E-2</v>
      </c>
      <c r="R24" s="27">
        <f t="shared" si="54"/>
        <v>0.27726218097447797</v>
      </c>
      <c r="S24" s="27"/>
      <c r="T24" s="27"/>
      <c r="U24" s="21"/>
      <c r="V24" s="21"/>
      <c r="W24" s="21"/>
      <c r="X24" s="21"/>
      <c r="Y24" s="21"/>
      <c r="Z24" s="21">
        <f>SUM(B24:E24)</f>
        <v>0.6556490041159817</v>
      </c>
      <c r="AA24" s="21">
        <f>SUM(F24:I24)</f>
        <v>2.3504280413461469</v>
      </c>
      <c r="AB24" s="21">
        <f>SUM(J24:M24)</f>
        <v>1.6789043961798862</v>
      </c>
      <c r="AC24" s="21">
        <f>SUM(N24:Q24)</f>
        <v>0.81840701735387278</v>
      </c>
      <c r="AD24" s="22">
        <f>SUM(R24:U24)</f>
        <v>0.27726218097447797</v>
      </c>
    </row>
    <row r="25" spans="1:201" x14ac:dyDescent="0.25">
      <c r="A25" s="19" t="s">
        <v>1</v>
      </c>
      <c r="B25" s="19">
        <v>760</v>
      </c>
      <c r="C25" s="19">
        <v>759</v>
      </c>
      <c r="D25" s="19">
        <v>889</v>
      </c>
      <c r="E25" s="19">
        <v>894</v>
      </c>
      <c r="F25" s="19">
        <v>898</v>
      </c>
      <c r="G25" s="19">
        <v>844</v>
      </c>
      <c r="H25" s="19">
        <v>866</v>
      </c>
      <c r="I25" s="19">
        <v>849</v>
      </c>
      <c r="J25" s="19">
        <v>859</v>
      </c>
      <c r="K25" s="19">
        <v>856</v>
      </c>
      <c r="L25" s="19">
        <v>855</v>
      </c>
      <c r="M25" s="28">
        <v>856</v>
      </c>
      <c r="N25" s="19">
        <v>859</v>
      </c>
      <c r="O25" s="19">
        <v>859</v>
      </c>
      <c r="P25" s="28">
        <v>859</v>
      </c>
      <c r="Q25" s="28">
        <v>860</v>
      </c>
      <c r="R25" s="28">
        <v>862</v>
      </c>
      <c r="S25" s="28"/>
      <c r="T25" s="28"/>
      <c r="Z25" s="19">
        <f>AVERAGE(B25:E25)</f>
        <v>825.5</v>
      </c>
      <c r="AA25" s="19">
        <f>AVERAGE(F25:I25)</f>
        <v>864.25</v>
      </c>
      <c r="AB25" s="19">
        <f>AVERAGE(J25:M25)</f>
        <v>856.5</v>
      </c>
      <c r="AC25" s="19">
        <f>AVERAGE(N25:Q25)</f>
        <v>859.25</v>
      </c>
    </row>
    <row r="26" spans="1:201" x14ac:dyDescent="0.25">
      <c r="M26" s="28"/>
      <c r="P26" s="28"/>
      <c r="Q26" s="28"/>
      <c r="R26" s="28"/>
      <c r="S26" s="28"/>
      <c r="T26" s="28"/>
    </row>
    <row r="27" spans="1:201" s="32" customFormat="1" ht="14.4" x14ac:dyDescent="0.3">
      <c r="A27" s="30" t="s">
        <v>131</v>
      </c>
      <c r="B27" s="31"/>
      <c r="C27" s="31"/>
      <c r="D27" s="31"/>
      <c r="E27" s="31"/>
      <c r="F27" s="31">
        <f t="shared" ref="F27:P27" si="55">F4/B4-1</f>
        <v>0.37599330823923038</v>
      </c>
      <c r="G27" s="31">
        <f t="shared" si="55"/>
        <v>0.36704412338930115</v>
      </c>
      <c r="H27" s="31">
        <f t="shared" si="55"/>
        <v>0.20459846717760755</v>
      </c>
      <c r="I27" s="31">
        <f t="shared" si="55"/>
        <v>9.7313432835820945E-2</v>
      </c>
      <c r="J27" s="31">
        <f t="shared" si="55"/>
        <v>0.11854103343465039</v>
      </c>
      <c r="K27" s="31">
        <f t="shared" si="55"/>
        <v>3.2562125107112205E-2</v>
      </c>
      <c r="L27" s="31">
        <f t="shared" si="55"/>
        <v>-3.5131396957123084E-2</v>
      </c>
      <c r="M27" s="31">
        <f t="shared" si="55"/>
        <v>-7.3449401523394964E-2</v>
      </c>
      <c r="N27" s="31">
        <f t="shared" si="55"/>
        <v>-0.13641304347826089</v>
      </c>
      <c r="O27" s="31">
        <f t="shared" si="55"/>
        <v>-0.10290456431535266</v>
      </c>
      <c r="P27" s="31">
        <f t="shared" si="55"/>
        <v>-9.0309633027522929E-2</v>
      </c>
      <c r="Q27" s="31">
        <f>Q4/M4-1</f>
        <v>-0.12096300645918967</v>
      </c>
      <c r="R27" s="31">
        <f>R4/N4-1</f>
        <v>-6.3876651982378907E-2</v>
      </c>
      <c r="S27" s="55">
        <f>S4/O4-1</f>
        <v>-2.7000000000000024E-2</v>
      </c>
      <c r="T27" s="55">
        <f>T4/P4-1</f>
        <v>3.6999999999999922E-2</v>
      </c>
      <c r="U27" s="55">
        <f>U4/Q4-1</f>
        <v>4.3336673346693333E-2</v>
      </c>
      <c r="V27" s="55"/>
      <c r="W27" s="30"/>
      <c r="X27" s="31">
        <f t="shared" ref="X27:Z27" si="56">X4/W4-1</f>
        <v>0.11605377619612489</v>
      </c>
      <c r="Y27" s="31">
        <f t="shared" si="56"/>
        <v>1.8866253321523363E-2</v>
      </c>
      <c r="Z27" s="31">
        <f t="shared" si="56"/>
        <v>-1.7386768669042874E-2</v>
      </c>
      <c r="AA27" s="31">
        <f t="shared" ref="AA27:AB27" si="57">AA4/Z4-1</f>
        <v>0.24586392993010708</v>
      </c>
      <c r="AB27" s="31">
        <f t="shared" si="57"/>
        <v>7.598352506746231E-3</v>
      </c>
      <c r="AC27" s="31">
        <f>AC4/AB4-1</f>
        <v>-0.11283388540418637</v>
      </c>
      <c r="AD27" s="54">
        <f>AD4/AC4-1</f>
        <v>-3.4485224022878791E-3</v>
      </c>
      <c r="AE27" s="54">
        <f t="shared" ref="AE27:AN27" si="58">AE4/AD4-1</f>
        <v>6.0999999999999943E-2</v>
      </c>
      <c r="AF27" s="54">
        <f t="shared" si="58"/>
        <v>6.0999999999999943E-2</v>
      </c>
      <c r="AG27" s="54">
        <f t="shared" si="58"/>
        <v>6.0999999999999943E-2</v>
      </c>
      <c r="AH27" s="54">
        <f t="shared" si="58"/>
        <v>6.0999999999999943E-2</v>
      </c>
      <c r="AI27" s="54">
        <f t="shared" si="58"/>
        <v>5.0999999999999934E-2</v>
      </c>
      <c r="AJ27" s="54">
        <f t="shared" si="58"/>
        <v>5.0999999999999934E-2</v>
      </c>
      <c r="AK27" s="54">
        <f t="shared" si="58"/>
        <v>5.0999999999999934E-2</v>
      </c>
      <c r="AL27" s="54">
        <f t="shared" si="58"/>
        <v>5.0999999999999934E-2</v>
      </c>
      <c r="AM27" s="54">
        <f t="shared" si="58"/>
        <v>5.0999999999999934E-2</v>
      </c>
      <c r="AN27" s="54">
        <f t="shared" si="58"/>
        <v>2.4999999999999911E-2</v>
      </c>
    </row>
    <row r="28" spans="1:201" s="35" customFormat="1" ht="14.4" x14ac:dyDescent="0.3">
      <c r="A28" s="33" t="s">
        <v>132</v>
      </c>
      <c r="B28" s="34"/>
      <c r="C28" s="34">
        <f t="shared" ref="C28:P28" si="59">C4/B4-1</f>
        <v>7.1099958176495281E-2</v>
      </c>
      <c r="D28" s="34">
        <f t="shared" si="59"/>
        <v>0.17180788754392817</v>
      </c>
      <c r="E28" s="34">
        <f t="shared" si="59"/>
        <v>0.11629456847717434</v>
      </c>
      <c r="F28" s="34">
        <f t="shared" si="59"/>
        <v>-1.7910447761193993E-2</v>
      </c>
      <c r="G28" s="34">
        <f t="shared" si="59"/>
        <v>6.4133738601823698E-2</v>
      </c>
      <c r="H28" s="34">
        <f t="shared" si="59"/>
        <v>3.2562125107112205E-2</v>
      </c>
      <c r="I28" s="34">
        <f t="shared" si="59"/>
        <v>1.6874135546334657E-2</v>
      </c>
      <c r="J28" s="34">
        <f t="shared" si="59"/>
        <v>1.0881392818280489E-3</v>
      </c>
      <c r="K28" s="34">
        <f t="shared" si="59"/>
        <v>-1.7663043478260865E-2</v>
      </c>
      <c r="L28" s="34">
        <f t="shared" si="59"/>
        <v>-3.5131396957123084E-2</v>
      </c>
      <c r="M28" s="34">
        <f t="shared" si="59"/>
        <v>-2.3509174311926562E-2</v>
      </c>
      <c r="N28" s="34">
        <f t="shared" si="59"/>
        <v>-6.6940692894891352E-2</v>
      </c>
      <c r="O28" s="34">
        <f t="shared" si="59"/>
        <v>2.0453115166771507E-2</v>
      </c>
      <c r="P28" s="34">
        <f t="shared" si="59"/>
        <v>-2.1584952204748653E-2</v>
      </c>
      <c r="Q28" s="34">
        <f>Q4/P4-1</f>
        <v>-5.6413488811849932E-2</v>
      </c>
      <c r="R28" s="34">
        <f>R4/Q4-1</f>
        <v>-6.3460253841015613E-3</v>
      </c>
      <c r="S28" s="34">
        <f>S4/R4-1</f>
        <v>6.0651764705882405E-2</v>
      </c>
      <c r="T28" s="34">
        <f>T4/S4-1</f>
        <v>4.2771227711896787E-2</v>
      </c>
      <c r="U28" s="34">
        <f>U4/T4-1</f>
        <v>-5.0647626231574816E-2</v>
      </c>
      <c r="V28" s="34"/>
      <c r="W28" s="33"/>
      <c r="X28" s="33"/>
      <c r="Y28" s="33"/>
      <c r="Z28" s="33"/>
      <c r="AA28" s="33"/>
      <c r="AB28" s="34"/>
      <c r="AC28" s="34"/>
    </row>
    <row r="29" spans="1:201" x14ac:dyDescent="0.25">
      <c r="A29" s="21"/>
      <c r="B29" s="21"/>
      <c r="C29" s="21"/>
      <c r="D29" s="21"/>
      <c r="E29" s="21"/>
      <c r="Q29" s="36"/>
      <c r="R29" s="36"/>
      <c r="S29" s="36"/>
      <c r="T29" s="36"/>
      <c r="AB29" s="36"/>
      <c r="AC29" s="36"/>
    </row>
    <row r="30" spans="1:201" s="32" customFormat="1" ht="14.4" x14ac:dyDescent="0.3">
      <c r="A30" s="37" t="s">
        <v>127</v>
      </c>
      <c r="B30" s="31">
        <f t="shared" ref="B30:P30" si="60">B6/B4</f>
        <v>0.23462986198243413</v>
      </c>
      <c r="C30" s="31">
        <f t="shared" si="60"/>
        <v>0.29519718859820382</v>
      </c>
      <c r="D30" s="31">
        <f t="shared" si="60"/>
        <v>0.3335554815061646</v>
      </c>
      <c r="E30" s="31">
        <f t="shared" si="60"/>
        <v>0.36208955223880596</v>
      </c>
      <c r="F30" s="31">
        <f t="shared" si="60"/>
        <v>0.35136778115501521</v>
      </c>
      <c r="G30" s="31">
        <f t="shared" si="60"/>
        <v>0.37560696943730365</v>
      </c>
      <c r="H30" s="31">
        <f t="shared" si="60"/>
        <v>0.36542185338865835</v>
      </c>
      <c r="I30" s="31">
        <f t="shared" si="60"/>
        <v>0.34575625680087052</v>
      </c>
      <c r="J30" s="31">
        <f t="shared" si="60"/>
        <v>0.34864130434782609</v>
      </c>
      <c r="K30" s="31">
        <f t="shared" si="60"/>
        <v>0.34467496542185339</v>
      </c>
      <c r="L30" s="31">
        <f t="shared" si="60"/>
        <v>0.3044724770642202</v>
      </c>
      <c r="M30" s="31">
        <f t="shared" si="60"/>
        <v>0.26864357017028773</v>
      </c>
      <c r="N30" s="31">
        <f t="shared" si="60"/>
        <v>0.31560730018879801</v>
      </c>
      <c r="O30" s="31">
        <f t="shared" si="60"/>
        <v>0.31236509404872032</v>
      </c>
      <c r="P30" s="31">
        <f t="shared" si="60"/>
        <v>0.31641979199495746</v>
      </c>
      <c r="Q30" s="31">
        <f>Q6/Q4</f>
        <v>0.30427521710086841</v>
      </c>
      <c r="R30" s="31">
        <f>R6/R4</f>
        <v>0.33378151260504202</v>
      </c>
      <c r="S30" s="31"/>
      <c r="T30" s="31"/>
      <c r="U30" s="30"/>
      <c r="V30" s="30"/>
      <c r="W30" s="31">
        <f t="shared" ref="W30:AA30" si="61">W6/W4</f>
        <v>0.39739027283511269</v>
      </c>
      <c r="X30" s="31">
        <f t="shared" si="61"/>
        <v>0.39512843224092115</v>
      </c>
      <c r="Y30" s="31">
        <f t="shared" si="61"/>
        <v>0.35077805789793964</v>
      </c>
      <c r="Z30" s="31">
        <f t="shared" si="61"/>
        <v>0.31239493939662039</v>
      </c>
      <c r="AA30" s="31">
        <f t="shared" si="61"/>
        <v>0.35953699758557023</v>
      </c>
      <c r="AB30" s="31">
        <f>AB6/AB4</f>
        <v>0.31756994855169496</v>
      </c>
      <c r="AC30" s="31">
        <f>AC6/AC4</f>
        <v>0.31228153797267239</v>
      </c>
      <c r="AD30" s="31">
        <f>AD6/AD4</f>
        <v>0.33257506207855342</v>
      </c>
      <c r="AE30" s="31">
        <f t="shared" ref="AE30:AN30" si="62">AE6/AE4</f>
        <v>0.3322</v>
      </c>
      <c r="AF30" s="31">
        <f t="shared" si="62"/>
        <v>0.33220000000000005</v>
      </c>
      <c r="AG30" s="31">
        <f t="shared" si="62"/>
        <v>0.3322</v>
      </c>
      <c r="AH30" s="31">
        <f t="shared" si="62"/>
        <v>0.33220000000000005</v>
      </c>
      <c r="AI30" s="31">
        <f t="shared" si="62"/>
        <v>0.33220000000000005</v>
      </c>
      <c r="AJ30" s="31">
        <f t="shared" si="62"/>
        <v>0.33220000000000005</v>
      </c>
      <c r="AK30" s="31">
        <f t="shared" si="62"/>
        <v>0.33220000000000005</v>
      </c>
      <c r="AL30" s="31">
        <f t="shared" si="62"/>
        <v>0.33220000000000005</v>
      </c>
      <c r="AM30" s="31">
        <f t="shared" si="62"/>
        <v>0.33220000000000005</v>
      </c>
      <c r="AN30" s="31">
        <f t="shared" si="62"/>
        <v>0.3322</v>
      </c>
    </row>
    <row r="31" spans="1:201" s="41" customFormat="1" ht="14.4" x14ac:dyDescent="0.3">
      <c r="A31" s="38" t="s">
        <v>128</v>
      </c>
      <c r="B31" s="39">
        <f t="shared" ref="B31:P31" si="63">B11/B4</f>
        <v>-3.9732329569217899E-2</v>
      </c>
      <c r="C31" s="39">
        <f t="shared" si="63"/>
        <v>-2.9285435376805936E-2</v>
      </c>
      <c r="D31" s="39">
        <f t="shared" si="63"/>
        <v>9.6634455181606127E-2</v>
      </c>
      <c r="E31" s="39">
        <f t="shared" si="63"/>
        <v>0.15223880597014924</v>
      </c>
      <c r="F31" s="39">
        <f t="shared" si="63"/>
        <v>0.16231003039513678</v>
      </c>
      <c r="G31" s="39">
        <f t="shared" si="63"/>
        <v>0.17366466723793203</v>
      </c>
      <c r="H31" s="39">
        <f t="shared" si="63"/>
        <v>0.16154910096818811</v>
      </c>
      <c r="I31" s="39">
        <f t="shared" si="63"/>
        <v>0.14009793253536454</v>
      </c>
      <c r="J31" s="39">
        <f t="shared" si="63"/>
        <v>0.16331521739130433</v>
      </c>
      <c r="K31" s="39">
        <f t="shared" si="63"/>
        <v>0.14384508990318118</v>
      </c>
      <c r="L31" s="39">
        <f t="shared" si="63"/>
        <v>9.2603211009174319E-2</v>
      </c>
      <c r="M31" s="39">
        <f t="shared" si="63"/>
        <v>3.4351145038167941E-2</v>
      </c>
      <c r="N31" s="39">
        <f t="shared" si="63"/>
        <v>0.10320956576463185</v>
      </c>
      <c r="O31" s="39">
        <f t="shared" si="63"/>
        <v>9.5590502621029916E-2</v>
      </c>
      <c r="P31" s="39">
        <f t="shared" si="63"/>
        <v>8.3832335329341312E-2</v>
      </c>
      <c r="Q31" s="39">
        <f>Q11/Q4</f>
        <v>3.6072144288577156E-2</v>
      </c>
      <c r="R31" s="39">
        <f>R11/R4</f>
        <v>9.5462184873949585E-2</v>
      </c>
      <c r="S31" s="39"/>
      <c r="T31" s="39"/>
      <c r="U31" s="40"/>
      <c r="V31" s="40"/>
      <c r="W31" s="39">
        <f t="shared" ref="W31:AA31" si="64">W11/W4</f>
        <v>0.16637010676156583</v>
      </c>
      <c r="X31" s="39">
        <f t="shared" si="64"/>
        <v>0.14782993799822852</v>
      </c>
      <c r="Y31" s="39">
        <f t="shared" si="64"/>
        <v>0.12335912370685909</v>
      </c>
      <c r="Z31" s="39">
        <f t="shared" si="64"/>
        <v>5.5737414845616208E-2</v>
      </c>
      <c r="AA31" s="39">
        <f t="shared" si="64"/>
        <v>0.15913932680017043</v>
      </c>
      <c r="AB31" s="39">
        <f>AB11/AB4</f>
        <v>0.11001480019733596</v>
      </c>
      <c r="AC31" s="39">
        <f>AC11/AC4</f>
        <v>8.0394026056561804E-2</v>
      </c>
      <c r="AD31" s="39">
        <f>AD11/AD4</f>
        <v>0.1092985441532964</v>
      </c>
      <c r="AE31" s="39">
        <f t="shared" ref="AE31:AN31" si="65">AE11/AE4</f>
        <v>0.11360000000000002</v>
      </c>
      <c r="AF31" s="39">
        <f t="shared" si="65"/>
        <v>0.11360000000000008</v>
      </c>
      <c r="AG31" s="39">
        <f t="shared" si="65"/>
        <v>0.11360000000000001</v>
      </c>
      <c r="AH31" s="39">
        <f t="shared" si="65"/>
        <v>0.11360000000000005</v>
      </c>
      <c r="AI31" s="39">
        <f t="shared" si="65"/>
        <v>0.11360000000000005</v>
      </c>
      <c r="AJ31" s="39">
        <f t="shared" si="65"/>
        <v>0.11360000000000008</v>
      </c>
      <c r="AK31" s="39">
        <f t="shared" si="65"/>
        <v>0.11360000000000005</v>
      </c>
      <c r="AL31" s="39">
        <f t="shared" si="65"/>
        <v>0.11360000000000005</v>
      </c>
      <c r="AM31" s="39">
        <f t="shared" si="65"/>
        <v>0.11360000000000008</v>
      </c>
      <c r="AN31" s="39">
        <f t="shared" si="65"/>
        <v>0.11360000000000003</v>
      </c>
    </row>
    <row r="32" spans="1:201" s="41" customFormat="1" ht="14.4" x14ac:dyDescent="0.3">
      <c r="A32" s="38" t="s">
        <v>129</v>
      </c>
      <c r="B32" s="39">
        <f t="shared" ref="B32:P32" si="66">B20/B4</f>
        <v>-2.9276453366792136E-2</v>
      </c>
      <c r="C32" s="39">
        <f t="shared" si="66"/>
        <v>-1.679031628270207E-2</v>
      </c>
      <c r="D32" s="39">
        <f t="shared" si="66"/>
        <v>0.15328223925358214</v>
      </c>
      <c r="E32" s="39">
        <f t="shared" si="66"/>
        <v>8.5373134328358205E-2</v>
      </c>
      <c r="F32" s="39">
        <f t="shared" si="66"/>
        <v>0.19179331306990882</v>
      </c>
      <c r="G32" s="39">
        <f t="shared" si="66"/>
        <v>0.13767495001428162</v>
      </c>
      <c r="H32" s="39">
        <f t="shared" si="66"/>
        <v>0.11147994467496543</v>
      </c>
      <c r="I32" s="39">
        <f t="shared" si="66"/>
        <v>0.14363438520130578</v>
      </c>
      <c r="J32" s="39">
        <f t="shared" si="66"/>
        <v>0.17228260869565218</v>
      </c>
      <c r="K32" s="39">
        <f t="shared" si="66"/>
        <v>0.1698478561549101</v>
      </c>
      <c r="L32" s="39">
        <f t="shared" si="66"/>
        <v>7.3681192660550454E-2</v>
      </c>
      <c r="M32" s="39">
        <f t="shared" si="66"/>
        <v>1.1743981209630064E-3</v>
      </c>
      <c r="N32" s="39">
        <f t="shared" si="66"/>
        <v>6.9855254877281309E-2</v>
      </c>
      <c r="O32" s="39">
        <f t="shared" si="66"/>
        <v>0.10299105766265804</v>
      </c>
      <c r="P32" s="39">
        <f t="shared" si="66"/>
        <v>6.6813740939174276E-2</v>
      </c>
      <c r="Q32" s="39">
        <f>Q20/Q4</f>
        <v>6.680026720106881E-4</v>
      </c>
      <c r="R32" s="39">
        <f>R20/R4</f>
        <v>8.5714285714285715E-2</v>
      </c>
      <c r="S32" s="39"/>
      <c r="T32" s="39"/>
      <c r="U32" s="40"/>
      <c r="V32" s="40"/>
      <c r="W32" s="39">
        <f t="shared" ref="W32:AA32" si="67">W20/W4</f>
        <v>-4.9130090945037563E-2</v>
      </c>
      <c r="X32" s="39">
        <f t="shared" si="67"/>
        <v>9.4419840566873345E-2</v>
      </c>
      <c r="Y32" s="39">
        <f t="shared" si="67"/>
        <v>8.3456489611405726E-2</v>
      </c>
      <c r="Z32" s="39">
        <f t="shared" si="67"/>
        <v>5.6002831106785812E-2</v>
      </c>
      <c r="AA32" s="39">
        <f t="shared" si="67"/>
        <v>0.14514983667092743</v>
      </c>
      <c r="AB32" s="39">
        <f>AB20/AB4</f>
        <v>0.10634998942843048</v>
      </c>
      <c r="AC32" s="39">
        <f>AC20/AC4</f>
        <v>6.116936765173181E-2</v>
      </c>
      <c r="AD32" s="39">
        <f>AD20/AD4</f>
        <v>8.732570655972019E-2</v>
      </c>
      <c r="AE32" s="39">
        <f t="shared" ref="AE32:AN32" si="68">AE20/AE4</f>
        <v>9.8257600000000014E-2</v>
      </c>
      <c r="AF32" s="39">
        <f t="shared" si="68"/>
        <v>9.9050000000000069E-2</v>
      </c>
      <c r="AG32" s="39">
        <f t="shared" si="68"/>
        <v>9.9842400000000012E-2</v>
      </c>
      <c r="AH32" s="39">
        <f t="shared" si="68"/>
        <v>0.10063480000000004</v>
      </c>
      <c r="AI32" s="39">
        <f t="shared" si="68"/>
        <v>0.10063480000000002</v>
      </c>
      <c r="AJ32" s="39">
        <f t="shared" si="68"/>
        <v>0.10063480000000005</v>
      </c>
      <c r="AK32" s="39">
        <f t="shared" si="68"/>
        <v>0.10063480000000004</v>
      </c>
      <c r="AL32" s="39">
        <f t="shared" si="68"/>
        <v>0.10063480000000004</v>
      </c>
      <c r="AM32" s="39">
        <f t="shared" si="68"/>
        <v>0.10063480000000008</v>
      </c>
      <c r="AN32" s="39">
        <f t="shared" si="68"/>
        <v>0.10063480000000004</v>
      </c>
    </row>
    <row r="33" spans="1:43" s="35" customFormat="1" ht="14.4" x14ac:dyDescent="0.3">
      <c r="A33" s="42" t="s">
        <v>130</v>
      </c>
      <c r="B33" s="34">
        <f t="shared" ref="B33:P33" si="69">B19/B18</f>
        <v>-0.14634146341463414</v>
      </c>
      <c r="C33" s="34">
        <f t="shared" si="69"/>
        <v>1.0476190476190477</v>
      </c>
      <c r="D33" s="34">
        <f t="shared" si="69"/>
        <v>-4.7619047619047616E-2</v>
      </c>
      <c r="E33" s="34">
        <f t="shared" si="69"/>
        <v>-0.21428571428571427</v>
      </c>
      <c r="F33" s="34">
        <f t="shared" si="69"/>
        <v>-0.26371061843640609</v>
      </c>
      <c r="G33" s="34">
        <f t="shared" si="69"/>
        <v>-0.122040072859745</v>
      </c>
      <c r="H33" s="34">
        <f t="shared" si="69"/>
        <v>-0.212890625</v>
      </c>
      <c r="I33" s="34">
        <f t="shared" si="69"/>
        <v>-0.14424635332252836</v>
      </c>
      <c r="J33" s="34">
        <f t="shared" si="69"/>
        <v>-0.22113022113022113</v>
      </c>
      <c r="K33" s="34">
        <f t="shared" si="69"/>
        <v>-0.21282051282051281</v>
      </c>
      <c r="L33" s="34">
        <f t="shared" si="69"/>
        <v>-0.11683848797250859</v>
      </c>
      <c r="M33" s="34">
        <f t="shared" si="69"/>
        <v>-0.88571428571428568</v>
      </c>
      <c r="N33" s="34">
        <f t="shared" si="69"/>
        <v>-0.14285714285714285</v>
      </c>
      <c r="O33" s="34">
        <f t="shared" si="69"/>
        <v>-0.24090909090909091</v>
      </c>
      <c r="P33" s="34">
        <f t="shared" si="69"/>
        <v>-0.1417004048582996</v>
      </c>
      <c r="Q33" s="34">
        <f>Q19/Q18</f>
        <v>-1.25</v>
      </c>
      <c r="R33" s="34">
        <f>R19/R18</f>
        <v>-0.21779141104294478</v>
      </c>
      <c r="S33" s="34"/>
      <c r="T33" s="34"/>
      <c r="U33" s="33"/>
      <c r="V33" s="33"/>
      <c r="W33" s="34">
        <f t="shared" ref="W33:AA33" si="70">W19/W18</f>
        <v>1.24364896073903</v>
      </c>
      <c r="X33" s="34">
        <f t="shared" si="70"/>
        <v>0.27363807138384472</v>
      </c>
      <c r="Y33" s="34">
        <f t="shared" si="70"/>
        <v>0.19262603461249059</v>
      </c>
      <c r="Z33" s="34">
        <f t="shared" si="70"/>
        <v>0.14919354838709678</v>
      </c>
      <c r="AA33" s="34">
        <f t="shared" si="70"/>
        <v>0.19368836291913216</v>
      </c>
      <c r="AB33" s="34">
        <f>AB19/AB18</f>
        <v>0.21406249999999999</v>
      </c>
      <c r="AC33" s="34">
        <f>AC19/AC18</f>
        <v>0.17910447761194029</v>
      </c>
      <c r="AD33" s="34">
        <f>AD19/AD18</f>
        <v>-0.20999597697984204</v>
      </c>
      <c r="AE33" s="34">
        <f t="shared" ref="AE33:AN33" si="71">AE19/AE18</f>
        <v>-0.20760000000000001</v>
      </c>
      <c r="AF33" s="34">
        <f t="shared" si="71"/>
        <v>-0.20760000000000001</v>
      </c>
      <c r="AG33" s="34">
        <f t="shared" si="71"/>
        <v>-0.20760000000000001</v>
      </c>
      <c r="AH33" s="34">
        <f t="shared" si="71"/>
        <v>-0.20760000000000001</v>
      </c>
      <c r="AI33" s="34">
        <f t="shared" si="71"/>
        <v>-0.20760000000000001</v>
      </c>
      <c r="AJ33" s="34">
        <f t="shared" si="71"/>
        <v>-0.20760000000000001</v>
      </c>
      <c r="AK33" s="34">
        <f t="shared" si="71"/>
        <v>-0.20760000000000001</v>
      </c>
      <c r="AL33" s="34">
        <f t="shared" si="71"/>
        <v>-0.20760000000000001</v>
      </c>
      <c r="AM33" s="34">
        <f t="shared" si="71"/>
        <v>-0.20760000000000001</v>
      </c>
      <c r="AN33" s="34">
        <f t="shared" si="71"/>
        <v>-0.20760000000000003</v>
      </c>
    </row>
    <row r="34" spans="1:43" s="53" customFormat="1" ht="14.4" x14ac:dyDescent="0.3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2"/>
      <c r="V34" s="52"/>
      <c r="W34" s="51"/>
      <c r="X34" s="51"/>
      <c r="Y34" s="51"/>
      <c r="Z34" s="51"/>
      <c r="AA34" s="51"/>
      <c r="AB34" s="51"/>
      <c r="AC34" s="51"/>
    </row>
    <row r="35" spans="1:43" s="60" customFormat="1" x14ac:dyDescent="0.25">
      <c r="A35" s="58" t="s">
        <v>143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>
        <f t="shared" ref="M35:Q35" si="72">M36-M37</f>
        <v>-5240</v>
      </c>
      <c r="N35" s="58">
        <f t="shared" si="72"/>
        <v>-5705</v>
      </c>
      <c r="O35" s="58">
        <f t="shared" si="72"/>
        <v>-6086</v>
      </c>
      <c r="P35" s="58">
        <f t="shared" si="72"/>
        <v>-5868</v>
      </c>
      <c r="Q35" s="58">
        <f t="shared" si="72"/>
        <v>-5747</v>
      </c>
      <c r="R35" s="58">
        <f>R36-R37</f>
        <v>-6003</v>
      </c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 spans="1:43" s="61" customFormat="1" ht="14.4" x14ac:dyDescent="0.3">
      <c r="A36" s="50" t="s">
        <v>3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f t="shared" ref="M36:Q36" si="73">M39</f>
        <v>1671</v>
      </c>
      <c r="N36" s="50">
        <f t="shared" si="73"/>
        <v>1146</v>
      </c>
      <c r="O36" s="50">
        <f t="shared" si="73"/>
        <v>1538</v>
      </c>
      <c r="P36" s="50">
        <f t="shared" si="73"/>
        <v>1639</v>
      </c>
      <c r="Q36" s="50">
        <f t="shared" si="73"/>
        <v>1779</v>
      </c>
      <c r="R36" s="50">
        <f>R39</f>
        <v>1365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</row>
    <row r="37" spans="1:43" s="62" customFormat="1" ht="15" thickBot="1" x14ac:dyDescent="0.35">
      <c r="A37" s="59" t="s">
        <v>4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>
        <f t="shared" ref="M37:Q37" si="74">M49+M53</f>
        <v>6911</v>
      </c>
      <c r="N37" s="59">
        <f t="shared" si="74"/>
        <v>6851</v>
      </c>
      <c r="O37" s="59">
        <f t="shared" si="74"/>
        <v>7624</v>
      </c>
      <c r="P37" s="59">
        <f t="shared" si="74"/>
        <v>7507</v>
      </c>
      <c r="Q37" s="59">
        <f t="shared" si="74"/>
        <v>7526</v>
      </c>
      <c r="R37" s="59">
        <f>R49+R53</f>
        <v>7368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</row>
    <row r="38" spans="1:43" s="44" customFormat="1" x14ac:dyDescent="0.25">
      <c r="A38" s="43" t="s">
        <v>112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43" s="22" customFormat="1" x14ac:dyDescent="0.25">
      <c r="A39" s="21" t="s">
        <v>60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>
        <v>1671</v>
      </c>
      <c r="N39" s="21">
        <v>1146</v>
      </c>
      <c r="O39" s="21">
        <v>1538</v>
      </c>
      <c r="P39" s="21">
        <v>1639</v>
      </c>
      <c r="Q39" s="21">
        <v>1779</v>
      </c>
      <c r="R39" s="21">
        <v>1365</v>
      </c>
      <c r="S39" s="21"/>
      <c r="T39" s="21"/>
      <c r="U39" s="21"/>
      <c r="V39" s="21"/>
      <c r="W39" s="21"/>
      <c r="X39" s="21"/>
      <c r="Y39" s="21"/>
      <c r="Z39" s="21"/>
      <c r="AA39" s="21"/>
      <c r="AB39" s="21">
        <f>SUM(M39)</f>
        <v>1671</v>
      </c>
      <c r="AC39" s="21">
        <f>SUM(Q39)</f>
        <v>1779</v>
      </c>
      <c r="AP39" s="56" t="s">
        <v>137</v>
      </c>
      <c r="AQ39" s="57">
        <v>-0.01</v>
      </c>
    </row>
    <row r="40" spans="1:43" s="22" customFormat="1" x14ac:dyDescent="0.25">
      <c r="A40" s="21" t="s">
        <v>61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>
        <v>1721</v>
      </c>
      <c r="N40" s="21">
        <v>1688</v>
      </c>
      <c r="O40" s="21">
        <v>1674</v>
      </c>
      <c r="P40" s="21">
        <v>1725</v>
      </c>
      <c r="Q40" s="21">
        <v>1572</v>
      </c>
      <c r="R40" s="21">
        <v>1621</v>
      </c>
      <c r="S40" s="21"/>
      <c r="T40" s="21"/>
      <c r="U40" s="21"/>
      <c r="V40" s="21"/>
      <c r="W40" s="21"/>
      <c r="X40" s="21"/>
      <c r="Y40" s="21"/>
      <c r="Z40" s="21"/>
      <c r="AA40" s="21"/>
      <c r="AB40" s="21">
        <f t="shared" ref="AB40:AB42" si="75">SUM(M40)</f>
        <v>1721</v>
      </c>
      <c r="AC40" s="21">
        <f t="shared" ref="AC40:AC42" si="76">SUM(Q40)</f>
        <v>1572</v>
      </c>
      <c r="AP40" s="56" t="s">
        <v>138</v>
      </c>
      <c r="AQ40" s="57">
        <v>6.5000000000000002E-2</v>
      </c>
    </row>
    <row r="41" spans="1:43" s="22" customFormat="1" x14ac:dyDescent="0.25">
      <c r="A41" s="21" t="s">
        <v>62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>
        <v>2904</v>
      </c>
      <c r="N41" s="21">
        <v>2863</v>
      </c>
      <c r="O41" s="21">
        <v>2757</v>
      </c>
      <c r="P41" s="21">
        <v>2655</v>
      </c>
      <c r="Q41" s="21">
        <v>2666</v>
      </c>
      <c r="R41" s="21">
        <v>2713</v>
      </c>
      <c r="S41" s="21"/>
      <c r="T41" s="21"/>
      <c r="U41" s="21"/>
      <c r="V41" s="21"/>
      <c r="W41" s="21"/>
      <c r="X41" s="21"/>
      <c r="Y41" s="21"/>
      <c r="Z41" s="21"/>
      <c r="AA41" s="21"/>
      <c r="AB41" s="21">
        <f t="shared" si="75"/>
        <v>2904</v>
      </c>
      <c r="AC41" s="21">
        <f t="shared" si="76"/>
        <v>2666</v>
      </c>
      <c r="AP41" s="56" t="s">
        <v>139</v>
      </c>
      <c r="AQ41" s="22">
        <f>NPV(AQ40,AD20:GS20)</f>
        <v>26218.47146720656</v>
      </c>
    </row>
    <row r="42" spans="1:43" s="22" customFormat="1" x14ac:dyDescent="0.25">
      <c r="A42" s="21" t="s">
        <v>63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v>1157</v>
      </c>
      <c r="N42" s="21">
        <v>1180</v>
      </c>
      <c r="O42" s="21">
        <v>1324</v>
      </c>
      <c r="P42" s="21">
        <v>1279</v>
      </c>
      <c r="Q42" s="21">
        <v>1195</v>
      </c>
      <c r="R42" s="21">
        <v>1272</v>
      </c>
      <c r="S42" s="21"/>
      <c r="T42" s="21"/>
      <c r="U42" s="21"/>
      <c r="V42" s="21"/>
      <c r="W42" s="21"/>
      <c r="X42" s="21"/>
      <c r="Y42" s="21"/>
      <c r="Z42" s="21"/>
      <c r="AA42" s="21"/>
      <c r="AB42" s="21">
        <f t="shared" si="75"/>
        <v>1157</v>
      </c>
      <c r="AC42" s="21">
        <f t="shared" si="76"/>
        <v>1195</v>
      </c>
      <c r="AP42" s="56" t="s">
        <v>3</v>
      </c>
      <c r="AQ42" s="22">
        <v>-6003</v>
      </c>
    </row>
    <row r="43" spans="1:43" s="24" customFormat="1" x14ac:dyDescent="0.25">
      <c r="A43" s="23" t="s">
        <v>64</v>
      </c>
      <c r="B43" s="23"/>
      <c r="C43" s="23"/>
      <c r="D43" s="23">
        <f t="shared" ref="D43:P43" si="77">SUM(D39:D42)</f>
        <v>0</v>
      </c>
      <c r="E43" s="23">
        <f t="shared" si="77"/>
        <v>0</v>
      </c>
      <c r="F43" s="23">
        <f t="shared" si="77"/>
        <v>0</v>
      </c>
      <c r="G43" s="23">
        <f t="shared" si="77"/>
        <v>0</v>
      </c>
      <c r="H43" s="23">
        <f t="shared" si="77"/>
        <v>0</v>
      </c>
      <c r="I43" s="23">
        <f t="shared" si="77"/>
        <v>0</v>
      </c>
      <c r="J43" s="23">
        <f t="shared" si="77"/>
        <v>0</v>
      </c>
      <c r="K43" s="23">
        <f t="shared" si="77"/>
        <v>0</v>
      </c>
      <c r="L43" s="23">
        <f t="shared" si="77"/>
        <v>0</v>
      </c>
      <c r="M43" s="23">
        <f t="shared" si="77"/>
        <v>7453</v>
      </c>
      <c r="N43" s="23">
        <f t="shared" si="77"/>
        <v>6877</v>
      </c>
      <c r="O43" s="23">
        <f t="shared" si="77"/>
        <v>7293</v>
      </c>
      <c r="P43" s="23">
        <f t="shared" si="77"/>
        <v>7298</v>
      </c>
      <c r="Q43" s="23">
        <f>SUM(Q39:Q42)</f>
        <v>7212</v>
      </c>
      <c r="R43" s="23">
        <f t="shared" ref="R43" si="78">SUM(R39:R42)</f>
        <v>6971</v>
      </c>
      <c r="S43" s="23"/>
      <c r="T43" s="23"/>
      <c r="U43" s="23"/>
      <c r="V43" s="23"/>
      <c r="W43" s="23"/>
      <c r="X43" s="23"/>
      <c r="Y43" s="23"/>
      <c r="Z43" s="23"/>
      <c r="AA43" s="23"/>
      <c r="AB43" s="23">
        <f>M43</f>
        <v>7453</v>
      </c>
      <c r="AC43" s="23">
        <f>SUM(AC39:AC42)</f>
        <v>7212</v>
      </c>
      <c r="AP43" s="24" t="s">
        <v>140</v>
      </c>
      <c r="AQ43" s="24">
        <f>AQ41+AQ42</f>
        <v>20215.47146720656</v>
      </c>
    </row>
    <row r="44" spans="1:43" s="22" customFormat="1" x14ac:dyDescent="0.25">
      <c r="A44" s="21" t="s">
        <v>65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>
        <v>15371</v>
      </c>
      <c r="N44" s="21">
        <v>15137</v>
      </c>
      <c r="O44" s="21">
        <v>14681</v>
      </c>
      <c r="P44" s="21">
        <v>14407</v>
      </c>
      <c r="Q44" s="21">
        <v>14630</v>
      </c>
      <c r="R44" s="21">
        <v>14199</v>
      </c>
      <c r="S44" s="21"/>
      <c r="T44" s="21"/>
      <c r="U44" s="21"/>
      <c r="V44" s="21"/>
      <c r="W44" s="21"/>
      <c r="X44" s="21"/>
      <c r="Y44" s="21"/>
      <c r="Z44" s="21"/>
      <c r="AA44" s="21"/>
      <c r="AB44" s="21">
        <f t="shared" ref="AB44:AB47" si="79">SUM(M44)</f>
        <v>15371</v>
      </c>
      <c r="AC44" s="21">
        <f t="shared" ref="AC44:AC55" si="80">SUM(Q44)</f>
        <v>14630</v>
      </c>
      <c r="AP44" s="56" t="s">
        <v>141</v>
      </c>
      <c r="AQ44" s="63">
        <f>AQ43/Main!L3</f>
        <v>23.599133603385987</v>
      </c>
    </row>
    <row r="45" spans="1:43" s="22" customFormat="1" x14ac:dyDescent="0.25">
      <c r="A45" s="21" t="s">
        <v>66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>
        <f>2394+1029</f>
        <v>3423</v>
      </c>
      <c r="N45" s="21">
        <f>2394+1002</f>
        <v>3396</v>
      </c>
      <c r="O45" s="21">
        <f>2382+972</f>
        <v>3354</v>
      </c>
      <c r="P45" s="21">
        <f>2372+938</f>
        <v>3310</v>
      </c>
      <c r="Q45" s="21">
        <f>2380+905</f>
        <v>3285</v>
      </c>
      <c r="R45" s="21">
        <f>2370+871</f>
        <v>3241</v>
      </c>
      <c r="S45" s="21"/>
      <c r="T45" s="21"/>
      <c r="U45" s="21"/>
      <c r="V45" s="21"/>
      <c r="W45" s="21"/>
      <c r="X45" s="21"/>
      <c r="Y45" s="21"/>
      <c r="Z45" s="21"/>
      <c r="AA45" s="21"/>
      <c r="AB45" s="21">
        <f t="shared" si="79"/>
        <v>3423</v>
      </c>
      <c r="AC45" s="21">
        <f t="shared" si="80"/>
        <v>3285</v>
      </c>
      <c r="AP45" s="56" t="s">
        <v>142</v>
      </c>
      <c r="AQ45" s="57">
        <f>AQ44/Main!L2</f>
        <v>0.63082420752167845</v>
      </c>
    </row>
    <row r="46" spans="1:43" s="22" customFormat="1" x14ac:dyDescent="0.25">
      <c r="A46" s="21" t="s">
        <v>67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>
        <v>1073</v>
      </c>
      <c r="N46" s="21">
        <v>1106</v>
      </c>
      <c r="O46" s="21">
        <v>1083</v>
      </c>
      <c r="P46" s="21">
        <v>1037</v>
      </c>
      <c r="Q46" s="21">
        <v>1153</v>
      </c>
      <c r="R46" s="21">
        <v>1132</v>
      </c>
      <c r="S46" s="21"/>
      <c r="T46" s="21"/>
      <c r="U46" s="21"/>
      <c r="V46" s="21"/>
      <c r="W46" s="21"/>
      <c r="X46" s="21"/>
      <c r="Y46" s="21"/>
      <c r="Z46" s="21"/>
      <c r="AA46" s="21"/>
      <c r="AB46" s="21">
        <f t="shared" si="79"/>
        <v>1073</v>
      </c>
      <c r="AC46" s="21">
        <f t="shared" si="80"/>
        <v>1153</v>
      </c>
    </row>
    <row r="47" spans="1:43" s="22" customFormat="1" x14ac:dyDescent="0.25">
      <c r="A47" s="21" t="s">
        <v>68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>
        <v>2179</v>
      </c>
      <c r="N47" s="21">
        <v>2306</v>
      </c>
      <c r="O47" s="21">
        <v>2234</v>
      </c>
      <c r="P47" s="21">
        <v>2226</v>
      </c>
      <c r="Q47" s="21">
        <v>2220</v>
      </c>
      <c r="R47" s="21">
        <v>2075</v>
      </c>
      <c r="S47" s="21"/>
      <c r="T47" s="21"/>
      <c r="U47" s="21"/>
      <c r="V47" s="21"/>
      <c r="W47" s="21"/>
      <c r="X47" s="21"/>
      <c r="Y47" s="21"/>
      <c r="Z47" s="21"/>
      <c r="AA47" s="21"/>
      <c r="AB47" s="21">
        <f t="shared" si="79"/>
        <v>2179</v>
      </c>
      <c r="AC47" s="21">
        <f t="shared" si="80"/>
        <v>2220</v>
      </c>
    </row>
    <row r="48" spans="1:43" s="24" customFormat="1" x14ac:dyDescent="0.25">
      <c r="A48" s="23" t="s">
        <v>69</v>
      </c>
      <c r="B48" s="23"/>
      <c r="C48" s="23"/>
      <c r="D48" s="23">
        <f t="shared" ref="D48:L48" si="81">SUM(D44:D47)+D43</f>
        <v>0</v>
      </c>
      <c r="E48" s="23">
        <f t="shared" si="81"/>
        <v>0</v>
      </c>
      <c r="F48" s="23">
        <f t="shared" si="81"/>
        <v>0</v>
      </c>
      <c r="G48" s="23">
        <f t="shared" si="81"/>
        <v>0</v>
      </c>
      <c r="H48" s="23">
        <f t="shared" si="81"/>
        <v>0</v>
      </c>
      <c r="I48" s="23">
        <f t="shared" si="81"/>
        <v>0</v>
      </c>
      <c r="J48" s="23">
        <f t="shared" si="81"/>
        <v>0</v>
      </c>
      <c r="K48" s="23">
        <f t="shared" si="81"/>
        <v>0</v>
      </c>
      <c r="L48" s="23">
        <f t="shared" si="81"/>
        <v>0</v>
      </c>
      <c r="M48" s="23">
        <f>SUM(M44:M47)+M43</f>
        <v>29499</v>
      </c>
      <c r="N48" s="23">
        <f t="shared" ref="N48:P48" si="82">SUM(N44:N47)+N43</f>
        <v>28822</v>
      </c>
      <c r="O48" s="23">
        <f t="shared" si="82"/>
        <v>28645</v>
      </c>
      <c r="P48" s="23">
        <f t="shared" si="82"/>
        <v>28278</v>
      </c>
      <c r="Q48" s="23">
        <f>SUM(Q44:Q47)+Q43</f>
        <v>28500</v>
      </c>
      <c r="R48" s="23">
        <f t="shared" ref="R48" si="83">SUM(R44:R47)+R43</f>
        <v>27618</v>
      </c>
      <c r="S48" s="23"/>
      <c r="T48" s="23"/>
      <c r="U48" s="23"/>
      <c r="V48" s="23"/>
      <c r="W48" s="23"/>
      <c r="X48" s="23"/>
      <c r="Y48" s="23"/>
      <c r="Z48" s="23"/>
      <c r="AA48" s="23"/>
      <c r="AB48" s="23">
        <f>M48</f>
        <v>29499</v>
      </c>
      <c r="AC48" s="23">
        <f>SUM(AC44:AC47)+AC43</f>
        <v>28500</v>
      </c>
    </row>
    <row r="49" spans="1:29" s="22" customFormat="1" x14ac:dyDescent="0.25">
      <c r="A49" s="21" t="s">
        <v>70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>
        <v>224</v>
      </c>
      <c r="N49" s="21">
        <v>197</v>
      </c>
      <c r="O49" s="21">
        <v>187</v>
      </c>
      <c r="P49" s="21">
        <v>297</v>
      </c>
      <c r="Q49" s="21">
        <v>320</v>
      </c>
      <c r="R49" s="21">
        <v>318</v>
      </c>
      <c r="S49" s="21"/>
      <c r="T49" s="21"/>
      <c r="U49" s="21"/>
      <c r="V49" s="21"/>
      <c r="W49" s="21"/>
      <c r="X49" s="21"/>
      <c r="Y49" s="21"/>
      <c r="Z49" s="21"/>
      <c r="AA49" s="21"/>
      <c r="AB49" s="21">
        <f t="shared" ref="AB49:AB51" si="84">SUM(M49)</f>
        <v>224</v>
      </c>
      <c r="AC49" s="21">
        <f t="shared" si="80"/>
        <v>320</v>
      </c>
    </row>
    <row r="50" spans="1:29" s="22" customFormat="1" x14ac:dyDescent="0.25">
      <c r="A50" s="21" t="s">
        <v>71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>
        <v>1804</v>
      </c>
      <c r="N50" s="21">
        <v>1662</v>
      </c>
      <c r="O50" s="21">
        <v>1519</v>
      </c>
      <c r="P50" s="21">
        <v>1459</v>
      </c>
      <c r="Q50" s="21">
        <v>1466</v>
      </c>
      <c r="R50" s="21">
        <v>1476</v>
      </c>
      <c r="S50" s="21"/>
      <c r="T50" s="21"/>
      <c r="U50" s="21"/>
      <c r="V50" s="21"/>
      <c r="W50" s="21"/>
      <c r="X50" s="21"/>
      <c r="Y50" s="21"/>
      <c r="Z50" s="21"/>
      <c r="AA50" s="21"/>
      <c r="AB50" s="21">
        <f t="shared" si="84"/>
        <v>1804</v>
      </c>
      <c r="AC50" s="21">
        <f t="shared" si="80"/>
        <v>1466</v>
      </c>
    </row>
    <row r="51" spans="1:29" s="22" customFormat="1" x14ac:dyDescent="0.25">
      <c r="A51" s="21" t="s">
        <v>72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>
        <v>3147</v>
      </c>
      <c r="N51" s="21">
        <v>2914</v>
      </c>
      <c r="O51" s="21">
        <v>2705</v>
      </c>
      <c r="P51" s="21">
        <v>2529</v>
      </c>
      <c r="Q51" s="21">
        <v>2533</v>
      </c>
      <c r="R51" s="21">
        <v>2381</v>
      </c>
      <c r="S51" s="21"/>
      <c r="T51" s="21"/>
      <c r="U51" s="21"/>
      <c r="V51" s="21"/>
      <c r="W51" s="21"/>
      <c r="X51" s="21"/>
      <c r="Y51" s="21"/>
      <c r="Z51" s="21"/>
      <c r="AA51" s="21"/>
      <c r="AB51" s="21">
        <f t="shared" si="84"/>
        <v>3147</v>
      </c>
      <c r="AC51" s="21">
        <f t="shared" si="80"/>
        <v>2533</v>
      </c>
    </row>
    <row r="52" spans="1:29" s="24" customFormat="1" x14ac:dyDescent="0.25">
      <c r="A52" s="23" t="s">
        <v>73</v>
      </c>
      <c r="B52" s="23"/>
      <c r="C52" s="23"/>
      <c r="D52" s="23">
        <f t="shared" ref="D52:P52" si="85">SUM(D49:D51)</f>
        <v>0</v>
      </c>
      <c r="E52" s="23">
        <f t="shared" si="85"/>
        <v>0</v>
      </c>
      <c r="F52" s="23">
        <f t="shared" si="85"/>
        <v>0</v>
      </c>
      <c r="G52" s="23">
        <f t="shared" si="85"/>
        <v>0</v>
      </c>
      <c r="H52" s="23">
        <f t="shared" si="85"/>
        <v>0</v>
      </c>
      <c r="I52" s="23">
        <f t="shared" si="85"/>
        <v>0</v>
      </c>
      <c r="J52" s="23">
        <f t="shared" si="85"/>
        <v>0</v>
      </c>
      <c r="K52" s="23">
        <f t="shared" si="85"/>
        <v>0</v>
      </c>
      <c r="L52" s="23">
        <f t="shared" si="85"/>
        <v>0</v>
      </c>
      <c r="M52" s="23">
        <f t="shared" si="85"/>
        <v>5175</v>
      </c>
      <c r="N52" s="23">
        <f t="shared" si="85"/>
        <v>4773</v>
      </c>
      <c r="O52" s="23">
        <f t="shared" si="85"/>
        <v>4411</v>
      </c>
      <c r="P52" s="23">
        <f t="shared" si="85"/>
        <v>4285</v>
      </c>
      <c r="Q52" s="23">
        <f>SUM(Q49:Q51)</f>
        <v>4319</v>
      </c>
      <c r="R52" s="23">
        <f t="shared" ref="R52" si="86">SUM(R49:R51)</f>
        <v>4175</v>
      </c>
      <c r="S52" s="23"/>
      <c r="T52" s="23"/>
      <c r="U52" s="23"/>
      <c r="V52" s="23"/>
      <c r="W52" s="23"/>
      <c r="X52" s="23"/>
      <c r="Y52" s="23"/>
      <c r="Z52" s="23"/>
      <c r="AA52" s="23"/>
      <c r="AB52" s="23">
        <f>M52</f>
        <v>5175</v>
      </c>
      <c r="AC52" s="23">
        <f>SUM(AC49:AC51)</f>
        <v>4319</v>
      </c>
    </row>
    <row r="53" spans="1:29" s="22" customFormat="1" x14ac:dyDescent="0.25">
      <c r="A53" s="21" t="s">
        <v>74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>
        <v>6687</v>
      </c>
      <c r="N53" s="21">
        <v>6654</v>
      </c>
      <c r="O53" s="21">
        <v>7437</v>
      </c>
      <c r="P53" s="21">
        <v>7210</v>
      </c>
      <c r="Q53" s="21">
        <v>7206</v>
      </c>
      <c r="R53" s="21">
        <v>7050</v>
      </c>
      <c r="S53" s="21"/>
      <c r="T53" s="21"/>
      <c r="U53" s="21"/>
      <c r="V53" s="21"/>
      <c r="W53" s="21"/>
      <c r="X53" s="21"/>
      <c r="Y53" s="21"/>
      <c r="Z53" s="21"/>
      <c r="AA53" s="21"/>
      <c r="AB53" s="21">
        <f t="shared" ref="AB53:AB55" si="87">SUM(M53)</f>
        <v>6687</v>
      </c>
      <c r="AC53" s="21">
        <f t="shared" si="80"/>
        <v>7206</v>
      </c>
    </row>
    <row r="54" spans="1:29" s="22" customFormat="1" x14ac:dyDescent="0.25">
      <c r="A54" s="21" t="s">
        <v>75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>
        <v>407</v>
      </c>
      <c r="N54" s="21">
        <v>405</v>
      </c>
      <c r="O54" s="21">
        <v>407</v>
      </c>
      <c r="P54" s="21">
        <v>406</v>
      </c>
      <c r="Q54" s="21">
        <v>398</v>
      </c>
      <c r="R54" s="21">
        <v>399</v>
      </c>
      <c r="S54" s="21"/>
      <c r="T54" s="21"/>
      <c r="U54" s="21"/>
      <c r="V54" s="21"/>
      <c r="W54" s="21"/>
      <c r="X54" s="21"/>
      <c r="Y54" s="21"/>
      <c r="Z54" s="21"/>
      <c r="AA54" s="21"/>
      <c r="AB54" s="21">
        <f t="shared" si="87"/>
        <v>407</v>
      </c>
      <c r="AC54" s="21">
        <f t="shared" si="80"/>
        <v>398</v>
      </c>
    </row>
    <row r="55" spans="1:29" s="22" customFormat="1" x14ac:dyDescent="0.25">
      <c r="A55" s="21" t="s">
        <v>76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>
        <v>4955</v>
      </c>
      <c r="N55" s="21">
        <v>4783</v>
      </c>
      <c r="O55" s="21">
        <v>4680</v>
      </c>
      <c r="P55" s="21">
        <v>4633</v>
      </c>
      <c r="Q55" s="21">
        <v>4709</v>
      </c>
      <c r="R55" s="21">
        <v>4435</v>
      </c>
      <c r="S55" s="21"/>
      <c r="T55" s="21"/>
      <c r="U55" s="21"/>
      <c r="V55" s="21"/>
      <c r="W55" s="21"/>
      <c r="X55" s="21"/>
      <c r="Y55" s="21"/>
      <c r="Z55" s="21"/>
      <c r="AA55" s="21"/>
      <c r="AB55" s="21">
        <f t="shared" si="87"/>
        <v>4955</v>
      </c>
      <c r="AC55" s="21">
        <f t="shared" si="80"/>
        <v>4709</v>
      </c>
    </row>
    <row r="56" spans="1:29" s="24" customFormat="1" x14ac:dyDescent="0.25">
      <c r="A56" s="23" t="s">
        <v>77</v>
      </c>
      <c r="B56" s="23"/>
      <c r="C56" s="23"/>
      <c r="D56" s="23">
        <f t="shared" ref="D56:P56" si="88">SUM(D53:D55)+D52</f>
        <v>0</v>
      </c>
      <c r="E56" s="23">
        <f t="shared" si="88"/>
        <v>0</v>
      </c>
      <c r="F56" s="23">
        <f t="shared" si="88"/>
        <v>0</v>
      </c>
      <c r="G56" s="23">
        <f t="shared" si="88"/>
        <v>0</v>
      </c>
      <c r="H56" s="23">
        <f t="shared" si="88"/>
        <v>0</v>
      </c>
      <c r="I56" s="23">
        <f t="shared" si="88"/>
        <v>0</v>
      </c>
      <c r="J56" s="23">
        <f t="shared" si="88"/>
        <v>0</v>
      </c>
      <c r="K56" s="23">
        <f t="shared" si="88"/>
        <v>0</v>
      </c>
      <c r="L56" s="23">
        <f t="shared" si="88"/>
        <v>0</v>
      </c>
      <c r="M56" s="23">
        <f t="shared" si="88"/>
        <v>17224</v>
      </c>
      <c r="N56" s="23">
        <f t="shared" si="88"/>
        <v>16615</v>
      </c>
      <c r="O56" s="23">
        <f t="shared" si="88"/>
        <v>16935</v>
      </c>
      <c r="P56" s="23">
        <f t="shared" si="88"/>
        <v>16534</v>
      </c>
      <c r="Q56" s="23">
        <f>SUM(Q53:Q55)+Q52</f>
        <v>16632</v>
      </c>
      <c r="R56" s="23">
        <f t="shared" ref="R56" si="89">SUM(R53:R55)+R52</f>
        <v>16059</v>
      </c>
      <c r="S56" s="23"/>
      <c r="T56" s="23"/>
      <c r="U56" s="23"/>
      <c r="V56" s="23"/>
      <c r="W56" s="23"/>
      <c r="X56" s="23"/>
      <c r="Y56" s="23"/>
      <c r="Z56" s="23"/>
      <c r="AA56" s="23"/>
      <c r="AB56" s="23">
        <f>M56</f>
        <v>17224</v>
      </c>
      <c r="AC56" s="23">
        <f>SUM(AC53:AC55)+AC52</f>
        <v>16632</v>
      </c>
    </row>
    <row r="57" spans="1:29" s="24" customFormat="1" x14ac:dyDescent="0.25">
      <c r="A57" s="23" t="s">
        <v>78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>
        <v>12008</v>
      </c>
      <c r="N57" s="23">
        <v>11925</v>
      </c>
      <c r="O57" s="23">
        <v>11412</v>
      </c>
      <c r="P57" s="23">
        <v>11430</v>
      </c>
      <c r="Q57" s="23">
        <v>11551</v>
      </c>
      <c r="R57" s="23">
        <v>11226</v>
      </c>
      <c r="S57" s="23"/>
      <c r="T57" s="23"/>
      <c r="U57" s="23"/>
      <c r="V57" s="23"/>
      <c r="W57" s="23"/>
      <c r="X57" s="23"/>
      <c r="Y57" s="23"/>
      <c r="Z57" s="23"/>
      <c r="AA57" s="23"/>
      <c r="AB57" s="23">
        <f>M57</f>
        <v>12008</v>
      </c>
      <c r="AC57" s="23">
        <v>11551</v>
      </c>
    </row>
    <row r="58" spans="1:29" s="22" customFormat="1" x14ac:dyDescent="0.25">
      <c r="A58" s="21" t="s">
        <v>79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>
        <v>267</v>
      </c>
      <c r="N58" s="21">
        <v>282</v>
      </c>
      <c r="O58" s="21">
        <v>298</v>
      </c>
      <c r="P58" s="21">
        <v>314</v>
      </c>
      <c r="Q58" s="21">
        <v>317</v>
      </c>
      <c r="R58" s="21">
        <v>333</v>
      </c>
      <c r="S58" s="21"/>
      <c r="T58" s="21"/>
      <c r="U58" s="21"/>
      <c r="V58" s="21"/>
      <c r="W58" s="21"/>
      <c r="X58" s="21"/>
      <c r="Y58" s="21"/>
      <c r="Z58" s="21"/>
      <c r="AA58" s="21"/>
      <c r="AB58" s="21">
        <f>SUM(M58)</f>
        <v>267</v>
      </c>
      <c r="AC58" s="21">
        <f t="shared" ref="AC58" si="90">SUM(Q58)</f>
        <v>317</v>
      </c>
    </row>
    <row r="59" spans="1:29" s="24" customFormat="1" x14ac:dyDescent="0.25">
      <c r="A59" s="23" t="s">
        <v>80</v>
      </c>
      <c r="B59" s="23"/>
      <c r="C59" s="23"/>
      <c r="D59" s="23">
        <f t="shared" ref="D59:P59" si="91">SUM(D57:D58)</f>
        <v>0</v>
      </c>
      <c r="E59" s="23">
        <f t="shared" si="91"/>
        <v>0</v>
      </c>
      <c r="F59" s="23">
        <f t="shared" si="91"/>
        <v>0</v>
      </c>
      <c r="G59" s="23">
        <f t="shared" si="91"/>
        <v>0</v>
      </c>
      <c r="H59" s="23">
        <f t="shared" si="91"/>
        <v>0</v>
      </c>
      <c r="I59" s="23">
        <f t="shared" si="91"/>
        <v>0</v>
      </c>
      <c r="J59" s="23">
        <f t="shared" si="91"/>
        <v>0</v>
      </c>
      <c r="K59" s="23">
        <f t="shared" si="91"/>
        <v>0</v>
      </c>
      <c r="L59" s="23">
        <f t="shared" si="91"/>
        <v>0</v>
      </c>
      <c r="M59" s="23">
        <f t="shared" si="91"/>
        <v>12275</v>
      </c>
      <c r="N59" s="23">
        <f t="shared" si="91"/>
        <v>12207</v>
      </c>
      <c r="O59" s="23">
        <f t="shared" si="91"/>
        <v>11710</v>
      </c>
      <c r="P59" s="23">
        <f t="shared" si="91"/>
        <v>11744</v>
      </c>
      <c r="Q59" s="23">
        <f>SUM(Q57:Q58)</f>
        <v>11868</v>
      </c>
      <c r="R59" s="23">
        <f t="shared" ref="R59" si="92">SUM(R57:R58)</f>
        <v>11559</v>
      </c>
      <c r="S59" s="23"/>
      <c r="T59" s="23"/>
      <c r="U59" s="23"/>
      <c r="V59" s="23"/>
      <c r="W59" s="23"/>
      <c r="X59" s="23"/>
      <c r="Y59" s="23"/>
      <c r="Z59" s="23"/>
      <c r="AA59" s="23"/>
      <c r="AB59" s="23">
        <f>M59</f>
        <v>12275</v>
      </c>
      <c r="AC59" s="23">
        <f>SUM(AC57:AC58)</f>
        <v>11868</v>
      </c>
    </row>
    <row r="60" spans="1:29" s="24" customFormat="1" x14ac:dyDescent="0.25">
      <c r="A60" s="23" t="s">
        <v>81</v>
      </c>
      <c r="B60" s="23"/>
      <c r="C60" s="23"/>
      <c r="D60" s="23">
        <f t="shared" ref="D60:P60" si="93">D59+D56</f>
        <v>0</v>
      </c>
      <c r="E60" s="23">
        <f t="shared" si="93"/>
        <v>0</v>
      </c>
      <c r="F60" s="23">
        <f t="shared" si="93"/>
        <v>0</v>
      </c>
      <c r="G60" s="23">
        <f t="shared" si="93"/>
        <v>0</v>
      </c>
      <c r="H60" s="23">
        <f t="shared" si="93"/>
        <v>0</v>
      </c>
      <c r="I60" s="23">
        <f t="shared" si="93"/>
        <v>0</v>
      </c>
      <c r="J60" s="23">
        <f t="shared" si="93"/>
        <v>0</v>
      </c>
      <c r="K60" s="23">
        <f t="shared" si="93"/>
        <v>0</v>
      </c>
      <c r="L60" s="23">
        <f t="shared" si="93"/>
        <v>0</v>
      </c>
      <c r="M60" s="23">
        <f t="shared" si="93"/>
        <v>29499</v>
      </c>
      <c r="N60" s="23">
        <f t="shared" si="93"/>
        <v>28822</v>
      </c>
      <c r="O60" s="23">
        <f t="shared" si="93"/>
        <v>28645</v>
      </c>
      <c r="P60" s="23">
        <f t="shared" si="93"/>
        <v>28278</v>
      </c>
      <c r="Q60" s="23">
        <f>Q59+Q56</f>
        <v>28500</v>
      </c>
      <c r="R60" s="23">
        <f t="shared" ref="R60" si="94">R59+R56</f>
        <v>27618</v>
      </c>
      <c r="S60" s="23"/>
      <c r="T60" s="23"/>
      <c r="U60" s="23"/>
      <c r="V60" s="23"/>
      <c r="W60" s="23"/>
      <c r="X60" s="23"/>
      <c r="Y60" s="23"/>
      <c r="Z60" s="23"/>
      <c r="AA60" s="23"/>
      <c r="AB60" s="23">
        <f>M60</f>
        <v>29499</v>
      </c>
      <c r="AC60" s="23">
        <f>AC59+AC56</f>
        <v>28500</v>
      </c>
    </row>
    <row r="61" spans="1:29" s="47" customFormat="1" x14ac:dyDescent="0.25">
      <c r="A61" s="45" t="s">
        <v>111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s="47" customFormat="1" x14ac:dyDescent="0.25">
      <c r="A62" s="46" t="s">
        <v>82</v>
      </c>
      <c r="B62" s="46">
        <f>B20</f>
        <v>-70</v>
      </c>
      <c r="C62" s="46">
        <f>C20</f>
        <v>-43</v>
      </c>
      <c r="D62" s="46">
        <f>D20</f>
        <v>460</v>
      </c>
      <c r="E62" s="46">
        <f>E20</f>
        <v>286</v>
      </c>
      <c r="F62" s="46">
        <f>F20</f>
        <v>631</v>
      </c>
      <c r="G62" s="46">
        <f>G20</f>
        <v>482</v>
      </c>
      <c r="H62" s="46">
        <f>H20</f>
        <v>403</v>
      </c>
      <c r="I62" s="46">
        <f>I20</f>
        <v>528</v>
      </c>
      <c r="J62" s="46">
        <f>J20</f>
        <v>634</v>
      </c>
      <c r="K62" s="46">
        <f>K20</f>
        <v>614</v>
      </c>
      <c r="L62" s="46">
        <f>L20</f>
        <v>257</v>
      </c>
      <c r="M62" s="46">
        <f>M20</f>
        <v>4</v>
      </c>
      <c r="N62" s="46">
        <f>N20</f>
        <v>222</v>
      </c>
      <c r="O62" s="46">
        <f>494-N62</f>
        <v>272</v>
      </c>
      <c r="P62" s="46">
        <f>P20</f>
        <v>212</v>
      </c>
      <c r="Q62" s="46">
        <f>Q20</f>
        <v>2</v>
      </c>
      <c r="R62" s="46">
        <f>R20</f>
        <v>255</v>
      </c>
      <c r="S62" s="46"/>
      <c r="T62" s="46"/>
      <c r="U62" s="46"/>
      <c r="V62" s="46"/>
      <c r="W62" s="46"/>
      <c r="X62" s="46"/>
      <c r="Y62" s="46"/>
      <c r="Z62" s="46"/>
      <c r="AA62" s="46"/>
      <c r="AB62" s="46">
        <v>1386</v>
      </c>
      <c r="AC62" s="46">
        <v>648</v>
      </c>
    </row>
    <row r="63" spans="1:29" s="22" customFormat="1" x14ac:dyDescent="0.25">
      <c r="A63" s="21" t="s">
        <v>83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>
        <v>310</v>
      </c>
      <c r="O63" s="21">
        <f>622-N63</f>
        <v>312</v>
      </c>
      <c r="P63" s="21">
        <f>932-N63-O63</f>
        <v>310</v>
      </c>
      <c r="Q63" s="21">
        <v>315</v>
      </c>
      <c r="R63" s="21">
        <v>307</v>
      </c>
      <c r="S63" s="21"/>
      <c r="T63" s="21"/>
      <c r="U63" s="21"/>
      <c r="V63" s="21"/>
      <c r="W63" s="21"/>
      <c r="X63" s="21"/>
      <c r="Y63" s="21"/>
      <c r="Z63" s="21"/>
      <c r="AA63" s="21"/>
      <c r="AB63" s="21">
        <v>1329</v>
      </c>
      <c r="AC63" s="21">
        <v>1247</v>
      </c>
    </row>
    <row r="64" spans="1:29" s="22" customFormat="1" x14ac:dyDescent="0.25">
      <c r="A64" s="21" t="s">
        <v>84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>
        <v>31</v>
      </c>
      <c r="O64" s="21">
        <f>62-N64</f>
        <v>31</v>
      </c>
      <c r="P64" s="21">
        <f>92-N64-O64</f>
        <v>30</v>
      </c>
      <c r="Q64" s="21">
        <v>30</v>
      </c>
      <c r="R64" s="21">
        <v>30</v>
      </c>
      <c r="S64" s="21"/>
      <c r="T64" s="21"/>
      <c r="U64" s="21"/>
      <c r="V64" s="21"/>
      <c r="W64" s="21"/>
      <c r="X64" s="21"/>
      <c r="Y64" s="21"/>
      <c r="Z64" s="21"/>
      <c r="AA64" s="21"/>
      <c r="AB64" s="21">
        <v>123</v>
      </c>
      <c r="AC64" s="21">
        <v>122</v>
      </c>
    </row>
    <row r="65" spans="1:29" s="22" customFormat="1" x14ac:dyDescent="0.25">
      <c r="A65" s="21" t="s">
        <v>115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>
        <v>0</v>
      </c>
      <c r="O65" s="21">
        <f>23-N65</f>
        <v>23</v>
      </c>
      <c r="P65" s="21">
        <f>72-N65-O65</f>
        <v>49</v>
      </c>
      <c r="Q65" s="21">
        <v>83</v>
      </c>
      <c r="R65" s="21">
        <v>0</v>
      </c>
      <c r="S65" s="21"/>
      <c r="T65" s="21"/>
      <c r="U65" s="21"/>
      <c r="V65" s="21"/>
      <c r="W65" s="21"/>
      <c r="X65" s="21"/>
      <c r="Y65" s="21"/>
      <c r="Z65" s="21"/>
      <c r="AA65" s="21"/>
      <c r="AB65" s="21">
        <v>189</v>
      </c>
      <c r="AC65" s="21">
        <v>155</v>
      </c>
    </row>
    <row r="66" spans="1:29" s="22" customFormat="1" x14ac:dyDescent="0.25">
      <c r="A66" s="21" t="s">
        <v>116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>
        <v>0</v>
      </c>
      <c r="O66" s="21">
        <f>73-N66</f>
        <v>73</v>
      </c>
      <c r="P66" s="21">
        <f>86-N66-O66</f>
        <v>13</v>
      </c>
      <c r="Q66" s="21">
        <v>96</v>
      </c>
      <c r="R66" s="21">
        <v>0</v>
      </c>
      <c r="S66" s="21"/>
      <c r="T66" s="21"/>
      <c r="U66" s="21"/>
      <c r="V66" s="21"/>
      <c r="W66" s="21"/>
      <c r="X66" s="21"/>
      <c r="Y66" s="21"/>
      <c r="Z66" s="21"/>
      <c r="AA66" s="21"/>
      <c r="AB66" s="21">
        <v>70</v>
      </c>
      <c r="AC66" s="21">
        <v>187</v>
      </c>
    </row>
    <row r="67" spans="1:29" s="22" customFormat="1" x14ac:dyDescent="0.25">
      <c r="A67" s="21" t="s">
        <v>117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>
        <v>0</v>
      </c>
      <c r="O67" s="21">
        <f>-48-N67</f>
        <v>-48</v>
      </c>
      <c r="P67" s="21">
        <f>-82-N67-O67</f>
        <v>-34</v>
      </c>
      <c r="Q67" s="21">
        <v>-14</v>
      </c>
      <c r="R67" s="21">
        <v>-41</v>
      </c>
      <c r="S67" s="21"/>
      <c r="T67" s="21"/>
      <c r="U67" s="21"/>
      <c r="V67" s="21"/>
      <c r="W67" s="21"/>
      <c r="X67" s="21"/>
      <c r="Y67" s="21"/>
      <c r="Z67" s="21"/>
      <c r="AA67" s="21"/>
      <c r="AB67" s="21">
        <v>-11</v>
      </c>
      <c r="AC67" s="21">
        <v>-96</v>
      </c>
    </row>
    <row r="68" spans="1:29" s="22" customFormat="1" x14ac:dyDescent="0.25">
      <c r="A68" s="21" t="s">
        <v>85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>
        <v>0</v>
      </c>
    </row>
    <row r="69" spans="1:29" s="22" customFormat="1" x14ac:dyDescent="0.25">
      <c r="A69" s="21" t="s">
        <v>86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>
        <v>52</v>
      </c>
      <c r="O69" s="21">
        <f>111-N69</f>
        <v>59</v>
      </c>
      <c r="P69" s="21">
        <f>168-N69-O69</f>
        <v>57</v>
      </c>
      <c r="Q69" s="21">
        <v>50</v>
      </c>
      <c r="R69" s="21">
        <v>60</v>
      </c>
      <c r="S69" s="21"/>
      <c r="T69" s="21"/>
      <c r="U69" s="21"/>
      <c r="V69" s="21"/>
      <c r="W69" s="21"/>
      <c r="X69" s="21"/>
      <c r="Y69" s="21"/>
      <c r="Z69" s="21"/>
      <c r="AA69" s="21"/>
      <c r="AB69" s="21">
        <v>175</v>
      </c>
      <c r="AC69" s="21">
        <v>218</v>
      </c>
    </row>
    <row r="70" spans="1:29" s="22" customFormat="1" x14ac:dyDescent="0.25">
      <c r="A70" s="21" t="s">
        <v>87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>
        <v>-18</v>
      </c>
      <c r="O70" s="21">
        <f>-127-N70</f>
        <v>-109</v>
      </c>
      <c r="P70" s="21">
        <f>-162-N70-O70</f>
        <v>-35</v>
      </c>
      <c r="Q70" s="21">
        <v>62</v>
      </c>
      <c r="R70" s="21">
        <v>-81</v>
      </c>
      <c r="S70" s="21"/>
      <c r="T70" s="21"/>
      <c r="U70" s="21"/>
      <c r="V70" s="21"/>
      <c r="W70" s="21"/>
      <c r="X70" s="21"/>
      <c r="Y70" s="21"/>
      <c r="Z70" s="21"/>
      <c r="AA70" s="21"/>
      <c r="AB70" s="21">
        <v>-191</v>
      </c>
      <c r="AC70" s="21">
        <v>-100</v>
      </c>
    </row>
    <row r="71" spans="1:29" s="22" customFormat="1" x14ac:dyDescent="0.25">
      <c r="A71" s="21" t="s">
        <v>88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>
        <v>-38</v>
      </c>
      <c r="O71" s="21">
        <f>-10-N71</f>
        <v>28</v>
      </c>
      <c r="P71" s="21">
        <f>37-N71-O71</f>
        <v>47</v>
      </c>
      <c r="Q71" s="21">
        <v>-112</v>
      </c>
      <c r="R71" s="21">
        <v>10</v>
      </c>
      <c r="S71" s="21"/>
      <c r="T71" s="21"/>
      <c r="U71" s="21"/>
      <c r="V71" s="21"/>
      <c r="W71" s="21"/>
      <c r="X71" s="21"/>
      <c r="Y71" s="21"/>
      <c r="Z71" s="21"/>
      <c r="AA71" s="21"/>
      <c r="AB71" s="21">
        <v>-46</v>
      </c>
      <c r="AC71" s="21">
        <v>-75</v>
      </c>
    </row>
    <row r="72" spans="1:29" s="22" customFormat="1" x14ac:dyDescent="0.25">
      <c r="A72" s="21" t="s">
        <v>89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>
        <v>8</v>
      </c>
      <c r="O72" s="21">
        <f>-108-N72</f>
        <v>-116</v>
      </c>
      <c r="P72" s="21">
        <f>-128-N72-O72</f>
        <v>-20</v>
      </c>
      <c r="Q72" s="21">
        <v>-33</v>
      </c>
      <c r="R72" s="21">
        <v>-39</v>
      </c>
      <c r="S72" s="21"/>
      <c r="T72" s="21"/>
      <c r="U72" s="21"/>
      <c r="V72" s="21"/>
      <c r="W72" s="21"/>
      <c r="X72" s="21"/>
      <c r="Y72" s="21"/>
      <c r="Z72" s="21"/>
      <c r="AA72" s="21"/>
      <c r="AB72" s="21">
        <v>-351</v>
      </c>
      <c r="AC72" s="21">
        <v>-161</v>
      </c>
    </row>
    <row r="73" spans="1:29" s="22" customFormat="1" x14ac:dyDescent="0.25">
      <c r="A73" s="21" t="s">
        <v>90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>
        <v>33</v>
      </c>
      <c r="O73" s="21">
        <f>50-N73</f>
        <v>17</v>
      </c>
      <c r="P73" s="21">
        <f>58-N73-O73</f>
        <v>8</v>
      </c>
      <c r="Q73" s="21">
        <v>3</v>
      </c>
      <c r="R73" s="21">
        <v>0</v>
      </c>
      <c r="S73" s="21"/>
      <c r="T73" s="21"/>
      <c r="U73" s="21"/>
      <c r="V73" s="21"/>
      <c r="W73" s="21"/>
      <c r="X73" s="21"/>
      <c r="Y73" s="21"/>
      <c r="Z73" s="21"/>
      <c r="AA73" s="21"/>
      <c r="AB73" s="21">
        <v>68</v>
      </c>
      <c r="AC73" s="21">
        <v>61</v>
      </c>
    </row>
    <row r="74" spans="1:29" s="22" customFormat="1" x14ac:dyDescent="0.25">
      <c r="A74" s="21" t="s">
        <v>114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>
        <f>99-N74</f>
        <v>99</v>
      </c>
      <c r="P74" s="21">
        <f>99-N74-O74</f>
        <v>0</v>
      </c>
      <c r="Q74" s="21">
        <v>0</v>
      </c>
      <c r="R74" s="21">
        <v>0</v>
      </c>
      <c r="S74" s="21"/>
      <c r="T74" s="21"/>
      <c r="U74" s="21"/>
      <c r="V74" s="21"/>
      <c r="W74" s="21"/>
      <c r="X74" s="21"/>
      <c r="Y74" s="21"/>
      <c r="Z74" s="21"/>
      <c r="AA74" s="21"/>
      <c r="AB74" s="21">
        <v>0</v>
      </c>
      <c r="AC74" s="21">
        <v>99</v>
      </c>
    </row>
    <row r="75" spans="1:29" s="22" customFormat="1" x14ac:dyDescent="0.25">
      <c r="A75" s="21" t="s">
        <v>61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>
        <v>-28</v>
      </c>
      <c r="O75" s="21">
        <f>-64-N75</f>
        <v>-36</v>
      </c>
      <c r="P75" s="21">
        <f>-137-N75-O75</f>
        <v>-73</v>
      </c>
      <c r="Q75" s="21">
        <v>187</v>
      </c>
      <c r="R75" s="21">
        <v>-161</v>
      </c>
      <c r="S75" s="21"/>
      <c r="T75" s="21"/>
      <c r="U75" s="21"/>
      <c r="V75" s="21"/>
      <c r="W75" s="21"/>
      <c r="X75" s="21"/>
      <c r="Y75" s="21"/>
      <c r="Z75" s="21"/>
      <c r="AA75" s="21"/>
      <c r="AB75" s="21">
        <v>113</v>
      </c>
      <c r="AC75" s="21">
        <v>50</v>
      </c>
    </row>
    <row r="76" spans="1:29" s="22" customFormat="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>
        <v>17</v>
      </c>
      <c r="O76" s="21">
        <f>58-N76</f>
        <v>41</v>
      </c>
      <c r="P76" s="21">
        <f>131-N76-O76</f>
        <v>73</v>
      </c>
      <c r="Q76" s="21">
        <v>26</v>
      </c>
      <c r="R76" s="21">
        <v>-86</v>
      </c>
      <c r="S76" s="21"/>
      <c r="T76" s="21"/>
      <c r="U76" s="21"/>
      <c r="V76" s="21"/>
      <c r="W76" s="21"/>
      <c r="X76" s="21"/>
      <c r="Y76" s="21"/>
      <c r="Z76" s="21"/>
      <c r="AA76" s="21"/>
      <c r="AB76" s="21">
        <v>-522</v>
      </c>
      <c r="AC76" s="21">
        <v>157</v>
      </c>
    </row>
    <row r="77" spans="1:29" s="22" customFormat="1" x14ac:dyDescent="0.25">
      <c r="A77" s="21" t="s">
        <v>63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>
        <v>-62</v>
      </c>
      <c r="O77" s="21">
        <f>-49-N77</f>
        <v>13</v>
      </c>
      <c r="P77" s="21">
        <f>-58-N77-O77</f>
        <v>-9</v>
      </c>
      <c r="Q77" s="21">
        <v>-22</v>
      </c>
      <c r="R77" s="21">
        <v>2</v>
      </c>
      <c r="S77" s="21"/>
      <c r="T77" s="21"/>
      <c r="U77" s="21"/>
      <c r="V77" s="21"/>
      <c r="W77" s="21"/>
      <c r="X77" s="21"/>
      <c r="Y77" s="21"/>
      <c r="Z77" s="21"/>
      <c r="AA77" s="21"/>
      <c r="AB77" s="21">
        <v>-139</v>
      </c>
      <c r="AC77" s="21">
        <v>-80</v>
      </c>
    </row>
    <row r="78" spans="1:29" s="22" customFormat="1" x14ac:dyDescent="0.25">
      <c r="A78" s="21" t="s">
        <v>71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>
        <v>-369</v>
      </c>
      <c r="O78" s="21">
        <f>-436-N78</f>
        <v>-67</v>
      </c>
      <c r="P78" s="21">
        <f>-263-N78-O78</f>
        <v>173</v>
      </c>
      <c r="Q78" s="21">
        <v>25</v>
      </c>
      <c r="R78" s="21">
        <v>-73</v>
      </c>
      <c r="S78" s="21"/>
      <c r="T78" s="21"/>
      <c r="U78" s="21"/>
      <c r="V78" s="21"/>
      <c r="W78" s="21"/>
      <c r="X78" s="21"/>
      <c r="Y78" s="21"/>
      <c r="Z78" s="21"/>
      <c r="AA78" s="21"/>
      <c r="AB78" s="21">
        <v>349</v>
      </c>
      <c r="AC78" s="21">
        <v>-238</v>
      </c>
    </row>
    <row r="79" spans="1:29" s="22" customFormat="1" x14ac:dyDescent="0.25">
      <c r="A79" s="21" t="s">
        <v>92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>
        <v>-17</v>
      </c>
      <c r="O79" s="21">
        <f>-6-N79</f>
        <v>11</v>
      </c>
      <c r="P79" s="21">
        <f>-17-N79-O79</f>
        <v>-11</v>
      </c>
      <c r="Q79" s="21">
        <v>-25</v>
      </c>
      <c r="R79" s="21">
        <v>-25</v>
      </c>
      <c r="S79" s="21"/>
      <c r="T79" s="21"/>
      <c r="U79" s="21"/>
      <c r="V79" s="21"/>
      <c r="W79" s="21"/>
      <c r="X79" s="21"/>
      <c r="Y79" s="21"/>
      <c r="Z79" s="21"/>
      <c r="AA79" s="21"/>
      <c r="AB79" s="21">
        <v>110</v>
      </c>
      <c r="AC79" s="21">
        <v>-42</v>
      </c>
    </row>
    <row r="80" spans="1:29" s="22" customFormat="1" x14ac:dyDescent="0.25">
      <c r="A80" s="21" t="s">
        <v>93</v>
      </c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>
        <v>-6</v>
      </c>
      <c r="O80" s="21">
        <f>-24-N80</f>
        <v>-18</v>
      </c>
      <c r="P80" s="21">
        <f>-11-N80-O80</f>
        <v>13</v>
      </c>
      <c r="Q80" s="21">
        <v>6</v>
      </c>
      <c r="R80" s="21">
        <v>-34</v>
      </c>
      <c r="S80" s="21"/>
      <c r="T80" s="21"/>
      <c r="U80" s="21"/>
      <c r="V80" s="21"/>
      <c r="W80" s="21"/>
      <c r="X80" s="21"/>
      <c r="Y80" s="21"/>
      <c r="Z80" s="21"/>
      <c r="AA80" s="21"/>
      <c r="AB80" s="21">
        <v>-49</v>
      </c>
      <c r="AC80" s="21">
        <v>-5</v>
      </c>
    </row>
    <row r="81" spans="1:29" s="22" customFormat="1" x14ac:dyDescent="0.25">
      <c r="A81" s="21" t="s">
        <v>94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>
        <v>-153</v>
      </c>
      <c r="O81" s="21">
        <f>-150-N81</f>
        <v>3</v>
      </c>
      <c r="P81" s="21">
        <f>-201-N81-O81</f>
        <v>-51</v>
      </c>
      <c r="Q81" s="21">
        <v>64</v>
      </c>
      <c r="R81" s="21">
        <v>2</v>
      </c>
      <c r="S81" s="21"/>
      <c r="T81" s="21"/>
      <c r="U81" s="21"/>
      <c r="V81" s="21"/>
      <c r="W81" s="21"/>
      <c r="X81" s="21"/>
      <c r="Y81" s="21"/>
      <c r="Z81" s="21"/>
      <c r="AA81" s="21"/>
      <c r="AB81" s="21">
        <v>12</v>
      </c>
      <c r="AC81" s="21">
        <v>-142</v>
      </c>
    </row>
    <row r="82" spans="1:29" s="24" customFormat="1" x14ac:dyDescent="0.25">
      <c r="A82" s="23" t="s">
        <v>95</v>
      </c>
      <c r="B82" s="23">
        <f t="shared" ref="B82:M82" si="95">SUM(B62:B81)</f>
        <v>-70</v>
      </c>
      <c r="C82" s="23">
        <f t="shared" si="95"/>
        <v>-43</v>
      </c>
      <c r="D82" s="23">
        <f t="shared" si="95"/>
        <v>460</v>
      </c>
      <c r="E82" s="23">
        <f t="shared" si="95"/>
        <v>286</v>
      </c>
      <c r="F82" s="23">
        <f t="shared" si="95"/>
        <v>631</v>
      </c>
      <c r="G82" s="23">
        <f t="shared" si="95"/>
        <v>482</v>
      </c>
      <c r="H82" s="23">
        <f t="shared" si="95"/>
        <v>403</v>
      </c>
      <c r="I82" s="23">
        <f t="shared" si="95"/>
        <v>528</v>
      </c>
      <c r="J82" s="23">
        <f t="shared" si="95"/>
        <v>634</v>
      </c>
      <c r="K82" s="23">
        <f t="shared" si="95"/>
        <v>614</v>
      </c>
      <c r="L82" s="23">
        <f t="shared" si="95"/>
        <v>257</v>
      </c>
      <c r="M82" s="23">
        <f t="shared" si="95"/>
        <v>4</v>
      </c>
      <c r="N82" s="23">
        <f>SUM(N62:N81)</f>
        <v>-18</v>
      </c>
      <c r="O82" s="23">
        <f>SUM(O62:O81)</f>
        <v>588</v>
      </c>
      <c r="P82" s="23">
        <f t="shared" ref="P82:Q82" si="96">SUM(P62:P81)</f>
        <v>752</v>
      </c>
      <c r="Q82" s="23">
        <f t="shared" si="96"/>
        <v>743</v>
      </c>
      <c r="R82" s="23">
        <f t="shared" ref="R82:S82" si="97">SUM(R62:R81)</f>
        <v>126</v>
      </c>
      <c r="S82" s="23">
        <f t="shared" si="97"/>
        <v>0</v>
      </c>
      <c r="T82" s="23">
        <f t="shared" ref="T82:U82" si="98">SUM(T62:T81)</f>
        <v>0</v>
      </c>
      <c r="U82" s="23">
        <f t="shared" si="98"/>
        <v>0</v>
      </c>
      <c r="V82" s="23"/>
      <c r="W82" s="23"/>
      <c r="X82" s="23"/>
      <c r="Y82" s="23"/>
      <c r="Z82" s="23"/>
      <c r="AA82" s="23"/>
      <c r="AB82" s="23">
        <f>SUM(AB62:AB81)</f>
        <v>2615</v>
      </c>
      <c r="AC82" s="23">
        <f>SUM(AC62:AC81)</f>
        <v>2005</v>
      </c>
    </row>
    <row r="83" spans="1:29" s="22" customFormat="1" x14ac:dyDescent="0.25">
      <c r="A83" s="21" t="s">
        <v>96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>
        <v>-382</v>
      </c>
      <c r="O83" s="21">
        <f>-770-N83</f>
        <v>-388</v>
      </c>
      <c r="P83" s="21">
        <f>-1111-N83-O83</f>
        <v>-341</v>
      </c>
      <c r="Q83" s="21">
        <v>-279</v>
      </c>
      <c r="R83" s="21">
        <v>-252</v>
      </c>
      <c r="S83" s="21"/>
      <c r="T83" s="21"/>
      <c r="U83" s="21"/>
      <c r="V83" s="21"/>
      <c r="W83" s="21"/>
      <c r="X83" s="21"/>
      <c r="Y83" s="21"/>
      <c r="Z83" s="21"/>
      <c r="AA83" s="21"/>
      <c r="AB83" s="21">
        <v>-1604</v>
      </c>
      <c r="AC83" s="21">
        <v>-1390</v>
      </c>
    </row>
    <row r="84" spans="1:29" s="22" customFormat="1" x14ac:dyDescent="0.25">
      <c r="A84" s="21" t="s">
        <v>97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>
        <v>67</v>
      </c>
      <c r="O84" s="21">
        <f>67-N84</f>
        <v>0</v>
      </c>
      <c r="P84" s="21">
        <f>67-N84-O84</f>
        <v>0</v>
      </c>
      <c r="Q84" s="21">
        <v>0</v>
      </c>
      <c r="R84" s="21">
        <v>0</v>
      </c>
      <c r="S84" s="21"/>
      <c r="T84" s="21"/>
      <c r="U84" s="21"/>
      <c r="V84" s="21"/>
      <c r="W84" s="21"/>
      <c r="X84" s="21"/>
      <c r="Y84" s="21"/>
      <c r="Z84" s="21"/>
      <c r="AA84" s="21"/>
      <c r="AB84" s="21">
        <v>0</v>
      </c>
      <c r="AC84" s="21">
        <v>67</v>
      </c>
    </row>
    <row r="85" spans="1:29" s="22" customFormat="1" x14ac:dyDescent="0.25">
      <c r="A85" s="21" t="s">
        <v>98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/>
      <c r="T85" s="21"/>
      <c r="U85" s="21"/>
      <c r="V85" s="21"/>
      <c r="W85" s="21"/>
      <c r="X85" s="21"/>
      <c r="Y85" s="21"/>
      <c r="Z85" s="21"/>
      <c r="AA85" s="21"/>
      <c r="AB85" s="21">
        <v>76</v>
      </c>
      <c r="AC85" s="21">
        <v>0</v>
      </c>
    </row>
    <row r="86" spans="1:29" s="22" customFormat="1" x14ac:dyDescent="0.25">
      <c r="A86" s="21" t="s">
        <v>123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>
        <v>0</v>
      </c>
      <c r="O86" s="21">
        <v>0</v>
      </c>
      <c r="P86" s="21">
        <v>0</v>
      </c>
      <c r="Q86" s="21">
        <v>1</v>
      </c>
      <c r="R86" s="21">
        <v>0</v>
      </c>
      <c r="S86" s="21"/>
      <c r="T86" s="21"/>
      <c r="U86" s="21"/>
      <c r="V86" s="21"/>
      <c r="W86" s="21"/>
      <c r="X86" s="21"/>
      <c r="Y86" s="21"/>
      <c r="Z86" s="21"/>
      <c r="AA86" s="21"/>
      <c r="AB86" s="21">
        <v>-38</v>
      </c>
      <c r="AC86" s="21">
        <v>-17</v>
      </c>
    </row>
    <row r="87" spans="1:29" s="22" customFormat="1" x14ac:dyDescent="0.25">
      <c r="A87" s="21" t="s">
        <v>99</v>
      </c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>
        <v>81</v>
      </c>
      <c r="O87" s="21">
        <f>177-N87</f>
        <v>96</v>
      </c>
      <c r="P87" s="21">
        <f>270-N87-O87</f>
        <v>93</v>
      </c>
      <c r="Q87" s="21">
        <v>56</v>
      </c>
      <c r="R87" s="21">
        <v>94</v>
      </c>
      <c r="S87" s="21"/>
      <c r="T87" s="21"/>
      <c r="U87" s="21"/>
      <c r="V87" s="21"/>
      <c r="W87" s="21"/>
      <c r="X87" s="21"/>
      <c r="Y87" s="21"/>
      <c r="Z87" s="21"/>
      <c r="AA87" s="21"/>
      <c r="AB87" s="21">
        <v>300</v>
      </c>
      <c r="AC87" s="21">
        <v>326</v>
      </c>
    </row>
    <row r="88" spans="1:29" s="22" customFormat="1" x14ac:dyDescent="0.25">
      <c r="A88" s="21" t="s">
        <v>124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>
        <v>0</v>
      </c>
      <c r="O88" s="21">
        <v>0</v>
      </c>
      <c r="P88" s="21">
        <v>0</v>
      </c>
      <c r="Q88" s="21">
        <v>-9</v>
      </c>
      <c r="R88" s="21">
        <v>0</v>
      </c>
      <c r="S88" s="21"/>
      <c r="T88" s="21"/>
      <c r="U88" s="21"/>
      <c r="V88" s="21"/>
      <c r="W88" s="21"/>
      <c r="X88" s="21"/>
      <c r="Y88" s="21"/>
      <c r="Z88" s="21"/>
      <c r="AA88" s="21"/>
      <c r="AB88" s="21">
        <v>-75</v>
      </c>
      <c r="AC88" s="21">
        <v>-9</v>
      </c>
    </row>
    <row r="89" spans="1:29" s="22" customFormat="1" x14ac:dyDescent="0.25">
      <c r="A89" s="21" t="s">
        <v>94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>
        <v>6</v>
      </c>
      <c r="O89" s="21">
        <f>11-N89</f>
        <v>5</v>
      </c>
      <c r="P89" s="21">
        <f>4-N89-O89</f>
        <v>-7</v>
      </c>
      <c r="Q89" s="21">
        <v>1</v>
      </c>
      <c r="R89" s="21">
        <v>-26</v>
      </c>
      <c r="S89" s="21"/>
      <c r="T89" s="21"/>
      <c r="U89" s="21"/>
      <c r="V89" s="21"/>
      <c r="W89" s="21"/>
      <c r="X89" s="21"/>
      <c r="Y89" s="21"/>
      <c r="Z89" s="21"/>
      <c r="AA89" s="21"/>
      <c r="AB89" s="21">
        <v>-14</v>
      </c>
      <c r="AC89" s="21">
        <v>23</v>
      </c>
    </row>
    <row r="90" spans="1:29" s="24" customFormat="1" x14ac:dyDescent="0.25">
      <c r="A90" s="23" t="s">
        <v>100</v>
      </c>
      <c r="B90" s="23">
        <f t="shared" ref="B90:M90" si="99">SUM(B83:B89)</f>
        <v>0</v>
      </c>
      <c r="C90" s="23">
        <f t="shared" si="99"/>
        <v>0</v>
      </c>
      <c r="D90" s="23">
        <f t="shared" si="99"/>
        <v>0</v>
      </c>
      <c r="E90" s="23">
        <f t="shared" si="99"/>
        <v>0</v>
      </c>
      <c r="F90" s="23">
        <f t="shared" si="99"/>
        <v>0</v>
      </c>
      <c r="G90" s="23">
        <f t="shared" si="99"/>
        <v>0</v>
      </c>
      <c r="H90" s="23">
        <f t="shared" si="99"/>
        <v>0</v>
      </c>
      <c r="I90" s="23">
        <f t="shared" si="99"/>
        <v>0</v>
      </c>
      <c r="J90" s="23">
        <f t="shared" si="99"/>
        <v>0</v>
      </c>
      <c r="K90" s="23">
        <f t="shared" si="99"/>
        <v>0</v>
      </c>
      <c r="L90" s="23">
        <f t="shared" si="99"/>
        <v>0</v>
      </c>
      <c r="M90" s="23">
        <f t="shared" si="99"/>
        <v>0</v>
      </c>
      <c r="N90" s="23">
        <f>SUM(N83:N89)</f>
        <v>-228</v>
      </c>
      <c r="O90" s="23">
        <f t="shared" ref="O90:Q90" si="100">SUM(O83:O89)</f>
        <v>-287</v>
      </c>
      <c r="P90" s="23">
        <f t="shared" si="100"/>
        <v>-255</v>
      </c>
      <c r="Q90" s="23">
        <f t="shared" si="100"/>
        <v>-230</v>
      </c>
      <c r="R90" s="23">
        <f t="shared" ref="R90:S90" si="101">SUM(R83:R89)</f>
        <v>-184</v>
      </c>
      <c r="S90" s="23">
        <f t="shared" si="101"/>
        <v>0</v>
      </c>
      <c r="T90" s="23">
        <f t="shared" ref="T90:U90" si="102">SUM(T83:T89)</f>
        <v>0</v>
      </c>
      <c r="U90" s="23">
        <f t="shared" si="102"/>
        <v>0</v>
      </c>
      <c r="V90" s="23"/>
      <c r="W90" s="23"/>
      <c r="X90" s="23"/>
      <c r="Y90" s="23"/>
      <c r="Z90" s="23"/>
      <c r="AA90" s="23"/>
      <c r="AB90" s="23">
        <f>SUM(AB83:AB89)</f>
        <v>-1355</v>
      </c>
      <c r="AC90" s="23">
        <f>SUM(AC83:AC89)</f>
        <v>-1000</v>
      </c>
    </row>
    <row r="91" spans="1:29" s="22" customFormat="1" x14ac:dyDescent="0.25">
      <c r="A91" s="21" t="s">
        <v>101</v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>
        <v>-69</v>
      </c>
      <c r="O91" s="21">
        <f>-73-N91</f>
        <v>-4</v>
      </c>
      <c r="P91" s="21">
        <f>-180-N91-O91</f>
        <v>-107</v>
      </c>
      <c r="Q91" s="21">
        <v>-104</v>
      </c>
      <c r="R91" s="21">
        <v>-37</v>
      </c>
      <c r="S91" s="21"/>
      <c r="T91" s="21"/>
      <c r="U91" s="21"/>
      <c r="V91" s="21"/>
      <c r="W91" s="21"/>
      <c r="X91" s="21"/>
      <c r="Y91" s="21"/>
      <c r="Z91" s="21"/>
      <c r="AA91" s="21"/>
      <c r="AB91" s="21">
        <v>-87</v>
      </c>
      <c r="AC91" s="21">
        <v>-284</v>
      </c>
    </row>
    <row r="92" spans="1:29" s="22" customFormat="1" x14ac:dyDescent="0.25">
      <c r="A92" s="21" t="s">
        <v>120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>
        <v>0</v>
      </c>
      <c r="O92" s="21">
        <v>0</v>
      </c>
      <c r="P92" s="21">
        <f>30-N92-O92</f>
        <v>30</v>
      </c>
      <c r="Q92" s="21">
        <v>2</v>
      </c>
      <c r="R92" s="21">
        <v>0</v>
      </c>
      <c r="S92" s="21"/>
      <c r="T92" s="21"/>
      <c r="U92" s="21"/>
      <c r="V92" s="21"/>
      <c r="W92" s="21"/>
      <c r="X92" s="21"/>
      <c r="Y92" s="21"/>
      <c r="Z92" s="21"/>
      <c r="AA92" s="21"/>
      <c r="AB92" s="21">
        <v>127</v>
      </c>
      <c r="AC92" s="21">
        <v>82</v>
      </c>
    </row>
    <row r="93" spans="1:29" s="22" customFormat="1" x14ac:dyDescent="0.25">
      <c r="A93" s="21" t="s">
        <v>122</v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>
        <v>0</v>
      </c>
      <c r="O93" s="21">
        <v>918</v>
      </c>
      <c r="P93" s="21">
        <f>968-N93-O93</f>
        <v>50</v>
      </c>
      <c r="Q93" s="21">
        <v>0</v>
      </c>
      <c r="R93" s="21">
        <v>0</v>
      </c>
      <c r="S93" s="21"/>
      <c r="T93" s="21"/>
      <c r="U93" s="21"/>
      <c r="V93" s="21"/>
      <c r="W93" s="21"/>
      <c r="X93" s="21"/>
      <c r="Y93" s="21"/>
      <c r="Z93" s="21"/>
      <c r="AA93" s="21"/>
      <c r="AB93" s="21">
        <v>0</v>
      </c>
      <c r="AC93" s="21">
        <v>918</v>
      </c>
    </row>
    <row r="94" spans="1:29" s="22" customFormat="1" x14ac:dyDescent="0.25">
      <c r="A94" s="21" t="s">
        <v>102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>
        <v>54</v>
      </c>
      <c r="O94" s="21">
        <f>54-N94</f>
        <v>0</v>
      </c>
      <c r="P94" s="21">
        <f>54-N94-O94</f>
        <v>0</v>
      </c>
      <c r="Q94" s="21">
        <v>0</v>
      </c>
      <c r="R94" s="21">
        <v>0</v>
      </c>
      <c r="S94" s="21"/>
      <c r="T94" s="21"/>
      <c r="U94" s="21"/>
      <c r="V94" s="21"/>
      <c r="W94" s="21"/>
      <c r="X94" s="21"/>
      <c r="Y94" s="21"/>
      <c r="Z94" s="21"/>
      <c r="AA94" s="21"/>
      <c r="AB94" s="21">
        <v>0</v>
      </c>
      <c r="AC94" s="21">
        <v>54</v>
      </c>
    </row>
    <row r="95" spans="1:29" s="22" customFormat="1" x14ac:dyDescent="0.25">
      <c r="A95" s="21" t="s">
        <v>121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>
        <v>0</v>
      </c>
      <c r="O95" s="21">
        <v>0</v>
      </c>
      <c r="P95" s="21">
        <f>-54-N95-O95</f>
        <v>-54</v>
      </c>
      <c r="Q95" s="21">
        <v>0</v>
      </c>
      <c r="R95" s="21">
        <v>0</v>
      </c>
      <c r="S95" s="21"/>
      <c r="T95" s="21"/>
      <c r="U95" s="21"/>
      <c r="V95" s="21"/>
      <c r="W95" s="21"/>
      <c r="X95" s="21"/>
      <c r="Y95" s="21"/>
      <c r="Z95" s="21"/>
      <c r="AA95" s="21"/>
      <c r="AB95" s="21">
        <v>0</v>
      </c>
      <c r="AC95" s="21">
        <v>-54</v>
      </c>
    </row>
    <row r="96" spans="1:29" s="22" customFormat="1" x14ac:dyDescent="0.25">
      <c r="A96" s="21" t="s">
        <v>118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>
        <v>0</v>
      </c>
      <c r="O96" s="21">
        <f>-507-N96</f>
        <v>-507</v>
      </c>
      <c r="P96" s="21">
        <f>-507-N96-O96</f>
        <v>0</v>
      </c>
      <c r="Q96" s="21">
        <v>0</v>
      </c>
      <c r="R96" s="21">
        <v>0</v>
      </c>
      <c r="S96" s="21"/>
      <c r="T96" s="21"/>
      <c r="U96" s="21"/>
      <c r="V96" s="21"/>
      <c r="W96" s="21"/>
      <c r="X96" s="21"/>
      <c r="Y96" s="21"/>
      <c r="Z96" s="21"/>
      <c r="AA96" s="21"/>
      <c r="AB96" s="21">
        <v>-507</v>
      </c>
      <c r="AC96" s="21">
        <v>-507</v>
      </c>
    </row>
    <row r="97" spans="1:29" s="22" customFormat="1" x14ac:dyDescent="0.25">
      <c r="A97" s="21" t="s">
        <v>119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>
        <v>0</v>
      </c>
      <c r="O97" s="21">
        <f>-99-N97</f>
        <v>-99</v>
      </c>
      <c r="P97" s="21">
        <f>-103-N97-O97</f>
        <v>-4</v>
      </c>
      <c r="Q97" s="21">
        <v>-3</v>
      </c>
      <c r="R97" s="21">
        <v>-34</v>
      </c>
      <c r="S97" s="21"/>
      <c r="T97" s="21"/>
      <c r="U97" s="21"/>
      <c r="V97" s="21"/>
      <c r="W97" s="21"/>
      <c r="X97" s="21"/>
      <c r="Y97" s="21"/>
      <c r="Z97" s="21"/>
      <c r="AA97" s="21"/>
      <c r="AB97" s="21">
        <v>-47</v>
      </c>
      <c r="AC97" s="21">
        <v>-106</v>
      </c>
    </row>
    <row r="98" spans="1:29" s="22" customFormat="1" x14ac:dyDescent="0.25">
      <c r="A98" s="21" t="s">
        <v>103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>
        <v>16</v>
      </c>
      <c r="O98" s="21">
        <f>35-N98</f>
        <v>19</v>
      </c>
      <c r="P98" s="21">
        <f>39-N98-O98</f>
        <v>4</v>
      </c>
      <c r="Q98" s="21">
        <v>3</v>
      </c>
      <c r="R98" s="21">
        <v>13</v>
      </c>
      <c r="S98" s="21"/>
      <c r="T98" s="21"/>
      <c r="U98" s="21"/>
      <c r="V98" s="21"/>
      <c r="W98" s="21"/>
      <c r="X98" s="21"/>
      <c r="Y98" s="21"/>
      <c r="Z98" s="21"/>
      <c r="AA98" s="21"/>
      <c r="AB98" s="21">
        <v>40</v>
      </c>
      <c r="AC98" s="21">
        <v>42</v>
      </c>
    </row>
    <row r="99" spans="1:29" s="22" customFormat="1" x14ac:dyDescent="0.25">
      <c r="A99" s="21" t="s">
        <v>104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1"/>
      <c r="T99" s="21"/>
      <c r="U99" s="21"/>
      <c r="V99" s="21"/>
      <c r="W99" s="21"/>
      <c r="X99" s="21"/>
      <c r="Y99" s="21"/>
      <c r="Z99" s="21"/>
      <c r="AA99" s="21"/>
      <c r="AB99" s="21">
        <v>-221</v>
      </c>
      <c r="AC99" s="21">
        <v>0</v>
      </c>
    </row>
    <row r="100" spans="1:29" s="22" customFormat="1" x14ac:dyDescent="0.25">
      <c r="A100" s="21" t="s">
        <v>105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>
        <v>-239</v>
      </c>
      <c r="O100" s="21">
        <f>-495-N100</f>
        <v>-256</v>
      </c>
      <c r="P100" s="21">
        <f>-741-N100-O100</f>
        <v>-246</v>
      </c>
      <c r="Q100" s="21">
        <v>-248</v>
      </c>
      <c r="R100" s="21">
        <v>-243</v>
      </c>
      <c r="S100" s="21"/>
      <c r="T100" s="21"/>
      <c r="U100" s="21"/>
      <c r="V100" s="21"/>
      <c r="W100" s="21"/>
      <c r="X100" s="21"/>
      <c r="Y100" s="21"/>
      <c r="Z100" s="21"/>
      <c r="AA100" s="21"/>
      <c r="AB100" s="21">
        <v>-932</v>
      </c>
      <c r="AC100" s="21">
        <v>-989</v>
      </c>
    </row>
    <row r="101" spans="1:29" s="22" customFormat="1" x14ac:dyDescent="0.25">
      <c r="A101" s="21" t="s">
        <v>94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>
        <v>-10</v>
      </c>
      <c r="O101" s="21">
        <f>-17-N101</f>
        <v>-7</v>
      </c>
      <c r="P101" s="21">
        <f>-26-N101-O101</f>
        <v>-9</v>
      </c>
      <c r="Q101" s="21">
        <v>-13</v>
      </c>
      <c r="R101" s="21">
        <v>-7</v>
      </c>
      <c r="S101" s="21"/>
      <c r="T101" s="21"/>
      <c r="U101" s="21"/>
      <c r="V101" s="21"/>
      <c r="W101" s="21"/>
      <c r="X101" s="21"/>
      <c r="Y101" s="21"/>
      <c r="Z101" s="21"/>
      <c r="AA101" s="21"/>
      <c r="AB101" s="21">
        <v>-22</v>
      </c>
      <c r="AC101" s="21">
        <v>-39</v>
      </c>
    </row>
    <row r="102" spans="1:29" s="24" customFormat="1" x14ac:dyDescent="0.25">
      <c r="A102" s="23" t="s">
        <v>106</v>
      </c>
      <c r="B102" s="23">
        <f t="shared" ref="B102:U102" si="103">SUM(B91:B101)</f>
        <v>0</v>
      </c>
      <c r="C102" s="23">
        <f t="shared" si="103"/>
        <v>0</v>
      </c>
      <c r="D102" s="23">
        <f t="shared" si="103"/>
        <v>0</v>
      </c>
      <c r="E102" s="23">
        <f t="shared" si="103"/>
        <v>0</v>
      </c>
      <c r="F102" s="23">
        <f t="shared" si="103"/>
        <v>0</v>
      </c>
      <c r="G102" s="23">
        <f t="shared" si="103"/>
        <v>0</v>
      </c>
      <c r="H102" s="23">
        <f t="shared" si="103"/>
        <v>0</v>
      </c>
      <c r="I102" s="23">
        <f t="shared" si="103"/>
        <v>0</v>
      </c>
      <c r="J102" s="23">
        <f t="shared" si="103"/>
        <v>0</v>
      </c>
      <c r="K102" s="23">
        <f t="shared" si="103"/>
        <v>0</v>
      </c>
      <c r="L102" s="23">
        <f t="shared" si="103"/>
        <v>0</v>
      </c>
      <c r="M102" s="23">
        <f t="shared" si="103"/>
        <v>0</v>
      </c>
      <c r="N102" s="23">
        <f t="shared" si="103"/>
        <v>-248</v>
      </c>
      <c r="O102" s="23">
        <f t="shared" si="103"/>
        <v>64</v>
      </c>
      <c r="P102" s="23">
        <f t="shared" si="103"/>
        <v>-336</v>
      </c>
      <c r="Q102" s="23">
        <f t="shared" si="103"/>
        <v>-363</v>
      </c>
      <c r="R102" s="23">
        <f t="shared" si="103"/>
        <v>-308</v>
      </c>
      <c r="S102" s="23">
        <f t="shared" si="103"/>
        <v>0</v>
      </c>
      <c r="T102" s="23">
        <f t="shared" si="103"/>
        <v>0</v>
      </c>
      <c r="U102" s="23">
        <f t="shared" si="103"/>
        <v>0</v>
      </c>
      <c r="V102" s="23"/>
      <c r="W102" s="23"/>
      <c r="X102" s="23"/>
      <c r="Y102" s="23"/>
      <c r="Z102" s="23"/>
      <c r="AA102" s="23"/>
      <c r="AB102" s="23">
        <f>SUM(AB91:AB101)</f>
        <v>-1649</v>
      </c>
      <c r="AC102" s="23">
        <f>SUM(AC91:AC101)</f>
        <v>-883</v>
      </c>
    </row>
    <row r="103" spans="1:29" s="22" customFormat="1" x14ac:dyDescent="0.25">
      <c r="A103" s="21" t="s">
        <v>107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>
        <v>0</v>
      </c>
      <c r="O103" s="21">
        <v>-24</v>
      </c>
      <c r="P103" s="21">
        <f>-34-O103</f>
        <v>-10</v>
      </c>
      <c r="Q103" s="21">
        <v>20</v>
      </c>
      <c r="R103" s="21">
        <v>-18</v>
      </c>
      <c r="S103" s="21"/>
      <c r="T103" s="21"/>
      <c r="U103" s="21"/>
      <c r="V103" s="21"/>
      <c r="W103" s="21"/>
      <c r="X103" s="21"/>
      <c r="Y103" s="21"/>
      <c r="Z103" s="21"/>
      <c r="AA103" s="21"/>
      <c r="AB103" s="21">
        <v>-88</v>
      </c>
      <c r="AC103" s="21">
        <v>-14</v>
      </c>
    </row>
    <row r="104" spans="1:29" s="22" customFormat="1" x14ac:dyDescent="0.25">
      <c r="A104" s="21" t="s">
        <v>108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>
        <v>-525</v>
      </c>
      <c r="O104" s="21">
        <v>-133</v>
      </c>
      <c r="P104" s="21">
        <v>-32</v>
      </c>
      <c r="Q104" s="21">
        <v>140</v>
      </c>
      <c r="R104" s="21">
        <v>-414</v>
      </c>
      <c r="S104" s="21"/>
      <c r="T104" s="21"/>
      <c r="U104" s="21"/>
      <c r="V104" s="21"/>
      <c r="W104" s="21"/>
      <c r="X104" s="21"/>
      <c r="Y104" s="21"/>
      <c r="Z104" s="21"/>
      <c r="AA104" s="21"/>
      <c r="AB104" s="21">
        <v>-477</v>
      </c>
      <c r="AC104" s="21">
        <v>108</v>
      </c>
    </row>
    <row r="105" spans="1:29" s="22" customFormat="1" x14ac:dyDescent="0.25">
      <c r="A105" s="21" t="s">
        <v>109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>
        <v>1671</v>
      </c>
      <c r="O105" s="21">
        <v>1671</v>
      </c>
      <c r="P105" s="21">
        <v>1671</v>
      </c>
      <c r="Q105" s="21">
        <v>1639</v>
      </c>
      <c r="R105" s="21">
        <v>1779</v>
      </c>
      <c r="S105" s="21"/>
      <c r="T105" s="21"/>
      <c r="U105" s="21"/>
      <c r="V105" s="21"/>
      <c r="W105" s="21"/>
      <c r="X105" s="21"/>
      <c r="Y105" s="21"/>
      <c r="Z105" s="21"/>
      <c r="AA105" s="21"/>
      <c r="AB105" s="21">
        <v>2148</v>
      </c>
      <c r="AC105" s="21">
        <v>1671</v>
      </c>
    </row>
    <row r="106" spans="1:29" s="22" customFormat="1" x14ac:dyDescent="0.25">
      <c r="A106" s="21" t="s">
        <v>110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>
        <f>SUM(N103:N105)</f>
        <v>1146</v>
      </c>
      <c r="O106" s="21">
        <f t="shared" ref="O106:U106" si="104">SUM(O104:O105)</f>
        <v>1538</v>
      </c>
      <c r="P106" s="21">
        <f t="shared" si="104"/>
        <v>1639</v>
      </c>
      <c r="Q106" s="21">
        <f t="shared" si="104"/>
        <v>1779</v>
      </c>
      <c r="R106" s="21">
        <f t="shared" si="104"/>
        <v>1365</v>
      </c>
      <c r="S106" s="21">
        <f t="shared" si="104"/>
        <v>0</v>
      </c>
      <c r="T106" s="21">
        <f t="shared" si="104"/>
        <v>0</v>
      </c>
      <c r="U106" s="21">
        <f t="shared" si="104"/>
        <v>0</v>
      </c>
      <c r="V106" s="21"/>
      <c r="W106" s="21"/>
      <c r="X106" s="21"/>
      <c r="Y106" s="21"/>
      <c r="Z106" s="21"/>
      <c r="AA106" s="21"/>
      <c r="AB106" s="21">
        <f>SUM(AB104:AB105)</f>
        <v>1671</v>
      </c>
      <c r="AC106" s="21">
        <f>SUM(AC104:AC105)</f>
        <v>1779</v>
      </c>
    </row>
    <row r="108" spans="1:29" s="32" customFormat="1" ht="14.4" x14ac:dyDescent="0.3">
      <c r="A108" s="30" t="s">
        <v>125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7">
        <f t="shared" ref="N108:P108" si="105">N102+N90+N82</f>
        <v>-494</v>
      </c>
      <c r="O108" s="37">
        <f t="shared" si="105"/>
        <v>365</v>
      </c>
      <c r="P108" s="37">
        <f t="shared" si="105"/>
        <v>161</v>
      </c>
      <c r="Q108" s="37">
        <f>Q102+Q90+Q82</f>
        <v>150</v>
      </c>
      <c r="R108" s="37">
        <f>R102+R90+R82</f>
        <v>-366</v>
      </c>
      <c r="S108" s="37">
        <f>S102+S90+S82</f>
        <v>0</v>
      </c>
      <c r="T108" s="37">
        <f>T102+T90+T82</f>
        <v>0</v>
      </c>
      <c r="U108" s="37">
        <f>U102+U90+U82</f>
        <v>0</v>
      </c>
      <c r="V108" s="37"/>
      <c r="W108" s="30"/>
      <c r="X108" s="30"/>
      <c r="Y108" s="30"/>
      <c r="Z108" s="30"/>
      <c r="AA108" s="30"/>
      <c r="AB108" s="37">
        <f t="shared" ref="AB108:AC108" si="106">AB102+AB90+AB82</f>
        <v>-389</v>
      </c>
      <c r="AC108" s="37">
        <f t="shared" si="106"/>
        <v>122</v>
      </c>
    </row>
    <row r="109" spans="1:29" s="35" customFormat="1" ht="14.4" x14ac:dyDescent="0.3">
      <c r="A109" s="33" t="s">
        <v>126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42">
        <f t="shared" ref="N109:P109" si="107">N82+N83</f>
        <v>-400</v>
      </c>
      <c r="O109" s="42">
        <f t="shared" si="107"/>
        <v>200</v>
      </c>
      <c r="P109" s="42">
        <f t="shared" si="107"/>
        <v>411</v>
      </c>
      <c r="Q109" s="42">
        <f>Q82+Q83</f>
        <v>464</v>
      </c>
      <c r="R109" s="42">
        <f>R82+R83</f>
        <v>-126</v>
      </c>
      <c r="S109" s="42">
        <f>S82+S83</f>
        <v>0</v>
      </c>
      <c r="T109" s="42">
        <f>T82+T83</f>
        <v>0</v>
      </c>
      <c r="U109" s="42">
        <f>U82+U83</f>
        <v>0</v>
      </c>
      <c r="V109" s="42"/>
      <c r="W109" s="33"/>
      <c r="X109" s="33"/>
      <c r="Y109" s="33"/>
      <c r="Z109" s="33"/>
      <c r="AA109" s="33"/>
      <c r="AB109" s="42">
        <f t="shared" ref="AB109:AC109" si="108">AB82+AB83</f>
        <v>1011</v>
      </c>
      <c r="AC109" s="42">
        <f t="shared" si="108"/>
        <v>615</v>
      </c>
    </row>
  </sheetData>
  <phoneticPr fontId="4" type="noConversion"/>
  <hyperlinks>
    <hyperlink ref="A1" location="Main!A1" display="Main" xr:uid="{F11DAF57-F530-4668-9C6A-3624BEB892EC}"/>
  </hyperlinks>
  <pageMargins left="0.7" right="0.7" top="0.75" bottom="0.75" header="0.3" footer="0.3"/>
  <pageSetup orientation="portrait" r:id="rId1"/>
  <ignoredErrors>
    <ignoredError sqref="Z4:AC5 Z7:AC18 AC6 Z20:AC25 W23:Y23" formulaRange="1"/>
    <ignoredError sqref="Z6:AB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cp:lastPrinted>2024-04-28T02:01:27Z</cp:lastPrinted>
  <dcterms:created xsi:type="dcterms:W3CDTF">2024-04-17T23:07:06Z</dcterms:created>
  <dcterms:modified xsi:type="dcterms:W3CDTF">2024-06-05T19:08:58Z</dcterms:modified>
</cp:coreProperties>
</file>