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467" documentId="8_{6558A5DD-E588-4484-A4C2-86433EF7D7C2}" xr6:coauthVersionLast="47" xr6:coauthVersionMax="47" xr10:uidLastSave="{977BDC67-8404-40F0-A1B7-60C98D23EA9E}"/>
  <bookViews>
    <workbookView xWindow="-108" yWindow="-108" windowWidth="30936" windowHeight="17496" activeTab="1" xr2:uid="{8AE3CAB9-1DDD-4C7A-BCF0-E281925CF4F9}"/>
  </bookViews>
  <sheets>
    <sheet name="Main" sheetId="2" r:id="rId1"/>
    <sheet name="Income Statement" sheetId="1" r:id="rId2"/>
    <sheet name="Balance Sheet" sheetId="4" r:id="rId3"/>
    <sheet name="Cash Flow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4" i="1" l="1"/>
  <c r="AG43" i="1"/>
  <c r="AG45" i="1" s="1"/>
  <c r="AG46" i="1" s="1"/>
  <c r="AG27" i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AF27" i="1"/>
  <c r="V16" i="1" l="1"/>
  <c r="N16" i="1"/>
  <c r="L16" i="1"/>
  <c r="AB29" i="1"/>
  <c r="Z29" i="1"/>
  <c r="AE29" i="1"/>
  <c r="AD29" i="1"/>
  <c r="AC29" i="1"/>
  <c r="AA29" i="1"/>
  <c r="Y29" i="1"/>
  <c r="X29" i="1"/>
  <c r="W29" i="1"/>
  <c r="V29" i="1"/>
  <c r="AA24" i="1"/>
  <c r="Z24" i="1"/>
  <c r="X24" i="1"/>
  <c r="AA21" i="1"/>
  <c r="AB21" i="1" s="1"/>
  <c r="AC21" i="1" s="1"/>
  <c r="AD21" i="1" s="1"/>
  <c r="AE21" i="1" s="1"/>
  <c r="AA20" i="1"/>
  <c r="AB20" i="1" s="1"/>
  <c r="AC20" i="1" s="1"/>
  <c r="AD20" i="1" s="1"/>
  <c r="AE20" i="1" s="1"/>
  <c r="AB19" i="1"/>
  <c r="AC19" i="1" s="1"/>
  <c r="AD19" i="1" s="1"/>
  <c r="AE19" i="1" s="1"/>
  <c r="AA19" i="1"/>
  <c r="Z21" i="1"/>
  <c r="Z20" i="1"/>
  <c r="Z19" i="1"/>
  <c r="Y21" i="1"/>
  <c r="Y20" i="1"/>
  <c r="Y19" i="1"/>
  <c r="X20" i="1"/>
  <c r="X19" i="1"/>
  <c r="W19" i="1"/>
  <c r="X21" i="1"/>
  <c r="W21" i="1"/>
  <c r="W20" i="1"/>
  <c r="V24" i="1"/>
  <c r="V21" i="1"/>
  <c r="V20" i="1"/>
  <c r="V19" i="1"/>
  <c r="U29" i="1"/>
  <c r="U24" i="1"/>
  <c r="U21" i="1"/>
  <c r="U20" i="1"/>
  <c r="U19" i="1"/>
  <c r="L22" i="1"/>
  <c r="L23" i="1" s="1"/>
  <c r="L17" i="1"/>
  <c r="L18" i="1"/>
  <c r="M16" i="1"/>
  <c r="N21" i="1"/>
  <c r="M21" i="1"/>
  <c r="N20" i="1"/>
  <c r="M20" i="1"/>
  <c r="N19" i="1"/>
  <c r="M19" i="1"/>
  <c r="L21" i="1"/>
  <c r="L20" i="1"/>
  <c r="L19" i="1"/>
  <c r="N24" i="1"/>
  <c r="M24" i="1"/>
  <c r="L24" i="1"/>
  <c r="L34" i="1"/>
  <c r="L32" i="1"/>
  <c r="L31" i="1"/>
  <c r="Q41" i="4"/>
  <c r="Q39" i="4"/>
  <c r="Q38" i="4"/>
  <c r="Q37" i="4"/>
  <c r="P42" i="4"/>
  <c r="P41" i="4"/>
  <c r="P39" i="4"/>
  <c r="P38" i="4"/>
  <c r="P37" i="4"/>
  <c r="K41" i="4"/>
  <c r="J41" i="4"/>
  <c r="I41" i="4"/>
  <c r="H41" i="4"/>
  <c r="G41" i="4"/>
  <c r="F41" i="4"/>
  <c r="K39" i="4"/>
  <c r="J39" i="4"/>
  <c r="I39" i="4"/>
  <c r="H39" i="4"/>
  <c r="G39" i="4"/>
  <c r="F39" i="4"/>
  <c r="K38" i="4"/>
  <c r="J38" i="4"/>
  <c r="I38" i="4"/>
  <c r="H38" i="4"/>
  <c r="G38" i="4"/>
  <c r="F38" i="4"/>
  <c r="K37" i="4"/>
  <c r="K42" i="4" s="1"/>
  <c r="J37" i="4"/>
  <c r="J42" i="4" s="1"/>
  <c r="I37" i="4"/>
  <c r="I42" i="4" s="1"/>
  <c r="H37" i="4"/>
  <c r="H42" i="4" s="1"/>
  <c r="G37" i="4"/>
  <c r="G42" i="4" s="1"/>
  <c r="F37" i="4"/>
  <c r="F42" i="4" s="1"/>
  <c r="I31" i="4"/>
  <c r="I33" i="4" s="1"/>
  <c r="Q24" i="4"/>
  <c r="Q31" i="4" s="1"/>
  <c r="Q33" i="4" s="1"/>
  <c r="P24" i="4"/>
  <c r="P31" i="4" s="1"/>
  <c r="P33" i="4" s="1"/>
  <c r="N24" i="4"/>
  <c r="N31" i="4" s="1"/>
  <c r="N33" i="4" s="1"/>
  <c r="M24" i="4"/>
  <c r="M31" i="4" s="1"/>
  <c r="M33" i="4" s="1"/>
  <c r="L24" i="4"/>
  <c r="L31" i="4" s="1"/>
  <c r="L33" i="4" s="1"/>
  <c r="K24" i="4"/>
  <c r="K31" i="4" s="1"/>
  <c r="K33" i="4" s="1"/>
  <c r="J24" i="4"/>
  <c r="J31" i="4" s="1"/>
  <c r="J33" i="4" s="1"/>
  <c r="I24" i="4"/>
  <c r="H24" i="4"/>
  <c r="H31" i="4" s="1"/>
  <c r="H33" i="4" s="1"/>
  <c r="G24" i="4"/>
  <c r="G31" i="4" s="1"/>
  <c r="G33" i="4" s="1"/>
  <c r="F24" i="4"/>
  <c r="F31" i="4" s="1"/>
  <c r="F33" i="4" s="1"/>
  <c r="E24" i="4"/>
  <c r="E31" i="4" s="1"/>
  <c r="E33" i="4" s="1"/>
  <c r="D24" i="4"/>
  <c r="D31" i="4" s="1"/>
  <c r="D33" i="4" s="1"/>
  <c r="C24" i="4"/>
  <c r="C31" i="4" s="1"/>
  <c r="C33" i="4" s="1"/>
  <c r="P16" i="4"/>
  <c r="I16" i="4"/>
  <c r="H16" i="4"/>
  <c r="H18" i="4" s="1"/>
  <c r="G16" i="4"/>
  <c r="F16" i="4"/>
  <c r="F18" i="4" s="1"/>
  <c r="Q11" i="4"/>
  <c r="Q18" i="4" s="1"/>
  <c r="P11" i="4"/>
  <c r="N11" i="4"/>
  <c r="N18" i="4" s="1"/>
  <c r="M11" i="4"/>
  <c r="M18" i="4" s="1"/>
  <c r="L11" i="4"/>
  <c r="L18" i="4" s="1"/>
  <c r="K11" i="4"/>
  <c r="K18" i="4" s="1"/>
  <c r="J11" i="4"/>
  <c r="J18" i="4" s="1"/>
  <c r="I11" i="4"/>
  <c r="H11" i="4"/>
  <c r="G11" i="4"/>
  <c r="F11" i="4"/>
  <c r="E11" i="4"/>
  <c r="E18" i="4" s="1"/>
  <c r="D11" i="4"/>
  <c r="D18" i="4" s="1"/>
  <c r="C11" i="4"/>
  <c r="C18" i="4" s="1"/>
  <c r="Q5" i="4"/>
  <c r="P5" i="4"/>
  <c r="P3" i="4" s="1"/>
  <c r="O5" i="4"/>
  <c r="N5" i="4"/>
  <c r="M5" i="4"/>
  <c r="L5" i="4"/>
  <c r="L3" i="4" s="1"/>
  <c r="K5" i="4"/>
  <c r="J5" i="4"/>
  <c r="I5" i="4"/>
  <c r="H5" i="4"/>
  <c r="G5" i="4"/>
  <c r="F5" i="4"/>
  <c r="E5" i="4"/>
  <c r="D5" i="4"/>
  <c r="D3" i="4" s="1"/>
  <c r="C5" i="4"/>
  <c r="Q4" i="4"/>
  <c r="P4" i="4"/>
  <c r="O4" i="4"/>
  <c r="O3" i="4" s="1"/>
  <c r="N4" i="4"/>
  <c r="M4" i="4"/>
  <c r="M3" i="4" s="1"/>
  <c r="L4" i="4"/>
  <c r="K4" i="4"/>
  <c r="J4" i="4"/>
  <c r="J3" i="4" s="1"/>
  <c r="I4" i="4"/>
  <c r="H4" i="4"/>
  <c r="G4" i="4"/>
  <c r="G3" i="4" s="1"/>
  <c r="F4" i="4"/>
  <c r="E4" i="4"/>
  <c r="E3" i="4" s="1"/>
  <c r="D4" i="4"/>
  <c r="C4" i="4"/>
  <c r="Q3" i="4"/>
  <c r="I3" i="4"/>
  <c r="C3" i="4"/>
  <c r="N36" i="3"/>
  <c r="M36" i="3"/>
  <c r="L36" i="3"/>
  <c r="K36" i="3"/>
  <c r="J36" i="3"/>
  <c r="I36" i="3"/>
  <c r="H36" i="3"/>
  <c r="G36" i="3"/>
  <c r="F36" i="3"/>
  <c r="E36" i="3"/>
  <c r="D36" i="3"/>
  <c r="C36" i="3"/>
  <c r="R32" i="3"/>
  <c r="Q32" i="3"/>
  <c r="P32" i="3"/>
  <c r="O32" i="3"/>
  <c r="N32" i="3"/>
  <c r="M32" i="3"/>
  <c r="L32" i="3"/>
  <c r="K32" i="3"/>
  <c r="J32" i="3"/>
  <c r="G32" i="3"/>
  <c r="F32" i="3"/>
  <c r="F38" i="3" s="1"/>
  <c r="E32" i="3"/>
  <c r="D32" i="3"/>
  <c r="C32" i="3"/>
  <c r="S31" i="3"/>
  <c r="H31" i="3"/>
  <c r="S30" i="3"/>
  <c r="H30" i="3"/>
  <c r="S29" i="3"/>
  <c r="H29" i="3"/>
  <c r="S28" i="3"/>
  <c r="H28" i="3"/>
  <c r="S27" i="3"/>
  <c r="S32" i="3" s="1"/>
  <c r="H27" i="3"/>
  <c r="R26" i="3"/>
  <c r="Q26" i="3"/>
  <c r="P26" i="3"/>
  <c r="O26" i="3"/>
  <c r="N26" i="3"/>
  <c r="M26" i="3"/>
  <c r="L26" i="3"/>
  <c r="K26" i="3"/>
  <c r="J26" i="3"/>
  <c r="G26" i="3"/>
  <c r="F26" i="3"/>
  <c r="E26" i="3"/>
  <c r="D26" i="3"/>
  <c r="C26" i="3"/>
  <c r="S25" i="3"/>
  <c r="H25" i="3"/>
  <c r="S24" i="3"/>
  <c r="H24" i="3"/>
  <c r="I24" i="3" s="1"/>
  <c r="S23" i="3"/>
  <c r="H23" i="3"/>
  <c r="S22" i="3"/>
  <c r="H22" i="3"/>
  <c r="S21" i="3"/>
  <c r="H21" i="3"/>
  <c r="S20" i="3"/>
  <c r="H20" i="3"/>
  <c r="S19" i="3"/>
  <c r="H19" i="3"/>
  <c r="R18" i="3"/>
  <c r="Q18" i="3"/>
  <c r="P18" i="3"/>
  <c r="O18" i="3"/>
  <c r="N18" i="3"/>
  <c r="M18" i="3"/>
  <c r="L18" i="3"/>
  <c r="K18" i="3"/>
  <c r="K39" i="3" s="1"/>
  <c r="J18" i="3"/>
  <c r="J39" i="3" s="1"/>
  <c r="G18" i="3"/>
  <c r="G39" i="3" s="1"/>
  <c r="F18" i="3"/>
  <c r="F39" i="3" s="1"/>
  <c r="E18" i="3"/>
  <c r="D18" i="3"/>
  <c r="C18" i="3"/>
  <c r="S17" i="3"/>
  <c r="H17" i="3"/>
  <c r="S16" i="3"/>
  <c r="H16" i="3"/>
  <c r="S15" i="3"/>
  <c r="H15" i="3"/>
  <c r="S14" i="3"/>
  <c r="H14" i="3"/>
  <c r="S13" i="3"/>
  <c r="H13" i="3"/>
  <c r="I13" i="3" s="1"/>
  <c r="S12" i="3"/>
  <c r="H12" i="3"/>
  <c r="S11" i="3"/>
  <c r="H11" i="3"/>
  <c r="I11" i="3" s="1"/>
  <c r="S10" i="3"/>
  <c r="H10" i="3"/>
  <c r="S9" i="3"/>
  <c r="H9" i="3"/>
  <c r="S8" i="3"/>
  <c r="H8" i="3"/>
  <c r="S7" i="3"/>
  <c r="H7" i="3"/>
  <c r="S6" i="3"/>
  <c r="H6" i="3"/>
  <c r="S5" i="3"/>
  <c r="H5" i="3"/>
  <c r="S4" i="3"/>
  <c r="S18" i="3" s="1"/>
  <c r="H4" i="3"/>
  <c r="R3" i="3"/>
  <c r="Q3" i="3"/>
  <c r="P3" i="3"/>
  <c r="O3" i="3"/>
  <c r="S29" i="1"/>
  <c r="S26" i="1"/>
  <c r="S24" i="1"/>
  <c r="S21" i="1"/>
  <c r="S20" i="1"/>
  <c r="S19" i="1"/>
  <c r="S17" i="1"/>
  <c r="S16" i="1"/>
  <c r="T16" i="1"/>
  <c r="T29" i="1"/>
  <c r="T21" i="1"/>
  <c r="T26" i="1"/>
  <c r="T24" i="1"/>
  <c r="T20" i="1"/>
  <c r="T19" i="1"/>
  <c r="T17" i="1"/>
  <c r="J32" i="1"/>
  <c r="I32" i="1"/>
  <c r="H32" i="1"/>
  <c r="G32" i="1"/>
  <c r="F32" i="1"/>
  <c r="E32" i="1"/>
  <c r="D32" i="1"/>
  <c r="J31" i="1"/>
  <c r="I31" i="1"/>
  <c r="H31" i="1"/>
  <c r="G31" i="1"/>
  <c r="K32" i="1"/>
  <c r="K31" i="1"/>
  <c r="J11" i="1"/>
  <c r="I11" i="1"/>
  <c r="H11" i="1"/>
  <c r="J9" i="1"/>
  <c r="I9" i="1"/>
  <c r="H9" i="1"/>
  <c r="J7" i="1"/>
  <c r="I7" i="1"/>
  <c r="H7" i="1"/>
  <c r="J5" i="1"/>
  <c r="I5" i="1"/>
  <c r="H5" i="1"/>
  <c r="K5" i="1"/>
  <c r="K7" i="1"/>
  <c r="K9" i="1"/>
  <c r="K11" i="1"/>
  <c r="G11" i="1"/>
  <c r="G9" i="1"/>
  <c r="G7" i="1"/>
  <c r="G5" i="1"/>
  <c r="F12" i="1"/>
  <c r="E12" i="1"/>
  <c r="D12" i="1"/>
  <c r="C12" i="1"/>
  <c r="K22" i="1"/>
  <c r="K23" i="1" s="1"/>
  <c r="K25" i="1" s="1"/>
  <c r="K27" i="1" s="1"/>
  <c r="K28" i="1" s="1"/>
  <c r="K18" i="1"/>
  <c r="K34" i="1" s="1"/>
  <c r="C22" i="1"/>
  <c r="C23" i="1" s="1"/>
  <c r="C25" i="1" s="1"/>
  <c r="C27" i="1" s="1"/>
  <c r="C28" i="1" s="1"/>
  <c r="C18" i="1"/>
  <c r="C34" i="1" s="1"/>
  <c r="G22" i="1"/>
  <c r="G23" i="1" s="1"/>
  <c r="G25" i="1" s="1"/>
  <c r="G27" i="1" s="1"/>
  <c r="G28" i="1" s="1"/>
  <c r="G18" i="1"/>
  <c r="G34" i="1" s="1"/>
  <c r="D22" i="1"/>
  <c r="D23" i="1" s="1"/>
  <c r="D25" i="1" s="1"/>
  <c r="D27" i="1" s="1"/>
  <c r="D28" i="1" s="1"/>
  <c r="D18" i="1"/>
  <c r="D34" i="1" s="1"/>
  <c r="H22" i="1"/>
  <c r="H23" i="1" s="1"/>
  <c r="H25" i="1" s="1"/>
  <c r="H27" i="1" s="1"/>
  <c r="H28" i="1" s="1"/>
  <c r="H18" i="1"/>
  <c r="H34" i="1" s="1"/>
  <c r="E22" i="1"/>
  <c r="E23" i="1" s="1"/>
  <c r="E25" i="1" s="1"/>
  <c r="E27" i="1" s="1"/>
  <c r="E36" i="1" s="1"/>
  <c r="E18" i="1"/>
  <c r="E34" i="1" s="1"/>
  <c r="I22" i="1"/>
  <c r="I23" i="1" s="1"/>
  <c r="I25" i="1" s="1"/>
  <c r="I27" i="1" s="1"/>
  <c r="I36" i="1" s="1"/>
  <c r="I18" i="1"/>
  <c r="I34" i="1" s="1"/>
  <c r="F22" i="1"/>
  <c r="F23" i="1" s="1"/>
  <c r="F25" i="1" s="1"/>
  <c r="F27" i="1" s="1"/>
  <c r="F28" i="1" s="1"/>
  <c r="F18" i="1"/>
  <c r="F34" i="1" s="1"/>
  <c r="J22" i="1"/>
  <c r="J23" i="1" s="1"/>
  <c r="J25" i="1" s="1"/>
  <c r="J27" i="1" s="1"/>
  <c r="J28" i="1" s="1"/>
  <c r="J18" i="1"/>
  <c r="J34" i="1" s="1"/>
  <c r="L4" i="2"/>
  <c r="L7" i="2" s="1"/>
  <c r="L8" i="2"/>
  <c r="L25" i="1" l="1"/>
  <c r="L26" i="1" s="1"/>
  <c r="L37" i="1" s="1"/>
  <c r="L35" i="1"/>
  <c r="M31" i="1"/>
  <c r="M32" i="1"/>
  <c r="U16" i="1"/>
  <c r="M17" i="1"/>
  <c r="AB24" i="1"/>
  <c r="AD24" i="1" s="1"/>
  <c r="AC24" i="1"/>
  <c r="N32" i="1"/>
  <c r="L27" i="1"/>
  <c r="L28" i="1" s="1"/>
  <c r="K40" i="1"/>
  <c r="J40" i="1"/>
  <c r="T31" i="1"/>
  <c r="F40" i="1"/>
  <c r="G40" i="1"/>
  <c r="H40" i="1"/>
  <c r="I40" i="1"/>
  <c r="E3" i="3"/>
  <c r="G18" i="4"/>
  <c r="Q42" i="4"/>
  <c r="K3" i="4"/>
  <c r="P18" i="4"/>
  <c r="T22" i="3"/>
  <c r="H18" i="3"/>
  <c r="H39" i="3" s="1"/>
  <c r="S26" i="3"/>
  <c r="I22" i="3"/>
  <c r="T24" i="3"/>
  <c r="J38" i="3"/>
  <c r="T15" i="3"/>
  <c r="K38" i="3"/>
  <c r="T5" i="3"/>
  <c r="I15" i="3"/>
  <c r="I20" i="3"/>
  <c r="T20" i="3" s="1"/>
  <c r="T11" i="3"/>
  <c r="I5" i="3"/>
  <c r="T13" i="3"/>
  <c r="G38" i="3"/>
  <c r="H3" i="4"/>
  <c r="F3" i="4"/>
  <c r="N3" i="4"/>
  <c r="I18" i="4"/>
  <c r="T27" i="3"/>
  <c r="T31" i="3"/>
  <c r="T21" i="3"/>
  <c r="F3" i="3"/>
  <c r="I4" i="3"/>
  <c r="I6" i="3"/>
  <c r="T6" i="3" s="1"/>
  <c r="I8" i="3"/>
  <c r="T8" i="3" s="1"/>
  <c r="I10" i="3"/>
  <c r="T10" i="3" s="1"/>
  <c r="I12" i="3"/>
  <c r="T12" i="3" s="1"/>
  <c r="I14" i="3"/>
  <c r="T14" i="3" s="1"/>
  <c r="I16" i="3"/>
  <c r="T16" i="3" s="1"/>
  <c r="I27" i="3"/>
  <c r="I29" i="3"/>
  <c r="T29" i="3" s="1"/>
  <c r="I31" i="3"/>
  <c r="H32" i="3"/>
  <c r="G3" i="3"/>
  <c r="H3" i="3"/>
  <c r="T4" i="3"/>
  <c r="I19" i="3"/>
  <c r="I21" i="3"/>
  <c r="I23" i="3"/>
  <c r="T23" i="3" s="1"/>
  <c r="I25" i="3"/>
  <c r="T25" i="3" s="1"/>
  <c r="H26" i="3"/>
  <c r="G36" i="1"/>
  <c r="I3" i="3"/>
  <c r="E37" i="1"/>
  <c r="H44" i="4" s="1"/>
  <c r="H39" i="1" s="1"/>
  <c r="J3" i="3"/>
  <c r="I7" i="3"/>
  <c r="T7" i="3" s="1"/>
  <c r="I9" i="3"/>
  <c r="T9" i="3" s="1"/>
  <c r="I17" i="3"/>
  <c r="T17" i="3" s="1"/>
  <c r="I28" i="3"/>
  <c r="T28" i="3" s="1"/>
  <c r="I30" i="3"/>
  <c r="T30" i="3" s="1"/>
  <c r="S18" i="1"/>
  <c r="S34" i="1" s="1"/>
  <c r="C3" i="3"/>
  <c r="K3" i="3"/>
  <c r="D3" i="3"/>
  <c r="G37" i="1"/>
  <c r="J44" i="4" s="1"/>
  <c r="J39" i="1" s="1"/>
  <c r="T22" i="1"/>
  <c r="T23" i="1" s="1"/>
  <c r="S22" i="1"/>
  <c r="S23" i="1" s="1"/>
  <c r="E35" i="1"/>
  <c r="G35" i="1"/>
  <c r="D35" i="1"/>
  <c r="D36" i="1"/>
  <c r="D37" i="1"/>
  <c r="G44" i="4" s="1"/>
  <c r="G39" i="1" s="1"/>
  <c r="F35" i="1"/>
  <c r="F36" i="1"/>
  <c r="F37" i="1"/>
  <c r="I44" i="4" s="1"/>
  <c r="I39" i="1" s="1"/>
  <c r="K35" i="1"/>
  <c r="H36" i="1"/>
  <c r="H37" i="1"/>
  <c r="K44" i="4" s="1"/>
  <c r="K39" i="1" s="1"/>
  <c r="K36" i="1"/>
  <c r="I35" i="1"/>
  <c r="I37" i="1"/>
  <c r="K37" i="1"/>
  <c r="J35" i="1"/>
  <c r="J36" i="1"/>
  <c r="J37" i="1"/>
  <c r="H35" i="1"/>
  <c r="C35" i="1"/>
  <c r="C36" i="1"/>
  <c r="C37" i="1"/>
  <c r="F44" i="4" s="1"/>
  <c r="F39" i="1" s="1"/>
  <c r="T18" i="1"/>
  <c r="T34" i="1" s="1"/>
  <c r="H12" i="1"/>
  <c r="J12" i="1"/>
  <c r="I12" i="1"/>
  <c r="K12" i="1"/>
  <c r="G12" i="1"/>
  <c r="E28" i="1"/>
  <c r="S28" i="1" s="1"/>
  <c r="I28" i="1"/>
  <c r="U31" i="1" l="1"/>
  <c r="M18" i="1"/>
  <c r="M34" i="1" s="1"/>
  <c r="M22" i="1"/>
  <c r="M23" i="1" s="1"/>
  <c r="N31" i="1"/>
  <c r="N17" i="1"/>
  <c r="U17" i="1" s="1"/>
  <c r="V31" i="1"/>
  <c r="V17" i="1"/>
  <c r="V22" i="1" s="1"/>
  <c r="V23" i="1" s="1"/>
  <c r="W16" i="1"/>
  <c r="AE24" i="1"/>
  <c r="L3" i="3"/>
  <c r="L36" i="1"/>
  <c r="S25" i="1"/>
  <c r="S27" i="1" s="1"/>
  <c r="I18" i="3"/>
  <c r="I39" i="3" s="1"/>
  <c r="H38" i="3"/>
  <c r="S35" i="1"/>
  <c r="I32" i="3"/>
  <c r="T32" i="3"/>
  <c r="I26" i="3"/>
  <c r="T19" i="3"/>
  <c r="T26" i="3" s="1"/>
  <c r="T18" i="3"/>
  <c r="T39" i="3" s="1"/>
  <c r="T25" i="1"/>
  <c r="T35" i="1"/>
  <c r="U22" i="1" l="1"/>
  <c r="U23" i="1" s="1"/>
  <c r="U18" i="1"/>
  <c r="U34" i="1" s="1"/>
  <c r="M35" i="1"/>
  <c r="M25" i="1"/>
  <c r="N18" i="1"/>
  <c r="N34" i="1" s="1"/>
  <c r="N22" i="1"/>
  <c r="N23" i="1" s="1"/>
  <c r="V18" i="1"/>
  <c r="V34" i="1" s="1"/>
  <c r="W31" i="1"/>
  <c r="W17" i="1"/>
  <c r="W22" i="1" s="1"/>
  <c r="W23" i="1" s="1"/>
  <c r="X16" i="1"/>
  <c r="V35" i="1"/>
  <c r="V25" i="1"/>
  <c r="S3" i="3"/>
  <c r="S40" i="1"/>
  <c r="S37" i="1"/>
  <c r="P44" i="4" s="1"/>
  <c r="S39" i="1" s="1"/>
  <c r="I38" i="3"/>
  <c r="T38" i="3"/>
  <c r="T27" i="1"/>
  <c r="T37" i="1"/>
  <c r="Q44" i="4" s="1"/>
  <c r="T39" i="1" s="1"/>
  <c r="S36" i="1"/>
  <c r="N35" i="1" l="1"/>
  <c r="N25" i="1"/>
  <c r="M26" i="1"/>
  <c r="M37" i="1" s="1"/>
  <c r="M27" i="1"/>
  <c r="W18" i="1"/>
  <c r="W34" i="1" s="1"/>
  <c r="U25" i="1"/>
  <c r="U26" i="1" s="1"/>
  <c r="U37" i="1" s="1"/>
  <c r="U35" i="1"/>
  <c r="X31" i="1"/>
  <c r="X17" i="1"/>
  <c r="Y16" i="1"/>
  <c r="W25" i="1"/>
  <c r="W35" i="1"/>
  <c r="V26" i="1"/>
  <c r="V37" i="1" s="1"/>
  <c r="T3" i="3"/>
  <c r="T40" i="1"/>
  <c r="T28" i="1"/>
  <c r="T36" i="1"/>
  <c r="V27" i="1" l="1"/>
  <c r="U27" i="1"/>
  <c r="U36" i="1" s="1"/>
  <c r="N26" i="1"/>
  <c r="N37" i="1" s="1"/>
  <c r="N27" i="1"/>
  <c r="M28" i="1"/>
  <c r="M36" i="1"/>
  <c r="M3" i="3"/>
  <c r="U28" i="1"/>
  <c r="V36" i="1"/>
  <c r="V28" i="1"/>
  <c r="W26" i="1"/>
  <c r="W37" i="1" s="1"/>
  <c r="Y31" i="1"/>
  <c r="Z16" i="1"/>
  <c r="Y17" i="1"/>
  <c r="X18" i="1"/>
  <c r="X34" i="1" s="1"/>
  <c r="X22" i="1"/>
  <c r="X23" i="1" s="1"/>
  <c r="W27" i="1" l="1"/>
  <c r="N28" i="1"/>
  <c r="N36" i="1"/>
  <c r="N3" i="3"/>
  <c r="Z31" i="1"/>
  <c r="AA16" i="1"/>
  <c r="Z17" i="1"/>
  <c r="W36" i="1"/>
  <c r="W28" i="1"/>
  <c r="X25" i="1"/>
  <c r="X35" i="1"/>
  <c r="Y18" i="1"/>
  <c r="Y34" i="1" s="1"/>
  <c r="Y22" i="1"/>
  <c r="Y23" i="1" s="1"/>
  <c r="X26" i="1" l="1"/>
  <c r="X37" i="1" s="1"/>
  <c r="Z18" i="1"/>
  <c r="Z34" i="1" s="1"/>
  <c r="Z22" i="1"/>
  <c r="Z23" i="1" s="1"/>
  <c r="AB16" i="1"/>
  <c r="AA31" i="1"/>
  <c r="AA17" i="1"/>
  <c r="Y35" i="1"/>
  <c r="Y25" i="1"/>
  <c r="X27" i="1" l="1"/>
  <c r="AC16" i="1"/>
  <c r="AB17" i="1"/>
  <c r="AB31" i="1"/>
  <c r="Z25" i="1"/>
  <c r="Z35" i="1"/>
  <c r="X36" i="1"/>
  <c r="X28" i="1"/>
  <c r="AA18" i="1"/>
  <c r="AA34" i="1" s="1"/>
  <c r="AA22" i="1"/>
  <c r="AA23" i="1" s="1"/>
  <c r="Y26" i="1"/>
  <c r="Y37" i="1" s="1"/>
  <c r="Y27" i="1" l="1"/>
  <c r="Z26" i="1"/>
  <c r="Z37" i="1" s="1"/>
  <c r="AB18" i="1"/>
  <c r="AB34" i="1" s="1"/>
  <c r="AB22" i="1"/>
  <c r="AB23" i="1" s="1"/>
  <c r="Y36" i="1"/>
  <c r="Y28" i="1"/>
  <c r="AA35" i="1"/>
  <c r="AA25" i="1"/>
  <c r="AC17" i="1"/>
  <c r="AD16" i="1"/>
  <c r="AC31" i="1"/>
  <c r="Z27" i="1" l="1"/>
  <c r="AA26" i="1"/>
  <c r="AA37" i="1" s="1"/>
  <c r="AB35" i="1"/>
  <c r="AB25" i="1"/>
  <c r="AD31" i="1"/>
  <c r="AE16" i="1"/>
  <c r="AD17" i="1"/>
  <c r="Z36" i="1"/>
  <c r="Z28" i="1"/>
  <c r="AC18" i="1"/>
  <c r="AC34" i="1" s="1"/>
  <c r="AC22" i="1"/>
  <c r="AC23" i="1" s="1"/>
  <c r="AC25" i="1" l="1"/>
  <c r="AC35" i="1"/>
  <c r="AD18" i="1"/>
  <c r="AD34" i="1" s="1"/>
  <c r="AD22" i="1"/>
  <c r="AD23" i="1" s="1"/>
  <c r="AA27" i="1"/>
  <c r="AE31" i="1"/>
  <c r="AE17" i="1"/>
  <c r="AB26" i="1"/>
  <c r="AB37" i="1" s="1"/>
  <c r="AE18" i="1" l="1"/>
  <c r="AE34" i="1" s="1"/>
  <c r="AE22" i="1"/>
  <c r="AE23" i="1" s="1"/>
  <c r="AA28" i="1"/>
  <c r="AA36" i="1"/>
  <c r="AD35" i="1"/>
  <c r="AD25" i="1"/>
  <c r="AB27" i="1"/>
  <c r="AC26" i="1"/>
  <c r="AC37" i="1" s="1"/>
  <c r="AB36" i="1" l="1"/>
  <c r="AB28" i="1"/>
  <c r="AD26" i="1"/>
  <c r="AD37" i="1" s="1"/>
  <c r="AE25" i="1"/>
  <c r="AE35" i="1"/>
  <c r="AC27" i="1"/>
  <c r="AE26" i="1" l="1"/>
  <c r="AE37" i="1" s="1"/>
  <c r="AD27" i="1"/>
  <c r="AC36" i="1"/>
  <c r="AC28" i="1"/>
  <c r="AD28" i="1" l="1"/>
  <c r="AD36" i="1"/>
  <c r="AE27" i="1"/>
  <c r="AE36" i="1" l="1"/>
  <c r="AE28" i="1"/>
</calcChain>
</file>

<file path=xl/sharedStrings.xml><?xml version="1.0" encoding="utf-8"?>
<sst xmlns="http://schemas.openxmlformats.org/spreadsheetml/2006/main" count="168" uniqueCount="125">
  <si>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</si>
  <si>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</si>
  <si>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</si>
  <si>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</si>
  <si>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</si>
  <si>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</si>
  <si>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</si>
  <si>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</si>
  <si>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</si>
  <si>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</si>
  <si>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</si>
  <si>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</si>
  <si>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</si>
  <si>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</si>
  <si>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</si>
  <si>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</si>
  <si>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/>
  </si>
  <si>
    <t>ALPHABET, INC (Google) Class A</t>
  </si>
  <si>
    <t>GOOGL</t>
  </si>
  <si>
    <t>Sundar Pichai</t>
  </si>
  <si>
    <t>Revenue</t>
  </si>
  <si>
    <t>COGS</t>
  </si>
  <si>
    <t>R&amp;D</t>
  </si>
  <si>
    <t>S&amp;M</t>
  </si>
  <si>
    <t>G&amp;A</t>
  </si>
  <si>
    <t>Operating expenses</t>
  </si>
  <si>
    <t>Operating income</t>
  </si>
  <si>
    <t>Other income (expenses)</t>
  </si>
  <si>
    <t>Pretax</t>
  </si>
  <si>
    <t>Taxes</t>
  </si>
  <si>
    <t>Net income</t>
  </si>
  <si>
    <t>EPS</t>
  </si>
  <si>
    <t>Gross Profit</t>
  </si>
  <si>
    <t>A/R</t>
  </si>
  <si>
    <t>Inventory</t>
  </si>
  <si>
    <t>OCA</t>
  </si>
  <si>
    <t>Assets</t>
  </si>
  <si>
    <t>Securities - non marketable</t>
  </si>
  <si>
    <t>DT</t>
  </si>
  <si>
    <t>P&amp;E</t>
  </si>
  <si>
    <t>Leases</t>
  </si>
  <si>
    <t>Intangibles + Goodwill</t>
  </si>
  <si>
    <t>ONCA</t>
  </si>
  <si>
    <t>A/P</t>
  </si>
  <si>
    <t>Accrued comp and benefits</t>
  </si>
  <si>
    <t>Accrued expenses and other current liabilities</t>
  </si>
  <si>
    <t>Accrued revenue share</t>
  </si>
  <si>
    <t>Deferred revenue</t>
  </si>
  <si>
    <t>Current liabilities</t>
  </si>
  <si>
    <t>Deferred revenue, non-current</t>
  </si>
  <si>
    <t>Income taxes payable non-current</t>
  </si>
  <si>
    <t>Deferred taxes</t>
  </si>
  <si>
    <t>Operating leases</t>
  </si>
  <si>
    <t>Other long-term liabilities</t>
  </si>
  <si>
    <t>Liabilities</t>
  </si>
  <si>
    <t>SE</t>
  </si>
  <si>
    <t>L+SE</t>
  </si>
  <si>
    <t>Current assets</t>
  </si>
  <si>
    <t>Net cash</t>
  </si>
  <si>
    <t>Balance sheet</t>
  </si>
  <si>
    <t>Cash Flows</t>
  </si>
  <si>
    <t>Model NI</t>
  </si>
  <si>
    <t>D&amp;A</t>
  </si>
  <si>
    <t>SBC</t>
  </si>
  <si>
    <t>(Gain) loss on debt and equity securities</t>
  </si>
  <si>
    <t>Other</t>
  </si>
  <si>
    <t>OA</t>
  </si>
  <si>
    <t>Accrued expenses and other liabilities</t>
  </si>
  <si>
    <t>CFFO</t>
  </si>
  <si>
    <t>CapEx</t>
  </si>
  <si>
    <t>Purchases of marketable securities</t>
  </si>
  <si>
    <t>Purchases of non-marketable securities</t>
  </si>
  <si>
    <t>Acquisitions, net of cash acuired and intangible assets</t>
  </si>
  <si>
    <t>Other investing activities</t>
  </si>
  <si>
    <t>CFFI</t>
  </si>
  <si>
    <t>Payments related to stock-based award activities</t>
  </si>
  <si>
    <t>Buyback</t>
  </si>
  <si>
    <t>Issuance of debt, proceeds</t>
  </si>
  <si>
    <t>Sale of interest in consolidated entities, proceeds</t>
  </si>
  <si>
    <t>CFFF</t>
  </si>
  <si>
    <t>Exchange rate changes</t>
  </si>
  <si>
    <t>Increase (decrease) in cash</t>
  </si>
  <si>
    <t>Cash at beginning of period</t>
  </si>
  <si>
    <t>Cash at end of period</t>
  </si>
  <si>
    <t>Maturities and sales of marketable securities</t>
  </si>
  <si>
    <t>Maturities and sales of non marketable securities</t>
  </si>
  <si>
    <t>Repayments of debt</t>
  </si>
  <si>
    <t>Q124</t>
  </si>
  <si>
    <t>Q224</t>
  </si>
  <si>
    <t>Q324</t>
  </si>
  <si>
    <t>Q424</t>
  </si>
  <si>
    <t>Amortization on intangibles</t>
  </si>
  <si>
    <t>Hedging gains</t>
  </si>
  <si>
    <t>Total</t>
  </si>
  <si>
    <t>Corporate cost</t>
  </si>
  <si>
    <t>Google Services (advertising)</t>
  </si>
  <si>
    <t>Google cloud (infrastructure etc)</t>
  </si>
  <si>
    <t>Other Bets (health tech etc)</t>
  </si>
  <si>
    <t>Y/Y Growth %</t>
  </si>
  <si>
    <t>Segments</t>
  </si>
  <si>
    <t>Revenue Y/Y</t>
  </si>
  <si>
    <t>Revenue Q/Q</t>
  </si>
  <si>
    <t>Operating Margin %</t>
  </si>
  <si>
    <t>Gross Margin %</t>
  </si>
  <si>
    <t>Net Margin %</t>
  </si>
  <si>
    <t>Tax Rate %</t>
  </si>
  <si>
    <t>Cash Flow</t>
  </si>
  <si>
    <t>Free Cash Flow</t>
  </si>
  <si>
    <t>Income Statement</t>
  </si>
  <si>
    <t>Invested Capital</t>
  </si>
  <si>
    <t>Total Equity</t>
  </si>
  <si>
    <t>Net invested capital</t>
  </si>
  <si>
    <t>Plus: Short-Term debt</t>
  </si>
  <si>
    <t>Plus: Long-Term debt</t>
  </si>
  <si>
    <t>Less: Cash &amp; Equivalents</t>
  </si>
  <si>
    <t>Q125</t>
  </si>
  <si>
    <t>Plus: Minority interest</t>
  </si>
  <si>
    <t>NOPAT</t>
  </si>
  <si>
    <t>ROIC</t>
  </si>
  <si>
    <t>ROA</t>
  </si>
  <si>
    <t>Maturity</t>
  </si>
  <si>
    <t>Discount</t>
  </si>
  <si>
    <t>NPV</t>
  </si>
  <si>
    <t>Value</t>
  </si>
  <si>
    <t>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</si>
</sst>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&quot;;[Red]\-#,##0\ &quot;kr&quot;"/>
    <numFmt numFmtId="8" formatCode="#,##0.00\ &quot;kr&quot;;[Red]\-#,##0.00\ &quot;kr&quot;"/>
    <numFmt numFmtId="164" formatCode="0.0%"/>
  </numFmts>
  <fonts count="9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0" applyFont="1"/>
    <xf numFmtId="2" fontId="0" fillId="0" borderId="1" xfId="0" applyNumberFormat="1" applyBorder="1"/>
    <xf numFmtId="0" fontId="0" fillId="0" borderId="0" xfId="0" quotePrefix="1"/>
    <xf numFmtId="2" fontId="0" fillId="0" borderId="0" xfId="0" applyNumberFormat="1"/>
    <xf numFmtId="3" fontId="6" fillId="0" borderId="2" xfId="0" applyNumberFormat="1" applyFont="1" applyBorder="1"/>
    <xf numFmtId="3" fontId="6" fillId="0" borderId="3" xfId="0" applyNumberFormat="1" applyFont="1" applyBorder="1"/>
    <xf numFmtId="3" fontId="0" fillId="0" borderId="4" xfId="0" applyNumberFormat="1" applyBorder="1"/>
    <xf numFmtId="3" fontId="6" fillId="0" borderId="0" xfId="0" applyNumberFormat="1" applyFont="1"/>
    <xf numFmtId="3" fontId="7" fillId="0" borderId="0" xfId="0" applyNumberFormat="1" applyFont="1"/>
    <xf numFmtId="3" fontId="7" fillId="0" borderId="4" xfId="0" applyNumberFormat="1" applyFont="1" applyBorder="1"/>
    <xf numFmtId="0" fontId="6" fillId="0" borderId="0" xfId="0" applyFont="1" applyAlignment="1">
      <alignment horizontal="right"/>
    </xf>
    <xf numFmtId="3" fontId="8" fillId="0" borderId="0" xfId="0" applyNumberFormat="1" applyFont="1"/>
    <xf numFmtId="3" fontId="0" fillId="0" borderId="3" xfId="0" applyNumberFormat="1" applyBorder="1"/>
    <xf numFmtId="0" fontId="7" fillId="0" borderId="5" xfId="0" applyFont="1" applyBorder="1"/>
    <xf numFmtId="0" fontId="7" fillId="0" borderId="6" xfId="0" applyFont="1" applyBorder="1"/>
    <xf numFmtId="3" fontId="7" fillId="0" borderId="5" xfId="0" applyNumberFormat="1" applyFont="1" applyBorder="1"/>
    <xf numFmtId="3" fontId="7" fillId="0" borderId="6" xfId="0" applyNumberFormat="1" applyFont="1" applyBorder="1"/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right"/>
    </xf>
    <xf numFmtId="3" fontId="0" fillId="2" borderId="0" xfId="0" applyNumberFormat="1" applyFill="1"/>
    <xf numFmtId="3" fontId="6" fillId="2" borderId="0" xfId="0" applyNumberFormat="1" applyFont="1" applyFill="1"/>
    <xf numFmtId="3" fontId="6" fillId="2" borderId="3" xfId="0" applyNumberFormat="1" applyFont="1" applyFill="1" applyBorder="1"/>
    <xf numFmtId="0" fontId="0" fillId="2" borderId="0" xfId="0" applyFill="1"/>
    <xf numFmtId="0" fontId="6" fillId="2" borderId="4" xfId="0" applyFont="1" applyFill="1" applyBorder="1" applyAlignment="1">
      <alignment horizontal="right"/>
    </xf>
    <xf numFmtId="3" fontId="8" fillId="2" borderId="0" xfId="0" applyNumberFormat="1" applyFont="1" applyFill="1"/>
    <xf numFmtId="3" fontId="7" fillId="2" borderId="0" xfId="0" applyNumberFormat="1" applyFont="1" applyFill="1"/>
    <xf numFmtId="3" fontId="7" fillId="2" borderId="4" xfId="0" applyNumberFormat="1" applyFont="1" applyFill="1" applyBorder="1"/>
    <xf numFmtId="3" fontId="6" fillId="2" borderId="2" xfId="0" applyNumberFormat="1" applyFont="1" applyFill="1" applyBorder="1"/>
    <xf numFmtId="3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0" fillId="2" borderId="3" xfId="0" applyNumberFormat="1" applyFill="1" applyBorder="1"/>
    <xf numFmtId="3" fontId="7" fillId="2" borderId="5" xfId="0" applyNumberFormat="1" applyFont="1" applyFill="1" applyBorder="1"/>
    <xf numFmtId="0" fontId="7" fillId="2" borderId="5" xfId="0" applyFont="1" applyFill="1" applyBorder="1"/>
    <xf numFmtId="3" fontId="7" fillId="2" borderId="6" xfId="0" applyNumberFormat="1" applyFont="1" applyFill="1" applyBorder="1"/>
    <xf numFmtId="0" fontId="7" fillId="2" borderId="6" xfId="0" applyFont="1" applyFill="1" applyBorder="1"/>
    <xf numFmtId="0" fontId="6" fillId="2" borderId="0" xfId="0" applyFont="1" applyFill="1"/>
    <xf numFmtId="0" fontId="0" fillId="2" borderId="0" xfId="0" applyFill="1" applyAlignment="1">
      <alignment horizontal="left" indent="1"/>
    </xf>
    <xf numFmtId="1" fontId="0" fillId="2" borderId="0" xfId="0" applyNumberFormat="1" applyFill="1"/>
    <xf numFmtId="0" fontId="6" fillId="2" borderId="4" xfId="0" applyFont="1" applyFill="1" applyBorder="1"/>
    <xf numFmtId="0" fontId="0" fillId="2" borderId="4" xfId="0" applyFill="1" applyBorder="1"/>
    <xf numFmtId="0" fontId="0" fillId="0" borderId="4" xfId="0" applyBorder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3" fontId="7" fillId="2" borderId="5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8" fillId="2" borderId="6" xfId="0" applyFont="1" applyFill="1" applyBorder="1"/>
    <xf numFmtId="9" fontId="8" fillId="2" borderId="6" xfId="0" applyNumberFormat="1" applyFont="1" applyFill="1" applyBorder="1"/>
    <xf numFmtId="3" fontId="0" fillId="2" borderId="4" xfId="0" applyNumberFormat="1" applyFill="1" applyBorder="1" applyAlignment="1">
      <alignment horizontal="right"/>
    </xf>
    <xf numFmtId="3" fontId="0" fillId="2" borderId="4" xfId="0" applyNumberFormat="1" applyFill="1" applyBorder="1"/>
    <xf numFmtId="4" fontId="0" fillId="2" borderId="0" xfId="0" applyNumberFormat="1" applyFill="1"/>
    <xf numFmtId="9" fontId="7" fillId="2" borderId="5" xfId="0" applyNumberFormat="1" applyFont="1" applyFill="1" applyBorder="1"/>
    <xf numFmtId="9" fontId="7" fillId="2" borderId="6" xfId="0" applyNumberFormat="1" applyFont="1" applyFill="1" applyBorder="1"/>
    <xf numFmtId="9" fontId="7" fillId="2" borderId="0" xfId="0" applyNumberFormat="1" applyFont="1" applyFill="1"/>
    <xf numFmtId="9" fontId="0" fillId="2" borderId="0" xfId="0" applyNumberFormat="1" applyFill="1"/>
    <xf numFmtId="164" fontId="0" fillId="2" borderId="0" xfId="0" applyNumberFormat="1" applyFill="1"/>
    <xf numFmtId="0" fontId="7" fillId="0" borderId="0" xfId="0" applyFont="1"/>
    <xf numFmtId="9" fontId="0" fillId="0" borderId="0" xfId="1" applyFont="1" applyBorder="1"/>
    <xf numFmtId="10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Prósent" xfId="1" builtinId="5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8282</xdr:colOff>
      <xdr:row>1</xdr:row>
      <xdr:rowOff>33130</xdr:rowOff>
    </xdr:from>
    <xdr:to>
      <xdr:col>11</xdr:col>
      <xdr:colOff>8283</xdr:colOff>
      <xdr:row>49</xdr:row>
      <xdr:rowOff>82827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4F408D-3901-6C62-65A7-FE268DEC2D8E}"/>
            </a:ext>
          </a:extLst>
        </xdr:cNvPr>
        <xdr:cNvCxnSpPr/>
      </xdr:nvCxnSpPr>
      <xdr:spPr>
        <a:xfrm flipH="1">
          <a:off x="8398565" y="223630"/>
          <a:ext cx="1" cy="922682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124240</xdr:rowOff>
    </xdr:from>
    <xdr:to>
      <xdr:col>20</xdr:col>
      <xdr:colOff>1</xdr:colOff>
      <xdr:row>48</xdr:row>
      <xdr:rowOff>173937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2D3ED9C-C515-48E8-B326-571E7036DFD0}"/>
            </a:ext>
          </a:extLst>
        </xdr:cNvPr>
        <xdr:cNvCxnSpPr/>
      </xdr:nvCxnSpPr>
      <xdr:spPr>
        <a:xfrm flipH="1">
          <a:off x="13906500" y="124240"/>
          <a:ext cx="1" cy="922682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sheetPr>
    <pageSetUpPr fitToPage="1"/>
  </sheetPr>
  <dimension ref="B1:M19"/>
  <sheetViews>
    <sheetView workbookViewId="0">
      <selection activeCell="N17" sqref="N17"/>
    </sheetView>
  </sheetViews>
  <sheetFormatPr defaultRowHeight="14.4" x14ac:dyDescent="0.3"/>
  <cols>
    <col min="12" max="12" width="13.88671875" customWidth="1"/>
    <col min="13" max="13" width="9.109375" customWidth="1"/>
  </cols>
  <sheetData>
    <row r="1" spans="2:13" ht="21" x14ac:dyDescent="0.4">
      <c r="K1" s="65" t="s">
        <v>18</v>
      </c>
      <c r="L1" s="65"/>
    </row>
    <row r="2" spans="2:13" ht="22.8" x14ac:dyDescent="0.3">
      <c r="B2" s="66" t="s">
        <v>17</v>
      </c>
      <c r="C2" s="66"/>
      <c r="D2" s="66"/>
      <c r="E2" s="66"/>
      <c r="F2" s="66"/>
      <c r="G2" s="66"/>
      <c r="H2" s="66"/>
      <c r="I2" s="66"/>
      <c r="K2" s="1" t="s">
        <v>0</v>
      </c>
      <c r="L2" s="5">
        <v>174.33</v>
      </c>
    </row>
    <row r="3" spans="2:13" x14ac:dyDescent="0.3">
      <c r="K3" s="1" t="s">
        <v>1</v>
      </c>
      <c r="L3" s="2">
        <v>12722</v>
      </c>
      <c r="M3" t="s">
        <v>87</v>
      </c>
    </row>
    <row r="4" spans="2:13" x14ac:dyDescent="0.3">
      <c r="K4" s="1" t="s">
        <v>2</v>
      </c>
      <c r="L4" s="2">
        <f>L3*L2</f>
        <v>2217826.2600000002</v>
      </c>
    </row>
    <row r="5" spans="2:13" x14ac:dyDescent="0.3">
      <c r="K5" s="1" t="s">
        <v>3</v>
      </c>
      <c r="L5" s="2">
        <v>108090</v>
      </c>
      <c r="M5" t="s">
        <v>87</v>
      </c>
    </row>
    <row r="6" spans="2:13" x14ac:dyDescent="0.3">
      <c r="K6" s="1" t="s">
        <v>4</v>
      </c>
      <c r="L6" s="2">
        <v>13228</v>
      </c>
      <c r="M6" t="s">
        <v>87</v>
      </c>
    </row>
    <row r="7" spans="2:13" x14ac:dyDescent="0.3">
      <c r="K7" s="1" t="s">
        <v>5</v>
      </c>
      <c r="L7" s="2">
        <f>L4-L5+L6</f>
        <v>2122964.2600000002</v>
      </c>
    </row>
    <row r="8" spans="2:13" x14ac:dyDescent="0.3">
      <c r="K8" s="1" t="s">
        <v>6</v>
      </c>
      <c r="L8" s="2">
        <f>L5-L6</f>
        <v>94862</v>
      </c>
    </row>
    <row r="9" spans="2:13" x14ac:dyDescent="0.3">
      <c r="K9" s="1"/>
      <c r="L9" s="1"/>
    </row>
    <row r="10" spans="2:13" x14ac:dyDescent="0.3">
      <c r="K10" s="1" t="s">
        <v>7</v>
      </c>
      <c r="L10" s="1" t="s">
        <v>19</v>
      </c>
    </row>
    <row r="16" spans="2:13" x14ac:dyDescent="0.3">
      <c r="F16" s="6" t="s">
        <v>16</v>
      </c>
    </row>
    <row r="19" spans="10:10" x14ac:dyDescent="0.3">
      <c r="J19" s="7"/>
    </row>
  </sheetData>
  <mergeCells count="2">
    <mergeCell ref="K1:L1"/>
    <mergeCell ref="B2:I2"/>
  </mergeCells>
  <pageMargins left="0.7" right="0.7" top="0.75" bottom="0.75" header="0.3" footer="0.3"/>
  <pageSetup scale="7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sheetPr>
    <pageSetUpPr fitToPage="1"/>
  </sheetPr>
  <dimension ref="A2:GQ120"/>
  <sheetViews>
    <sheetView tabSelected="1" zoomScale="115" zoomScaleNormal="115" workbookViewId="0">
      <pane xSplit="1" ySplit="2" topLeftCell="D14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defaultRowHeight="14.4" x14ac:dyDescent="0.3"/>
  <cols>
    <col min="1" max="1" width="33.88671875" style="26" customWidth="1"/>
    <col min="2" max="20" width="9.109375" style="26"/>
    <col min="24" max="32" width="9.109375"/>
    <col min="33" max="33" width="14.88671875" bestFit="1" customWidth="1"/>
    <col min="34" max="40" width="9.109375"/>
  </cols>
  <sheetData>
    <row r="2" spans="1:40" s="21" customFormat="1" x14ac:dyDescent="0.3">
      <c r="A2" s="45"/>
      <c r="B2" s="46"/>
      <c r="C2" s="46" t="s">
        <v>14</v>
      </c>
      <c r="D2" s="46" t="s">
        <v>15</v>
      </c>
      <c r="E2" s="46" t="s">
        <v>10</v>
      </c>
      <c r="F2" s="46" t="s">
        <v>11</v>
      </c>
      <c r="G2" s="46" t="s">
        <v>12</v>
      </c>
      <c r="H2" s="46" t="s">
        <v>13</v>
      </c>
      <c r="I2" s="46" t="s">
        <v>8</v>
      </c>
      <c r="J2" s="46" t="s">
        <v>9</v>
      </c>
      <c r="K2" s="46" t="s">
        <v>87</v>
      </c>
      <c r="L2" s="46" t="s">
        <v>88</v>
      </c>
      <c r="M2" s="46" t="s">
        <v>89</v>
      </c>
      <c r="N2" s="46" t="s">
        <v>90</v>
      </c>
      <c r="O2" s="46"/>
      <c r="P2" s="46">
        <v>2019</v>
      </c>
      <c r="Q2" s="46">
        <v>2020</v>
      </c>
      <c r="R2" s="46">
        <v>2021</v>
      </c>
      <c r="S2" s="46">
        <v>2022</v>
      </c>
      <c r="T2" s="46">
        <v>2023</v>
      </c>
      <c r="U2" s="21">
        <v>2024</v>
      </c>
      <c r="V2" s="21">
        <v>2025</v>
      </c>
      <c r="W2" s="21">
        <v>2026</v>
      </c>
      <c r="X2" s="21">
        <v>2027</v>
      </c>
      <c r="Y2" s="21">
        <v>2028</v>
      </c>
      <c r="Z2" s="21">
        <v>2029</v>
      </c>
      <c r="AA2" s="21">
        <v>2030</v>
      </c>
      <c r="AB2" s="21">
        <v>2031</v>
      </c>
      <c r="AC2" s="21">
        <v>2032</v>
      </c>
      <c r="AD2" s="21">
        <v>2033</v>
      </c>
      <c r="AE2" s="21">
        <v>2034</v>
      </c>
    </row>
    <row r="3" spans="1:40" s="4" customFormat="1" x14ac:dyDescent="0.3">
      <c r="A3" s="33" t="s">
        <v>99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40" s="19" customFormat="1" x14ac:dyDescent="0.3">
      <c r="A4" s="48" t="s">
        <v>95</v>
      </c>
      <c r="B4" s="35"/>
      <c r="C4" s="35">
        <v>61472</v>
      </c>
      <c r="D4" s="35">
        <v>62841</v>
      </c>
      <c r="E4" s="35">
        <v>61377</v>
      </c>
      <c r="F4" s="35">
        <v>67838</v>
      </c>
      <c r="G4" s="35">
        <v>61961</v>
      </c>
      <c r="H4" s="35">
        <v>66285</v>
      </c>
      <c r="I4" s="35">
        <v>67986</v>
      </c>
      <c r="J4" s="35">
        <v>76311</v>
      </c>
      <c r="K4" s="35">
        <v>70398</v>
      </c>
      <c r="L4" s="35"/>
      <c r="M4" s="35"/>
      <c r="N4" s="35"/>
      <c r="O4" s="35"/>
      <c r="P4" s="35"/>
      <c r="Q4" s="35"/>
      <c r="R4" s="35"/>
      <c r="S4" s="35"/>
      <c r="T4" s="35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 s="18" customFormat="1" x14ac:dyDescent="0.3">
      <c r="A5" s="49" t="s">
        <v>98</v>
      </c>
      <c r="B5" s="50"/>
      <c r="C5" s="50"/>
      <c r="D5" s="50"/>
      <c r="E5" s="50"/>
      <c r="F5" s="50"/>
      <c r="G5" s="51">
        <f>G4/C4-1</f>
        <v>7.9548412285268544E-3</v>
      </c>
      <c r="H5" s="51">
        <f>H4/D4-1</f>
        <v>5.4804984007256419E-2</v>
      </c>
      <c r="I5" s="51">
        <f>I4/E4-1</f>
        <v>0.1076787721785033</v>
      </c>
      <c r="J5" s="51">
        <f>J4/F4-1</f>
        <v>0.12490049824582083</v>
      </c>
      <c r="K5" s="51">
        <f>K4/G4-1</f>
        <v>0.13616629815529113</v>
      </c>
      <c r="L5" s="50"/>
      <c r="M5" s="38"/>
      <c r="N5" s="38"/>
      <c r="O5" s="38"/>
      <c r="P5" s="38"/>
      <c r="Q5" s="38"/>
      <c r="R5" s="38"/>
      <c r="S5" s="38"/>
      <c r="T5" s="38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</row>
    <row r="6" spans="1:40" s="19" customFormat="1" x14ac:dyDescent="0.3">
      <c r="A6" s="48" t="s">
        <v>96</v>
      </c>
      <c r="B6" s="35"/>
      <c r="C6" s="35">
        <v>5821</v>
      </c>
      <c r="D6" s="35">
        <v>6276</v>
      </c>
      <c r="E6" s="35">
        <v>6868</v>
      </c>
      <c r="F6" s="35">
        <v>7315</v>
      </c>
      <c r="G6" s="35">
        <v>7454</v>
      </c>
      <c r="H6" s="35">
        <v>8031</v>
      </c>
      <c r="I6" s="35">
        <v>8411</v>
      </c>
      <c r="J6" s="35">
        <v>9191</v>
      </c>
      <c r="K6" s="35">
        <v>9574</v>
      </c>
      <c r="L6" s="35"/>
      <c r="M6" s="35"/>
      <c r="N6" s="35"/>
      <c r="O6" s="35"/>
      <c r="P6" s="35"/>
      <c r="Q6" s="35"/>
      <c r="R6" s="35"/>
      <c r="S6" s="35"/>
      <c r="T6" s="35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 s="18" customFormat="1" x14ac:dyDescent="0.3">
      <c r="A7" s="49" t="s">
        <v>98</v>
      </c>
      <c r="B7" s="50"/>
      <c r="C7" s="50"/>
      <c r="D7" s="50"/>
      <c r="E7" s="50"/>
      <c r="F7" s="50"/>
      <c r="G7" s="51">
        <f>G6/C6-1</f>
        <v>0.28053599037965982</v>
      </c>
      <c r="H7" s="51">
        <f>H6/D6-1</f>
        <v>0.2796367112810707</v>
      </c>
      <c r="I7" s="51">
        <f>I6/E6-1</f>
        <v>0.22466511357018049</v>
      </c>
      <c r="J7" s="51">
        <f>J6/F6-1</f>
        <v>0.25645933014354072</v>
      </c>
      <c r="K7" s="51">
        <f>K6/G6-1</f>
        <v>0.28441105446740012</v>
      </c>
      <c r="L7" s="50"/>
      <c r="M7" s="38"/>
      <c r="N7" s="38"/>
      <c r="O7" s="38"/>
      <c r="P7" s="38"/>
      <c r="Q7" s="38"/>
      <c r="R7" s="38"/>
      <c r="S7" s="38"/>
      <c r="T7" s="38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</row>
    <row r="8" spans="1:40" s="19" customFormat="1" x14ac:dyDescent="0.3">
      <c r="A8" s="48" t="s">
        <v>97</v>
      </c>
      <c r="B8" s="35"/>
      <c r="C8" s="35">
        <v>440</v>
      </c>
      <c r="D8" s="35">
        <v>193</v>
      </c>
      <c r="E8" s="35">
        <v>209</v>
      </c>
      <c r="F8" s="35">
        <v>226</v>
      </c>
      <c r="G8" s="35">
        <v>288</v>
      </c>
      <c r="H8" s="35">
        <v>285</v>
      </c>
      <c r="I8" s="35">
        <v>297</v>
      </c>
      <c r="J8" s="35">
        <v>657</v>
      </c>
      <c r="K8" s="35">
        <v>495</v>
      </c>
      <c r="L8" s="35"/>
      <c r="M8" s="35"/>
      <c r="N8" s="35"/>
      <c r="O8" s="35"/>
      <c r="P8" s="35"/>
      <c r="Q8" s="35"/>
      <c r="R8" s="35"/>
      <c r="S8" s="35"/>
      <c r="T8" s="35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s="18" customFormat="1" x14ac:dyDescent="0.3">
      <c r="A9" s="49" t="s">
        <v>98</v>
      </c>
      <c r="B9" s="50"/>
      <c r="C9" s="50"/>
      <c r="D9" s="50"/>
      <c r="E9" s="50"/>
      <c r="F9" s="50"/>
      <c r="G9" s="51">
        <f>G8/C8-1</f>
        <v>-0.34545454545454546</v>
      </c>
      <c r="H9" s="51">
        <f>H8/D8-1</f>
        <v>0.47668393782383411</v>
      </c>
      <c r="I9" s="51">
        <f>I8/E8-1</f>
        <v>0.42105263157894735</v>
      </c>
      <c r="J9" s="51">
        <f>J8/F8-1</f>
        <v>1.9070796460176993</v>
      </c>
      <c r="K9" s="51">
        <f>K8/G8-1</f>
        <v>0.71875</v>
      </c>
      <c r="L9" s="50"/>
      <c r="M9" s="38"/>
      <c r="N9" s="38"/>
      <c r="O9" s="38"/>
      <c r="P9" s="38"/>
      <c r="Q9" s="38"/>
      <c r="R9" s="38"/>
      <c r="S9" s="38"/>
      <c r="T9" s="38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</row>
    <row r="10" spans="1:40" s="19" customFormat="1" x14ac:dyDescent="0.3">
      <c r="A10" s="48" t="s">
        <v>92</v>
      </c>
      <c r="B10" s="35"/>
      <c r="C10" s="35">
        <v>278</v>
      </c>
      <c r="D10" s="35">
        <v>375</v>
      </c>
      <c r="E10" s="35">
        <v>638</v>
      </c>
      <c r="F10" s="35">
        <v>669</v>
      </c>
      <c r="G10" s="35">
        <v>84</v>
      </c>
      <c r="H10" s="35">
        <v>3</v>
      </c>
      <c r="I10" s="35">
        <v>-1</v>
      </c>
      <c r="J10" s="35">
        <v>150</v>
      </c>
      <c r="K10" s="35">
        <v>72</v>
      </c>
      <c r="L10" s="35"/>
      <c r="M10" s="35"/>
      <c r="N10" s="35"/>
      <c r="O10" s="35"/>
      <c r="P10" s="35"/>
      <c r="Q10" s="35"/>
      <c r="R10" s="35"/>
      <c r="S10" s="35"/>
      <c r="T10" s="35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 s="18" customFormat="1" x14ac:dyDescent="0.3">
      <c r="A11" s="49" t="s">
        <v>98</v>
      </c>
      <c r="B11" s="50"/>
      <c r="C11" s="50"/>
      <c r="D11" s="50"/>
      <c r="E11" s="50"/>
      <c r="F11" s="50"/>
      <c r="G11" s="51">
        <f>G10/C10-1</f>
        <v>-0.69784172661870503</v>
      </c>
      <c r="H11" s="51">
        <f>H10/D10-1</f>
        <v>-0.99199999999999999</v>
      </c>
      <c r="I11" s="51">
        <f>I10/E10-1</f>
        <v>-1.0015673981191222</v>
      </c>
      <c r="J11" s="51">
        <f>J10/F10-1</f>
        <v>-0.77578475336322872</v>
      </c>
      <c r="K11" s="51">
        <f>K10/G10-1</f>
        <v>-0.1428571428571429</v>
      </c>
      <c r="L11" s="50"/>
      <c r="M11" s="38"/>
      <c r="N11" s="38"/>
      <c r="O11" s="38"/>
      <c r="P11" s="38"/>
      <c r="Q11" s="38"/>
      <c r="R11" s="38"/>
      <c r="S11" s="38"/>
      <c r="T11" s="38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</row>
    <row r="12" spans="1:40" s="3" customFormat="1" x14ac:dyDescent="0.3">
      <c r="A12" s="32" t="s">
        <v>93</v>
      </c>
      <c r="B12" s="23"/>
      <c r="C12" s="23">
        <f t="shared" ref="C12:K12" si="0">SUM(C4:C10)</f>
        <v>68011</v>
      </c>
      <c r="D12" s="23">
        <f t="shared" si="0"/>
        <v>69685</v>
      </c>
      <c r="E12" s="23">
        <f t="shared" si="0"/>
        <v>69092</v>
      </c>
      <c r="F12" s="23">
        <f t="shared" si="0"/>
        <v>76048</v>
      </c>
      <c r="G12" s="23">
        <f t="shared" si="0"/>
        <v>69786.943036286146</v>
      </c>
      <c r="H12" s="23">
        <f t="shared" si="0"/>
        <v>74604.811125633118</v>
      </c>
      <c r="I12" s="23">
        <f t="shared" si="0"/>
        <v>76693.753396517321</v>
      </c>
      <c r="J12" s="23">
        <f t="shared" si="0"/>
        <v>86311.288439474418</v>
      </c>
      <c r="K12" s="23">
        <f t="shared" si="0"/>
        <v>80540.139327352619</v>
      </c>
      <c r="L12" s="23"/>
      <c r="M12" s="23"/>
      <c r="N12" s="23"/>
      <c r="O12" s="23"/>
      <c r="P12" s="23"/>
      <c r="Q12" s="23"/>
      <c r="R12" s="23"/>
      <c r="S12" s="23"/>
      <c r="T12" s="23"/>
    </row>
    <row r="13" spans="1:40" s="10" customFormat="1" ht="15" thickBot="1" x14ac:dyDescent="0.35">
      <c r="A13" s="52" t="s">
        <v>94</v>
      </c>
      <c r="B13" s="53"/>
      <c r="C13" s="53">
        <v>-338</v>
      </c>
      <c r="D13" s="53"/>
      <c r="E13" s="53"/>
      <c r="F13" s="53"/>
      <c r="G13" s="53">
        <v>-3288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s="4" customFormat="1" x14ac:dyDescent="0.3">
      <c r="A14" s="3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40" s="4" customFormat="1" x14ac:dyDescent="0.3">
      <c r="A15" s="33" t="s">
        <v>108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40" s="8" customFormat="1" x14ac:dyDescent="0.3">
      <c r="A16" s="31" t="s">
        <v>20</v>
      </c>
      <c r="B16" s="31"/>
      <c r="C16" s="31">
        <v>68011</v>
      </c>
      <c r="D16" s="31">
        <v>69685</v>
      </c>
      <c r="E16" s="31">
        <v>69092</v>
      </c>
      <c r="F16" s="31">
        <v>76048</v>
      </c>
      <c r="G16" s="31">
        <v>69787</v>
      </c>
      <c r="H16" s="31">
        <v>74604</v>
      </c>
      <c r="I16" s="31">
        <v>76693</v>
      </c>
      <c r="J16" s="31">
        <v>86310</v>
      </c>
      <c r="K16" s="31">
        <v>80539</v>
      </c>
      <c r="L16" s="31">
        <f>K16*1.05</f>
        <v>84565.95</v>
      </c>
      <c r="M16" s="31">
        <f>L16*1.03</f>
        <v>87102.928499999995</v>
      </c>
      <c r="N16" s="31">
        <f>M16*1.05</f>
        <v>91458.074924999994</v>
      </c>
      <c r="O16" s="31"/>
      <c r="P16" s="31"/>
      <c r="Q16" s="31"/>
      <c r="R16" s="31"/>
      <c r="S16" s="31">
        <f>SUM(C16:F16)</f>
        <v>282836</v>
      </c>
      <c r="T16" s="31">
        <f>SUM(G16:J16)</f>
        <v>307394</v>
      </c>
      <c r="U16" s="8">
        <f>SUM(K16:N16)</f>
        <v>343665.95342499996</v>
      </c>
      <c r="V16" s="8">
        <f>U16*1.11</f>
        <v>381469.20830175001</v>
      </c>
      <c r="W16" s="8">
        <f>V16*1.1</f>
        <v>419616.12913192506</v>
      </c>
      <c r="X16" s="11">
        <f>W16*1.05</f>
        <v>440596.93558852136</v>
      </c>
      <c r="Y16" s="11">
        <f>X16*1.05</f>
        <v>462626.78236794745</v>
      </c>
      <c r="Z16" s="11">
        <f>Y16*1.05</f>
        <v>485758.12148634484</v>
      </c>
      <c r="AA16" s="11">
        <f>Z16*1.06</f>
        <v>514903.60877552553</v>
      </c>
      <c r="AB16" s="11">
        <f>AA16*1.03</f>
        <v>530350.71703879128</v>
      </c>
      <c r="AC16" s="11">
        <f t="shared" ref="AC16" si="1">AB16*1.03</f>
        <v>546261.23854995507</v>
      </c>
      <c r="AD16" s="11">
        <f>AC16*1.025</f>
        <v>559917.76951370388</v>
      </c>
      <c r="AE16" s="11">
        <f>AD16*1.025</f>
        <v>573915.71375154646</v>
      </c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199" s="3" customFormat="1" x14ac:dyDescent="0.3">
      <c r="A17" s="23" t="s">
        <v>21</v>
      </c>
      <c r="B17" s="23"/>
      <c r="C17" s="23">
        <v>29599</v>
      </c>
      <c r="D17" s="23">
        <v>30104</v>
      </c>
      <c r="E17" s="23">
        <v>31158</v>
      </c>
      <c r="F17" s="23">
        <v>35342</v>
      </c>
      <c r="G17" s="23">
        <v>30612</v>
      </c>
      <c r="H17" s="23">
        <v>31916</v>
      </c>
      <c r="I17" s="23">
        <v>33229</v>
      </c>
      <c r="J17" s="23">
        <v>37575</v>
      </c>
      <c r="K17" s="23">
        <v>33712</v>
      </c>
      <c r="L17" s="23">
        <f>L16*0.44</f>
        <v>37209.017999999996</v>
      </c>
      <c r="M17" s="23">
        <f>M16*0.43</f>
        <v>37454.259254999997</v>
      </c>
      <c r="N17" s="23">
        <f t="shared" ref="N17" si="2">N16*0.44</f>
        <v>40241.552966999996</v>
      </c>
      <c r="O17" s="23"/>
      <c r="P17" s="23"/>
      <c r="Q17" s="23"/>
      <c r="R17" s="23"/>
      <c r="S17" s="23">
        <f>SUM(C17:F17)</f>
        <v>126203</v>
      </c>
      <c r="T17" s="23">
        <f>SUM(G17:J17)</f>
        <v>133332</v>
      </c>
      <c r="U17" s="3">
        <f>SUM(K17:N17)</f>
        <v>148616.83022199999</v>
      </c>
      <c r="V17" s="23">
        <f>V16*0.43</f>
        <v>164031.7595697525</v>
      </c>
      <c r="W17" s="23">
        <f t="shared" ref="W17" si="3">W16*0.44</f>
        <v>184631.09681804702</v>
      </c>
      <c r="X17" s="23">
        <f>X16*0.43</f>
        <v>189456.68230306418</v>
      </c>
      <c r="Y17" s="23">
        <f>Y16*0.43</f>
        <v>198929.51641821739</v>
      </c>
      <c r="Z17" s="23">
        <f t="shared" ref="Z17" si="4">Z16*0.44</f>
        <v>213733.57345399173</v>
      </c>
      <c r="AA17" s="23">
        <f>AA16*0.43</f>
        <v>221408.55177347598</v>
      </c>
      <c r="AB17" s="23">
        <f t="shared" ref="AB17" si="5">AB16*0.44</f>
        <v>233354.31549706816</v>
      </c>
      <c r="AC17" s="23">
        <f>AC16*0.43</f>
        <v>234892.33257648067</v>
      </c>
      <c r="AD17" s="23">
        <f>AD16*0.43</f>
        <v>240764.64089089265</v>
      </c>
      <c r="AE17" s="23">
        <f t="shared" ref="AE17" si="6">AE16*0.44</f>
        <v>252522.91405068044</v>
      </c>
    </row>
    <row r="18" spans="1:199" s="8" customFormat="1" x14ac:dyDescent="0.3">
      <c r="A18" s="31" t="s">
        <v>32</v>
      </c>
      <c r="B18" s="31"/>
      <c r="C18" s="31">
        <f t="shared" ref="C18:K18" si="7">C16-C17</f>
        <v>38412</v>
      </c>
      <c r="D18" s="31">
        <f t="shared" si="7"/>
        <v>39581</v>
      </c>
      <c r="E18" s="31">
        <f t="shared" si="7"/>
        <v>37934</v>
      </c>
      <c r="F18" s="31">
        <f t="shared" si="7"/>
        <v>40706</v>
      </c>
      <c r="G18" s="31">
        <f t="shared" si="7"/>
        <v>39175</v>
      </c>
      <c r="H18" s="31">
        <f t="shared" si="7"/>
        <v>42688</v>
      </c>
      <c r="I18" s="31">
        <f t="shared" si="7"/>
        <v>43464</v>
      </c>
      <c r="J18" s="31">
        <f t="shared" si="7"/>
        <v>48735</v>
      </c>
      <c r="K18" s="31">
        <f t="shared" si="7"/>
        <v>46827</v>
      </c>
      <c r="L18" s="31">
        <f t="shared" ref="L18:N18" si="8">L16-L17</f>
        <v>47356.932000000001</v>
      </c>
      <c r="M18" s="31">
        <f t="shared" si="8"/>
        <v>49648.669244999997</v>
      </c>
      <c r="N18" s="31">
        <f t="shared" si="8"/>
        <v>51216.521957999998</v>
      </c>
      <c r="O18" s="31"/>
      <c r="P18" s="31"/>
      <c r="Q18" s="31"/>
      <c r="R18" s="31"/>
      <c r="S18" s="31">
        <f>S16-S17</f>
        <v>156633</v>
      </c>
      <c r="T18" s="31">
        <f>T16-T17</f>
        <v>174062</v>
      </c>
      <c r="U18" s="31">
        <f>U16-U17</f>
        <v>195049.12320299997</v>
      </c>
      <c r="V18" s="31">
        <f t="shared" ref="V18:AE18" si="9">V16-V17</f>
        <v>217437.44873199752</v>
      </c>
      <c r="W18" s="31">
        <f t="shared" si="9"/>
        <v>234985.03231387804</v>
      </c>
      <c r="X18" s="31">
        <f t="shared" si="9"/>
        <v>251140.25328545718</v>
      </c>
      <c r="Y18" s="31">
        <f t="shared" si="9"/>
        <v>263697.26594973006</v>
      </c>
      <c r="Z18" s="31">
        <f t="shared" si="9"/>
        <v>272024.54803235311</v>
      </c>
      <c r="AA18" s="31">
        <f t="shared" si="9"/>
        <v>293495.05700204952</v>
      </c>
      <c r="AB18" s="31">
        <f t="shared" si="9"/>
        <v>296996.40154172311</v>
      </c>
      <c r="AC18" s="31">
        <f t="shared" si="9"/>
        <v>311368.90597347438</v>
      </c>
      <c r="AD18" s="31">
        <f t="shared" si="9"/>
        <v>319153.12862281123</v>
      </c>
      <c r="AE18" s="31">
        <f t="shared" si="9"/>
        <v>321392.79970086599</v>
      </c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199" s="3" customFormat="1" x14ac:dyDescent="0.3">
      <c r="A19" s="23" t="s">
        <v>22</v>
      </c>
      <c r="B19" s="23"/>
      <c r="C19" s="23">
        <v>9119</v>
      </c>
      <c r="D19" s="23">
        <v>9841</v>
      </c>
      <c r="E19" s="23">
        <v>10273</v>
      </c>
      <c r="F19" s="23">
        <v>10267</v>
      </c>
      <c r="G19" s="23">
        <v>11468</v>
      </c>
      <c r="H19" s="23">
        <v>10588</v>
      </c>
      <c r="I19" s="23">
        <v>11258</v>
      </c>
      <c r="J19" s="23">
        <v>12113</v>
      </c>
      <c r="K19" s="23">
        <v>11903</v>
      </c>
      <c r="L19" s="23">
        <f>AVERAGE(H19:K19)</f>
        <v>11465.5</v>
      </c>
      <c r="M19" s="23">
        <f t="shared" ref="M19:N19" si="10">AVERAGE(I19:L19)</f>
        <v>11684.875</v>
      </c>
      <c r="N19" s="23">
        <f t="shared" si="10"/>
        <v>11791.59375</v>
      </c>
      <c r="O19" s="23"/>
      <c r="P19" s="23"/>
      <c r="Q19" s="23"/>
      <c r="R19" s="23"/>
      <c r="S19" s="23">
        <f>SUM(C19:F19)</f>
        <v>39500</v>
      </c>
      <c r="T19" s="23">
        <f>SUM(G19:J19)</f>
        <v>45427</v>
      </c>
      <c r="U19" s="3">
        <f>SUM(K19:N19)</f>
        <v>46844.96875</v>
      </c>
      <c r="V19" s="3">
        <f>U19*1.15</f>
        <v>53871.714062499996</v>
      </c>
      <c r="W19" s="3">
        <f>V19*1.13</f>
        <v>60875.036890624986</v>
      </c>
      <c r="X19" s="3">
        <f>W19*1.11</f>
        <v>67571.290948593742</v>
      </c>
      <c r="Y19" s="3">
        <f t="shared" ref="Y19" si="11">X19*1.11</f>
        <v>75004.132952939064</v>
      </c>
      <c r="Z19" s="3">
        <f>Y19*1.03</f>
        <v>77254.256941527245</v>
      </c>
      <c r="AA19" s="3">
        <f t="shared" ref="AA19:AE19" si="12">Z19*1.03</f>
        <v>79571.88464977307</v>
      </c>
      <c r="AB19" s="3">
        <f t="shared" si="12"/>
        <v>81959.041189266267</v>
      </c>
      <c r="AC19" s="3">
        <f t="shared" si="12"/>
        <v>84417.812424944263</v>
      </c>
      <c r="AD19" s="3">
        <f t="shared" si="12"/>
        <v>86950.346797692589</v>
      </c>
      <c r="AE19" s="3">
        <f t="shared" si="12"/>
        <v>89558.857201623367</v>
      </c>
    </row>
    <row r="20" spans="1:199" s="3" customFormat="1" x14ac:dyDescent="0.3">
      <c r="A20" s="23" t="s">
        <v>23</v>
      </c>
      <c r="B20" s="23"/>
      <c r="C20" s="23">
        <v>5825</v>
      </c>
      <c r="D20" s="23">
        <v>6630</v>
      </c>
      <c r="E20" s="23">
        <v>6929</v>
      </c>
      <c r="F20" s="23">
        <v>7183</v>
      </c>
      <c r="G20" s="23">
        <v>6533</v>
      </c>
      <c r="H20" s="23">
        <v>6781</v>
      </c>
      <c r="I20" s="23">
        <v>6884</v>
      </c>
      <c r="J20" s="23">
        <v>7719</v>
      </c>
      <c r="K20" s="23">
        <v>6426</v>
      </c>
      <c r="L20" s="23">
        <f>AVERAGE(H20:K20)</f>
        <v>6952.5</v>
      </c>
      <c r="M20" s="23">
        <f t="shared" ref="M20:N20" si="13">AVERAGE(I20:L20)</f>
        <v>6995.375</v>
      </c>
      <c r="N20" s="23">
        <f t="shared" si="13"/>
        <v>7023.21875</v>
      </c>
      <c r="O20" s="23"/>
      <c r="P20" s="23"/>
      <c r="Q20" s="23"/>
      <c r="R20" s="23"/>
      <c r="S20" s="23">
        <f>SUM(C20:F20)</f>
        <v>26567</v>
      </c>
      <c r="T20" s="23">
        <f>SUM(G20:J20)</f>
        <v>27917</v>
      </c>
      <c r="U20" s="3">
        <f t="shared" ref="U20:U21" si="14">SUM(K20:N20)</f>
        <v>27397.09375</v>
      </c>
      <c r="V20" s="3">
        <f>U20*1.15</f>
        <v>31506.657812499998</v>
      </c>
      <c r="W20" s="3">
        <f t="shared" ref="W20" si="15">V20*1.15</f>
        <v>36232.656484374995</v>
      </c>
      <c r="X20" s="3">
        <f>W20*1.12</f>
        <v>40580.575262499995</v>
      </c>
      <c r="Y20" s="3">
        <f t="shared" ref="Y20" si="16">X20*1.12</f>
        <v>45450.244293999996</v>
      </c>
      <c r="Z20" s="3">
        <f>Y20*1.03</f>
        <v>46813.751622819997</v>
      </c>
      <c r="AA20" s="3">
        <f t="shared" ref="AA20:AE20" si="17">Z20*1.03</f>
        <v>48218.164171504599</v>
      </c>
      <c r="AB20" s="3">
        <f t="shared" si="17"/>
        <v>49664.709096649742</v>
      </c>
      <c r="AC20" s="3">
        <f t="shared" si="17"/>
        <v>51154.650369549236</v>
      </c>
      <c r="AD20" s="3">
        <f t="shared" si="17"/>
        <v>52689.289880635712</v>
      </c>
      <c r="AE20" s="3">
        <f t="shared" si="17"/>
        <v>54269.968577054788</v>
      </c>
    </row>
    <row r="21" spans="1:199" s="10" customFormat="1" ht="15" thickBot="1" x14ac:dyDescent="0.35">
      <c r="A21" s="53" t="s">
        <v>24</v>
      </c>
      <c r="B21" s="53"/>
      <c r="C21" s="53">
        <v>3374</v>
      </c>
      <c r="D21" s="53">
        <v>3657</v>
      </c>
      <c r="E21" s="53">
        <v>3597</v>
      </c>
      <c r="F21" s="53">
        <v>5096</v>
      </c>
      <c r="G21" s="53">
        <v>3759</v>
      </c>
      <c r="H21" s="53">
        <v>3481</v>
      </c>
      <c r="I21" s="53">
        <v>3979</v>
      </c>
      <c r="J21" s="53">
        <v>5206</v>
      </c>
      <c r="K21" s="53">
        <v>3026</v>
      </c>
      <c r="L21" s="53">
        <f>AVERAGE(H21:K21)</f>
        <v>3923</v>
      </c>
      <c r="M21" s="53">
        <f t="shared" ref="M21:N21" si="18">AVERAGE(I21:L21)</f>
        <v>4033.5</v>
      </c>
      <c r="N21" s="53">
        <f t="shared" si="18"/>
        <v>4047.125</v>
      </c>
      <c r="O21" s="53"/>
      <c r="P21" s="53"/>
      <c r="Q21" s="53"/>
      <c r="R21" s="53"/>
      <c r="S21" s="53">
        <f>SUM(C21:F21)</f>
        <v>15724</v>
      </c>
      <c r="T21" s="53">
        <f>SUM(G21:J21)</f>
        <v>16425</v>
      </c>
      <c r="U21" s="10">
        <f t="shared" si="14"/>
        <v>15029.625</v>
      </c>
      <c r="V21" s="10">
        <f>U21*1.13</f>
        <v>16983.47625</v>
      </c>
      <c r="W21" s="10">
        <f t="shared" ref="W21" si="19">V21*1.13</f>
        <v>19191.328162499998</v>
      </c>
      <c r="X21" s="10">
        <f>W21*1.11</f>
        <v>21302.374260375</v>
      </c>
      <c r="Y21" s="10">
        <f t="shared" ref="Y21" si="20">X21*1.11</f>
        <v>23645.635429016253</v>
      </c>
      <c r="Z21" s="10">
        <f>Y21*1.03</f>
        <v>24355.004491886742</v>
      </c>
      <c r="AA21" s="10">
        <f t="shared" ref="AA21:AE21" si="21">Z21*1.03</f>
        <v>25085.654626643347</v>
      </c>
      <c r="AB21" s="10">
        <f t="shared" si="21"/>
        <v>25838.224265442648</v>
      </c>
      <c r="AC21" s="10">
        <f t="shared" si="21"/>
        <v>26613.37099340593</v>
      </c>
      <c r="AD21" s="10">
        <f t="shared" si="21"/>
        <v>27411.772123208109</v>
      </c>
      <c r="AE21" s="10">
        <f t="shared" si="21"/>
        <v>28234.125286904353</v>
      </c>
    </row>
    <row r="22" spans="1:199" s="11" customFormat="1" x14ac:dyDescent="0.3">
      <c r="A22" s="24" t="s">
        <v>25</v>
      </c>
      <c r="B22" s="24"/>
      <c r="C22" s="24">
        <f t="shared" ref="C22:K22" si="22">C17+C19+C20+C21</f>
        <v>47917</v>
      </c>
      <c r="D22" s="24">
        <f t="shared" si="22"/>
        <v>50232</v>
      </c>
      <c r="E22" s="24">
        <f t="shared" si="22"/>
        <v>51957</v>
      </c>
      <c r="F22" s="24">
        <f t="shared" si="22"/>
        <v>57888</v>
      </c>
      <c r="G22" s="24">
        <f t="shared" si="22"/>
        <v>52372</v>
      </c>
      <c r="H22" s="24">
        <f t="shared" si="22"/>
        <v>52766</v>
      </c>
      <c r="I22" s="24">
        <f t="shared" si="22"/>
        <v>55350</v>
      </c>
      <c r="J22" s="24">
        <f t="shared" si="22"/>
        <v>62613</v>
      </c>
      <c r="K22" s="24">
        <f t="shared" si="22"/>
        <v>55067</v>
      </c>
      <c r="L22" s="24">
        <f t="shared" ref="L22:N22" si="23">L17+L19+L20+L21</f>
        <v>59550.017999999996</v>
      </c>
      <c r="M22" s="24">
        <f t="shared" si="23"/>
        <v>60168.009254999997</v>
      </c>
      <c r="N22" s="24">
        <f t="shared" si="23"/>
        <v>63103.490466999996</v>
      </c>
      <c r="O22" s="24"/>
      <c r="P22" s="24"/>
      <c r="Q22" s="24"/>
      <c r="R22" s="24"/>
      <c r="S22" s="24">
        <f>S17+S19+S20+S21</f>
        <v>207994</v>
      </c>
      <c r="T22" s="24">
        <f>T17+T19+T20+T21</f>
        <v>223101</v>
      </c>
      <c r="U22" s="24">
        <f>U17+U19+U20+U21</f>
        <v>237888.51772199999</v>
      </c>
      <c r="V22" s="24">
        <f>V17+V19+V20+V21</f>
        <v>266393.60769475246</v>
      </c>
      <c r="W22" s="24">
        <f t="shared" ref="W22:AE22" si="24">W17+W19+W20+W21</f>
        <v>300930.11835554702</v>
      </c>
      <c r="X22" s="24">
        <f t="shared" si="24"/>
        <v>318910.92277453287</v>
      </c>
      <c r="Y22" s="24">
        <f t="shared" si="24"/>
        <v>343029.5290941727</v>
      </c>
      <c r="Z22" s="24">
        <f t="shared" si="24"/>
        <v>362156.58651022572</v>
      </c>
      <c r="AA22" s="24">
        <f t="shared" si="24"/>
        <v>374284.25522139703</v>
      </c>
      <c r="AB22" s="24">
        <f t="shared" si="24"/>
        <v>390816.29004842677</v>
      </c>
      <c r="AC22" s="24">
        <f t="shared" si="24"/>
        <v>397078.1663643801</v>
      </c>
      <c r="AD22" s="24">
        <f t="shared" si="24"/>
        <v>407816.04969242908</v>
      </c>
      <c r="AE22" s="24">
        <f t="shared" si="24"/>
        <v>424585.86511626292</v>
      </c>
    </row>
    <row r="23" spans="1:199" s="8" customFormat="1" x14ac:dyDescent="0.3">
      <c r="A23" s="31" t="s">
        <v>26</v>
      </c>
      <c r="B23" s="31"/>
      <c r="C23" s="31">
        <f t="shared" ref="C23:K23" si="25">C16-C22</f>
        <v>20094</v>
      </c>
      <c r="D23" s="31">
        <f t="shared" si="25"/>
        <v>19453</v>
      </c>
      <c r="E23" s="31">
        <f t="shared" si="25"/>
        <v>17135</v>
      </c>
      <c r="F23" s="31">
        <f t="shared" si="25"/>
        <v>18160</v>
      </c>
      <c r="G23" s="31">
        <f t="shared" si="25"/>
        <v>17415</v>
      </c>
      <c r="H23" s="31">
        <f t="shared" si="25"/>
        <v>21838</v>
      </c>
      <c r="I23" s="31">
        <f t="shared" si="25"/>
        <v>21343</v>
      </c>
      <c r="J23" s="31">
        <f t="shared" si="25"/>
        <v>23697</v>
      </c>
      <c r="K23" s="31">
        <f t="shared" si="25"/>
        <v>25472</v>
      </c>
      <c r="L23" s="31">
        <f t="shared" ref="L23:N23" si="26">L16-L22</f>
        <v>25015.932000000001</v>
      </c>
      <c r="M23" s="31">
        <f t="shared" si="26"/>
        <v>26934.919244999997</v>
      </c>
      <c r="N23" s="31">
        <f t="shared" si="26"/>
        <v>28354.584457999998</v>
      </c>
      <c r="O23" s="31"/>
      <c r="P23" s="31"/>
      <c r="Q23" s="31"/>
      <c r="R23" s="31"/>
      <c r="S23" s="31">
        <f>S16-S22</f>
        <v>74842</v>
      </c>
      <c r="T23" s="31">
        <f>T16-T22</f>
        <v>84293</v>
      </c>
      <c r="U23" s="31">
        <f>U16-U22</f>
        <v>105777.43570299997</v>
      </c>
      <c r="V23" s="31">
        <f>V16-V22</f>
        <v>115075.60060699756</v>
      </c>
      <c r="W23" s="31">
        <f t="shared" ref="W23:AE23" si="27">W16-W22</f>
        <v>118686.01077637804</v>
      </c>
      <c r="X23" s="31">
        <f t="shared" si="27"/>
        <v>121686.01281398849</v>
      </c>
      <c r="Y23" s="31">
        <f t="shared" si="27"/>
        <v>119597.25327377475</v>
      </c>
      <c r="Z23" s="31">
        <f t="shared" si="27"/>
        <v>123601.53497611912</v>
      </c>
      <c r="AA23" s="31">
        <f t="shared" si="27"/>
        <v>140619.35355412849</v>
      </c>
      <c r="AB23" s="31">
        <f t="shared" si="27"/>
        <v>139534.4269903645</v>
      </c>
      <c r="AC23" s="31">
        <f t="shared" si="27"/>
        <v>149183.07218557497</v>
      </c>
      <c r="AD23" s="31">
        <f t="shared" si="27"/>
        <v>152101.7198212748</v>
      </c>
      <c r="AE23" s="31">
        <f t="shared" si="27"/>
        <v>149329.84863528353</v>
      </c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199" s="3" customFormat="1" x14ac:dyDescent="0.3">
      <c r="A24" s="23" t="s">
        <v>27</v>
      </c>
      <c r="B24" s="23"/>
      <c r="C24" s="23">
        <v>-1160</v>
      </c>
      <c r="D24" s="23">
        <v>-439</v>
      </c>
      <c r="E24" s="23">
        <v>-902</v>
      </c>
      <c r="F24" s="23">
        <v>-1013</v>
      </c>
      <c r="G24" s="23">
        <v>790</v>
      </c>
      <c r="H24" s="23">
        <v>65</v>
      </c>
      <c r="I24" s="23">
        <v>-146</v>
      </c>
      <c r="J24" s="23">
        <v>715</v>
      </c>
      <c r="K24" s="23">
        <v>2843</v>
      </c>
      <c r="L24" s="23">
        <f>AVERAGE(C24:K24)</f>
        <v>83.666666666666671</v>
      </c>
      <c r="M24" s="23">
        <f>AVERAGE(D24:K24)</f>
        <v>239.125</v>
      </c>
      <c r="N24" s="23">
        <f>AVERAGE(F24:K24)</f>
        <v>542.33333333333337</v>
      </c>
      <c r="O24" s="23"/>
      <c r="P24" s="23"/>
      <c r="Q24" s="23"/>
      <c r="R24" s="23"/>
      <c r="S24" s="23">
        <f>SUM(C24:F24)</f>
        <v>-3514</v>
      </c>
      <c r="T24" s="23">
        <f>SUM(G24:J24)</f>
        <v>1424</v>
      </c>
      <c r="U24" s="3">
        <f>AVERAGE(S24:T24)</f>
        <v>-1045</v>
      </c>
      <c r="V24" s="3">
        <f>AVERAGE(T24:U24)</f>
        <v>189.5</v>
      </c>
      <c r="W24" s="3">
        <v>1500</v>
      </c>
      <c r="X24" s="3">
        <f>AVERAGE(U24:W24)</f>
        <v>214.83333333333334</v>
      </c>
      <c r="Y24" s="3">
        <v>1500</v>
      </c>
      <c r="Z24" s="3">
        <f>AVERAGE(V24:Y24)</f>
        <v>851.08333333333326</v>
      </c>
      <c r="AA24" s="3">
        <f t="shared" ref="AA24:AE24" si="28">AVERAGE(W24:Z24)</f>
        <v>1016.4791666666665</v>
      </c>
      <c r="AB24" s="3">
        <f t="shared" si="28"/>
        <v>895.59895833333326</v>
      </c>
      <c r="AC24" s="3">
        <f t="shared" si="28"/>
        <v>1065.7903645833333</v>
      </c>
      <c r="AD24" s="3">
        <f t="shared" si="28"/>
        <v>957.23795572916652</v>
      </c>
      <c r="AE24" s="3">
        <f t="shared" si="28"/>
        <v>983.77661132812489</v>
      </c>
    </row>
    <row r="25" spans="1:199" s="8" customFormat="1" x14ac:dyDescent="0.3">
      <c r="A25" s="31" t="s">
        <v>28</v>
      </c>
      <c r="B25" s="31"/>
      <c r="C25" s="31">
        <f t="shared" ref="C25:L25" si="29">C23+C24</f>
        <v>18934</v>
      </c>
      <c r="D25" s="31">
        <f t="shared" si="29"/>
        <v>19014</v>
      </c>
      <c r="E25" s="31">
        <f t="shared" si="29"/>
        <v>16233</v>
      </c>
      <c r="F25" s="31">
        <f t="shared" si="29"/>
        <v>17147</v>
      </c>
      <c r="G25" s="31">
        <f t="shared" si="29"/>
        <v>18205</v>
      </c>
      <c r="H25" s="31">
        <f t="shared" si="29"/>
        <v>21903</v>
      </c>
      <c r="I25" s="31">
        <f t="shared" si="29"/>
        <v>21197</v>
      </c>
      <c r="J25" s="31">
        <f t="shared" si="29"/>
        <v>24412</v>
      </c>
      <c r="K25" s="31">
        <f t="shared" si="29"/>
        <v>28315</v>
      </c>
      <c r="L25" s="31">
        <f t="shared" si="29"/>
        <v>25099.598666666669</v>
      </c>
      <c r="M25" s="31">
        <f t="shared" ref="M25:N25" si="30">M23+M24</f>
        <v>27174.044244999997</v>
      </c>
      <c r="N25" s="31">
        <f t="shared" si="30"/>
        <v>28896.91779133333</v>
      </c>
      <c r="O25" s="31"/>
      <c r="P25" s="31"/>
      <c r="Q25" s="31"/>
      <c r="R25" s="31"/>
      <c r="S25" s="31">
        <f>S23+S24</f>
        <v>71328</v>
      </c>
      <c r="T25" s="31">
        <f>T23+T24</f>
        <v>85717</v>
      </c>
      <c r="U25" s="31">
        <f>U23+U24</f>
        <v>104732.43570299997</v>
      </c>
      <c r="V25" s="31">
        <f>V23+V24</f>
        <v>115265.10060699756</v>
      </c>
      <c r="W25" s="31">
        <f t="shared" ref="W25:AE25" si="31">W23+W24</f>
        <v>120186.01077637804</v>
      </c>
      <c r="X25" s="31">
        <f t="shared" si="31"/>
        <v>121900.84614732182</v>
      </c>
      <c r="Y25" s="31">
        <f t="shared" si="31"/>
        <v>121097.25327377475</v>
      </c>
      <c r="Z25" s="31">
        <f t="shared" si="31"/>
        <v>124452.61830945245</v>
      </c>
      <c r="AA25" s="31">
        <f t="shared" si="31"/>
        <v>141635.83272079515</v>
      </c>
      <c r="AB25" s="31">
        <f t="shared" si="31"/>
        <v>140430.02594869785</v>
      </c>
      <c r="AC25" s="31">
        <f t="shared" si="31"/>
        <v>150248.86255015832</v>
      </c>
      <c r="AD25" s="31">
        <f t="shared" si="31"/>
        <v>153058.95777700396</v>
      </c>
      <c r="AE25" s="31">
        <f t="shared" si="31"/>
        <v>150313.62524661166</v>
      </c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199" s="3" customFormat="1" x14ac:dyDescent="0.3">
      <c r="A26" s="23" t="s">
        <v>29</v>
      </c>
      <c r="B26" s="23"/>
      <c r="C26" s="23">
        <v>2498</v>
      </c>
      <c r="D26" s="23">
        <v>3012</v>
      </c>
      <c r="E26" s="23">
        <v>2323</v>
      </c>
      <c r="F26" s="23">
        <v>3523</v>
      </c>
      <c r="G26" s="23">
        <v>3154</v>
      </c>
      <c r="H26" s="23">
        <v>3535</v>
      </c>
      <c r="I26" s="23">
        <v>1508</v>
      </c>
      <c r="J26" s="23">
        <v>3725</v>
      </c>
      <c r="K26" s="23">
        <v>4653</v>
      </c>
      <c r="L26" s="23">
        <f>L25*0.15</f>
        <v>3764.9398000000001</v>
      </c>
      <c r="M26" s="23">
        <f t="shared" ref="M26:N26" si="32">M25*0.15</f>
        <v>4076.1066367499993</v>
      </c>
      <c r="N26" s="23">
        <f t="shared" si="32"/>
        <v>4334.5376686999989</v>
      </c>
      <c r="O26" s="23"/>
      <c r="P26" s="23"/>
      <c r="Q26" s="23"/>
      <c r="R26" s="23"/>
      <c r="S26" s="23">
        <f>SUM(C26:F26)</f>
        <v>11356</v>
      </c>
      <c r="T26" s="23">
        <f>SUM(G26:J26)</f>
        <v>11922</v>
      </c>
      <c r="U26" s="3">
        <f>U25*0.15</f>
        <v>15709.865355449994</v>
      </c>
      <c r="V26" s="3">
        <f t="shared" ref="V26" si="33">V25*0.15</f>
        <v>17289.765091049634</v>
      </c>
      <c r="W26" s="3">
        <f>W25*0.16</f>
        <v>19229.761724220487</v>
      </c>
      <c r="X26" s="3">
        <f>X25*0.15</f>
        <v>18285.126922098272</v>
      </c>
      <c r="Y26" s="3">
        <f t="shared" ref="Y26:AC26" si="34">Y25*0.16</f>
        <v>19375.560523803961</v>
      </c>
      <c r="Z26" s="3">
        <f>Z25*0.15</f>
        <v>18667.892746417867</v>
      </c>
      <c r="AA26" s="3">
        <f t="shared" si="34"/>
        <v>22661.733235327225</v>
      </c>
      <c r="AB26" s="3">
        <f>AB25*0.15</f>
        <v>21064.503892304678</v>
      </c>
      <c r="AC26" s="3">
        <f t="shared" si="34"/>
        <v>24039.81800802533</v>
      </c>
      <c r="AD26" s="3">
        <f>AD25*0.17</f>
        <v>26020.022822090676</v>
      </c>
      <c r="AE26" s="3">
        <f>AE25*0.16</f>
        <v>24050.180039457864</v>
      </c>
    </row>
    <row r="27" spans="1:199" s="9" customFormat="1" ht="15" thickBot="1" x14ac:dyDescent="0.35">
      <c r="A27" s="25" t="s">
        <v>30</v>
      </c>
      <c r="B27" s="25"/>
      <c r="C27" s="25">
        <f t="shared" ref="C27:L27" si="35">C25-C26</f>
        <v>16436</v>
      </c>
      <c r="D27" s="25">
        <f t="shared" si="35"/>
        <v>16002</v>
      </c>
      <c r="E27" s="25">
        <f t="shared" si="35"/>
        <v>13910</v>
      </c>
      <c r="F27" s="25">
        <f t="shared" si="35"/>
        <v>13624</v>
      </c>
      <c r="G27" s="25">
        <f t="shared" si="35"/>
        <v>15051</v>
      </c>
      <c r="H27" s="25">
        <f t="shared" si="35"/>
        <v>18368</v>
      </c>
      <c r="I27" s="25">
        <f t="shared" si="35"/>
        <v>19689</v>
      </c>
      <c r="J27" s="25">
        <f t="shared" si="35"/>
        <v>20687</v>
      </c>
      <c r="K27" s="25">
        <f t="shared" si="35"/>
        <v>23662</v>
      </c>
      <c r="L27" s="25">
        <f t="shared" si="35"/>
        <v>21334.658866666668</v>
      </c>
      <c r="M27" s="25">
        <f t="shared" ref="M27:N27" si="36">M25-M26</f>
        <v>23097.937608249998</v>
      </c>
      <c r="N27" s="25">
        <f t="shared" si="36"/>
        <v>24562.380122633331</v>
      </c>
      <c r="O27" s="25"/>
      <c r="P27" s="25"/>
      <c r="Q27" s="25"/>
      <c r="R27" s="25"/>
      <c r="S27" s="25">
        <f>S25-S26</f>
        <v>59972</v>
      </c>
      <c r="T27" s="25">
        <f>T25-T26</f>
        <v>73795</v>
      </c>
      <c r="U27" s="25">
        <f>U25-U26</f>
        <v>89022.570347549976</v>
      </c>
      <c r="V27" s="25">
        <f t="shared" ref="V27:AE27" si="37">V25-V26</f>
        <v>97975.335515947925</v>
      </c>
      <c r="W27" s="25">
        <f t="shared" si="37"/>
        <v>100956.24905215755</v>
      </c>
      <c r="X27" s="25">
        <f t="shared" si="37"/>
        <v>103615.71922522355</v>
      </c>
      <c r="Y27" s="25">
        <f t="shared" si="37"/>
        <v>101721.6927499708</v>
      </c>
      <c r="Z27" s="25">
        <f t="shared" si="37"/>
        <v>105784.72556303458</v>
      </c>
      <c r="AA27" s="25">
        <f t="shared" si="37"/>
        <v>118974.09948546793</v>
      </c>
      <c r="AB27" s="25">
        <f t="shared" si="37"/>
        <v>119365.52205639317</v>
      </c>
      <c r="AC27" s="25">
        <f t="shared" si="37"/>
        <v>126209.04454213299</v>
      </c>
      <c r="AD27" s="25">
        <f t="shared" si="37"/>
        <v>127038.93495491329</v>
      </c>
      <c r="AE27" s="25">
        <f t="shared" si="37"/>
        <v>126263.4452071538</v>
      </c>
      <c r="AF27" s="11">
        <f>AE27*(1+$AG$41)</f>
        <v>125000.81075508226</v>
      </c>
      <c r="AG27" s="11">
        <f t="shared" ref="AG27:CR27" si="38">AF27*(1+$AG$41)</f>
        <v>123750.80264753144</v>
      </c>
      <c r="AH27" s="11">
        <f t="shared" si="38"/>
        <v>122513.29462105612</v>
      </c>
      <c r="AI27" s="11">
        <f t="shared" si="38"/>
        <v>121288.16167484556</v>
      </c>
      <c r="AJ27" s="11">
        <f t="shared" si="38"/>
        <v>120075.28005809709</v>
      </c>
      <c r="AK27" s="11">
        <f t="shared" si="38"/>
        <v>118874.52725751612</v>
      </c>
      <c r="AL27" s="11">
        <f t="shared" si="38"/>
        <v>117685.78198494096</v>
      </c>
      <c r="AM27" s="11">
        <f t="shared" si="38"/>
        <v>116508.92416509155</v>
      </c>
      <c r="AN27" s="11">
        <f t="shared" si="38"/>
        <v>115343.83492344063</v>
      </c>
      <c r="AO27" s="11">
        <f t="shared" si="38"/>
        <v>114190.39657420623</v>
      </c>
      <c r="AP27" s="11">
        <f t="shared" si="38"/>
        <v>113048.49260846416</v>
      </c>
      <c r="AQ27" s="11">
        <f t="shared" si="38"/>
        <v>111918.00768237952</v>
      </c>
      <c r="AR27" s="11">
        <f t="shared" si="38"/>
        <v>110798.82760555572</v>
      </c>
      <c r="AS27" s="11">
        <f t="shared" si="38"/>
        <v>109690.83932950016</v>
      </c>
      <c r="AT27" s="11">
        <f t="shared" si="38"/>
        <v>108593.93093620516</v>
      </c>
      <c r="AU27" s="11">
        <f t="shared" si="38"/>
        <v>107507.99162684311</v>
      </c>
      <c r="AV27" s="11">
        <f t="shared" si="38"/>
        <v>106432.91171057468</v>
      </c>
      <c r="AW27" s="11">
        <f t="shared" si="38"/>
        <v>105368.58259346893</v>
      </c>
      <c r="AX27" s="11">
        <f t="shared" si="38"/>
        <v>104314.89676753424</v>
      </c>
      <c r="AY27" s="11">
        <f t="shared" si="38"/>
        <v>103271.7477998589</v>
      </c>
      <c r="AZ27" s="11">
        <f t="shared" si="38"/>
        <v>102239.03032186031</v>
      </c>
      <c r="BA27" s="11">
        <f t="shared" si="38"/>
        <v>101216.6400186417</v>
      </c>
      <c r="BB27" s="11">
        <f t="shared" si="38"/>
        <v>100204.47361845529</v>
      </c>
      <c r="BC27" s="11">
        <f t="shared" si="38"/>
        <v>99202.428882270731</v>
      </c>
      <c r="BD27" s="11">
        <f t="shared" si="38"/>
        <v>98210.404593448024</v>
      </c>
      <c r="BE27" s="11">
        <f t="shared" si="38"/>
        <v>97228.300547513543</v>
      </c>
      <c r="BF27" s="11">
        <f t="shared" si="38"/>
        <v>96256.017542038404</v>
      </c>
      <c r="BG27" s="11">
        <f t="shared" si="38"/>
        <v>95293.457366618022</v>
      </c>
      <c r="BH27" s="11">
        <f t="shared" si="38"/>
        <v>94340.522792951844</v>
      </c>
      <c r="BI27" s="11">
        <f t="shared" si="38"/>
        <v>93397.11756502233</v>
      </c>
      <c r="BJ27" s="11">
        <f t="shared" si="38"/>
        <v>92463.146389372108</v>
      </c>
      <c r="BK27" s="11">
        <f t="shared" si="38"/>
        <v>91538.51492547839</v>
      </c>
      <c r="BL27" s="11">
        <f t="shared" si="38"/>
        <v>90623.129776223606</v>
      </c>
      <c r="BM27" s="11">
        <f t="shared" si="38"/>
        <v>89716.898478461371</v>
      </c>
      <c r="BN27" s="11">
        <f t="shared" si="38"/>
        <v>88819.729493676758</v>
      </c>
      <c r="BO27" s="11">
        <f t="shared" si="38"/>
        <v>87931.532198739995</v>
      </c>
      <c r="BP27" s="11">
        <f t="shared" si="38"/>
        <v>87052.216876752587</v>
      </c>
      <c r="BQ27" s="11">
        <f t="shared" si="38"/>
        <v>86181.694707985065</v>
      </c>
      <c r="BR27" s="11">
        <f t="shared" si="38"/>
        <v>85319.877760905219</v>
      </c>
      <c r="BS27" s="11">
        <f t="shared" si="38"/>
        <v>84466.678983296166</v>
      </c>
      <c r="BT27" s="11">
        <f t="shared" si="38"/>
        <v>83622.012193463204</v>
      </c>
      <c r="BU27" s="11">
        <f t="shared" si="38"/>
        <v>82785.792071528573</v>
      </c>
      <c r="BV27" s="11">
        <f t="shared" si="38"/>
        <v>81957.934150813293</v>
      </c>
      <c r="BW27" s="11">
        <f t="shared" si="38"/>
        <v>81138.354809305165</v>
      </c>
      <c r="BX27" s="11">
        <f t="shared" si="38"/>
        <v>80326.971261212107</v>
      </c>
      <c r="BY27" s="11">
        <f t="shared" si="38"/>
        <v>79523.701548599987</v>
      </c>
      <c r="BZ27" s="11">
        <f t="shared" si="38"/>
        <v>78728.464533113991</v>
      </c>
      <c r="CA27" s="11">
        <f t="shared" si="38"/>
        <v>77941.179887782855</v>
      </c>
      <c r="CB27" s="11">
        <f t="shared" si="38"/>
        <v>77161.768088905024</v>
      </c>
      <c r="CC27" s="11">
        <f t="shared" si="38"/>
        <v>76390.150408015979</v>
      </c>
      <c r="CD27" s="11">
        <f t="shared" si="38"/>
        <v>75626.248903935819</v>
      </c>
      <c r="CE27" s="11">
        <f t="shared" si="38"/>
        <v>74869.986414896455</v>
      </c>
      <c r="CF27" s="11">
        <f t="shared" si="38"/>
        <v>74121.286550747493</v>
      </c>
      <c r="CG27" s="11">
        <f t="shared" si="38"/>
        <v>73380.073685240015</v>
      </c>
      <c r="CH27" s="11">
        <f t="shared" si="38"/>
        <v>72646.272948387617</v>
      </c>
      <c r="CI27" s="11">
        <f t="shared" si="38"/>
        <v>71919.810218903745</v>
      </c>
      <c r="CJ27" s="11">
        <f t="shared" si="38"/>
        <v>71200.612116714707</v>
      </c>
      <c r="CK27" s="11">
        <f t="shared" si="38"/>
        <v>70488.605995547565</v>
      </c>
      <c r="CL27" s="11">
        <f t="shared" si="38"/>
        <v>69783.719935592089</v>
      </c>
      <c r="CM27" s="11">
        <f t="shared" si="38"/>
        <v>69085.882736236163</v>
      </c>
      <c r="CN27" s="11">
        <f t="shared" si="38"/>
        <v>68395.023908873802</v>
      </c>
      <c r="CO27" s="11">
        <f t="shared" si="38"/>
        <v>67711.073669785066</v>
      </c>
      <c r="CP27" s="11">
        <f t="shared" si="38"/>
        <v>67033.962933087212</v>
      </c>
      <c r="CQ27" s="11">
        <f t="shared" si="38"/>
        <v>66363.623303756336</v>
      </c>
      <c r="CR27" s="11">
        <f t="shared" si="38"/>
        <v>65699.987070718766</v>
      </c>
      <c r="CS27" s="11">
        <f t="shared" ref="CS27:FD27" si="39">CR27*(1+$AG$41)</f>
        <v>65042.987200011579</v>
      </c>
      <c r="CT27" s="11">
        <f t="shared" si="39"/>
        <v>64392.557328011462</v>
      </c>
      <c r="CU27" s="11">
        <f t="shared" si="39"/>
        <v>63748.631754731345</v>
      </c>
      <c r="CV27" s="11">
        <f t="shared" si="39"/>
        <v>63111.14543718403</v>
      </c>
      <c r="CW27" s="11">
        <f t="shared" si="39"/>
        <v>62480.033982812187</v>
      </c>
      <c r="CX27" s="11">
        <f t="shared" si="39"/>
        <v>61855.233642984065</v>
      </c>
      <c r="CY27" s="11">
        <f t="shared" si="39"/>
        <v>61236.681306554223</v>
      </c>
      <c r="CZ27" s="11">
        <f t="shared" si="39"/>
        <v>60624.31449348868</v>
      </c>
      <c r="DA27" s="11">
        <f t="shared" si="39"/>
        <v>60018.071348553793</v>
      </c>
      <c r="DB27" s="11">
        <f t="shared" si="39"/>
        <v>59417.890635068252</v>
      </c>
      <c r="DC27" s="11">
        <f t="shared" si="39"/>
        <v>58823.711728717572</v>
      </c>
      <c r="DD27" s="11">
        <f t="shared" si="39"/>
        <v>58235.474611430393</v>
      </c>
      <c r="DE27" s="11">
        <f t="shared" si="39"/>
        <v>57653.11986531609</v>
      </c>
      <c r="DF27" s="11">
        <f t="shared" si="39"/>
        <v>57076.58866666293</v>
      </c>
      <c r="DG27" s="11">
        <f t="shared" si="39"/>
        <v>56505.822779996299</v>
      </c>
      <c r="DH27" s="11">
        <f t="shared" si="39"/>
        <v>55940.764552196335</v>
      </c>
      <c r="DI27" s="11">
        <f t="shared" si="39"/>
        <v>55381.356906674373</v>
      </c>
      <c r="DJ27" s="11">
        <f t="shared" si="39"/>
        <v>54827.543337607625</v>
      </c>
      <c r="DK27" s="11">
        <f t="shared" si="39"/>
        <v>54279.26790423155</v>
      </c>
      <c r="DL27" s="11">
        <f t="shared" si="39"/>
        <v>53736.475225189235</v>
      </c>
      <c r="DM27" s="11">
        <f t="shared" si="39"/>
        <v>53199.11047293734</v>
      </c>
      <c r="DN27" s="11">
        <f t="shared" si="39"/>
        <v>52667.119368207968</v>
      </c>
      <c r="DO27" s="11">
        <f t="shared" si="39"/>
        <v>52140.448174525889</v>
      </c>
      <c r="DP27" s="11">
        <f t="shared" si="39"/>
        <v>51619.043692780629</v>
      </c>
      <c r="DQ27" s="11">
        <f t="shared" si="39"/>
        <v>51102.853255852824</v>
      </c>
      <c r="DR27" s="11">
        <f t="shared" si="39"/>
        <v>50591.824723294296</v>
      </c>
      <c r="DS27" s="11">
        <f t="shared" si="39"/>
        <v>50085.906476061355</v>
      </c>
      <c r="DT27" s="11">
        <f t="shared" si="39"/>
        <v>49585.047411300744</v>
      </c>
      <c r="DU27" s="11">
        <f t="shared" si="39"/>
        <v>49089.196937187735</v>
      </c>
      <c r="DV27" s="11">
        <f t="shared" si="39"/>
        <v>48598.304967815857</v>
      </c>
      <c r="DW27" s="11">
        <f t="shared" si="39"/>
        <v>48112.321918137699</v>
      </c>
      <c r="DX27" s="11">
        <f t="shared" si="39"/>
        <v>47631.198698956323</v>
      </c>
      <c r="DY27" s="11">
        <f t="shared" si="39"/>
        <v>47154.886711966756</v>
      </c>
      <c r="DZ27" s="11">
        <f t="shared" si="39"/>
        <v>46683.33784484709</v>
      </c>
      <c r="EA27" s="11">
        <f t="shared" si="39"/>
        <v>46216.504466398619</v>
      </c>
      <c r="EB27" s="11">
        <f t="shared" si="39"/>
        <v>45754.339421734636</v>
      </c>
      <c r="EC27" s="11">
        <f t="shared" si="39"/>
        <v>45296.796027517288</v>
      </c>
      <c r="ED27" s="11">
        <f t="shared" si="39"/>
        <v>44843.828067242117</v>
      </c>
      <c r="EE27" s="11">
        <f t="shared" si="39"/>
        <v>44395.389786569693</v>
      </c>
      <c r="EF27" s="11">
        <f t="shared" si="39"/>
        <v>43951.435888703993</v>
      </c>
      <c r="EG27" s="11">
        <f t="shared" si="39"/>
        <v>43511.921529816951</v>
      </c>
      <c r="EH27" s="11">
        <f t="shared" si="39"/>
        <v>43076.802314518784</v>
      </c>
      <c r="EI27" s="11">
        <f t="shared" si="39"/>
        <v>42646.034291373595</v>
      </c>
      <c r="EJ27" s="11">
        <f t="shared" si="39"/>
        <v>42219.57394845986</v>
      </c>
      <c r="EK27" s="11">
        <f t="shared" si="39"/>
        <v>41797.378208975264</v>
      </c>
      <c r="EL27" s="11">
        <f t="shared" si="39"/>
        <v>41379.404426885514</v>
      </c>
      <c r="EM27" s="11">
        <f t="shared" si="39"/>
        <v>40965.610382616658</v>
      </c>
      <c r="EN27" s="11">
        <f t="shared" si="39"/>
        <v>40555.954278790494</v>
      </c>
      <c r="EO27" s="11">
        <f t="shared" si="39"/>
        <v>40150.394736002585</v>
      </c>
      <c r="EP27" s="11">
        <f t="shared" si="39"/>
        <v>39748.890788642559</v>
      </c>
      <c r="EQ27" s="11">
        <f t="shared" si="39"/>
        <v>39351.40188075613</v>
      </c>
      <c r="ER27" s="11">
        <f t="shared" si="39"/>
        <v>38957.887861948569</v>
      </c>
      <c r="ES27" s="11">
        <f t="shared" si="39"/>
        <v>38568.308983329087</v>
      </c>
      <c r="ET27" s="11">
        <f t="shared" si="39"/>
        <v>38182.625893495795</v>
      </c>
      <c r="EU27" s="11">
        <f t="shared" si="39"/>
        <v>37800.799634560834</v>
      </c>
      <c r="EV27" s="11">
        <f t="shared" si="39"/>
        <v>37422.791638215225</v>
      </c>
      <c r="EW27" s="11">
        <f t="shared" si="39"/>
        <v>37048.563721833074</v>
      </c>
      <c r="EX27" s="11">
        <f t="shared" si="39"/>
        <v>36678.078084614746</v>
      </c>
      <c r="EY27" s="11">
        <f t="shared" si="39"/>
        <v>36311.297303768595</v>
      </c>
      <c r="EZ27" s="11">
        <f t="shared" si="39"/>
        <v>35948.18433073091</v>
      </c>
      <c r="FA27" s="11">
        <f t="shared" si="39"/>
        <v>35588.702487423601</v>
      </c>
      <c r="FB27" s="11">
        <f t="shared" si="39"/>
        <v>35232.815462549363</v>
      </c>
      <c r="FC27" s="11">
        <f t="shared" si="39"/>
        <v>34880.487307923868</v>
      </c>
      <c r="FD27" s="11">
        <f t="shared" si="39"/>
        <v>34531.682434844632</v>
      </c>
      <c r="FE27" s="11">
        <f t="shared" ref="FE27:GQ27" si="40">FD27*(1+$AG$41)</f>
        <v>34186.365610496185</v>
      </c>
      <c r="FF27" s="11">
        <f t="shared" si="40"/>
        <v>33844.50195439122</v>
      </c>
      <c r="FG27" s="11">
        <f t="shared" si="40"/>
        <v>33506.056934847307</v>
      </c>
      <c r="FH27" s="11">
        <f t="shared" si="40"/>
        <v>33170.996365498831</v>
      </c>
      <c r="FI27" s="11">
        <f t="shared" si="40"/>
        <v>32839.286401843841</v>
      </c>
      <c r="FJ27" s="11">
        <f t="shared" si="40"/>
        <v>32510.893537825403</v>
      </c>
      <c r="FK27" s="11">
        <f t="shared" si="40"/>
        <v>32185.784602447147</v>
      </c>
      <c r="FL27" s="11">
        <f t="shared" si="40"/>
        <v>31863.926756422676</v>
      </c>
      <c r="FM27" s="11">
        <f t="shared" si="40"/>
        <v>31545.287488858448</v>
      </c>
      <c r="FN27" s="11">
        <f t="shared" si="40"/>
        <v>31229.834613969862</v>
      </c>
      <c r="FO27" s="11">
        <f t="shared" si="40"/>
        <v>30917.536267830164</v>
      </c>
      <c r="FP27" s="11">
        <f t="shared" si="40"/>
        <v>30608.360905151862</v>
      </c>
      <c r="FQ27" s="11">
        <f t="shared" si="40"/>
        <v>30302.277296100343</v>
      </c>
      <c r="FR27" s="11">
        <f t="shared" si="40"/>
        <v>29999.254523139338</v>
      </c>
      <c r="FS27" s="11">
        <f t="shared" si="40"/>
        <v>29699.261977907943</v>
      </c>
      <c r="FT27" s="11">
        <f t="shared" si="40"/>
        <v>29402.269358128862</v>
      </c>
      <c r="FU27" s="11">
        <f t="shared" si="40"/>
        <v>29108.246664547572</v>
      </c>
      <c r="FV27" s="11">
        <f t="shared" si="40"/>
        <v>28817.164197902097</v>
      </c>
      <c r="FW27" s="11">
        <f t="shared" si="40"/>
        <v>28528.992555923076</v>
      </c>
      <c r="FX27" s="11">
        <f t="shared" si="40"/>
        <v>28243.702630363845</v>
      </c>
      <c r="FY27" s="11">
        <f t="shared" si="40"/>
        <v>27961.265604060205</v>
      </c>
      <c r="FZ27" s="11">
        <f t="shared" si="40"/>
        <v>27681.652948019604</v>
      </c>
      <c r="GA27" s="11">
        <f t="shared" si="40"/>
        <v>27404.836418539409</v>
      </c>
      <c r="GB27" s="11">
        <f t="shared" si="40"/>
        <v>27130.788054354016</v>
      </c>
      <c r="GC27" s="11">
        <f t="shared" si="40"/>
        <v>26859.480173810476</v>
      </c>
      <c r="GD27" s="11">
        <f t="shared" si="40"/>
        <v>26590.885372072371</v>
      </c>
      <c r="GE27" s="11">
        <f t="shared" si="40"/>
        <v>26324.976518351647</v>
      </c>
      <c r="GF27" s="11">
        <f t="shared" si="40"/>
        <v>26061.726753168128</v>
      </c>
      <c r="GG27" s="11">
        <f t="shared" si="40"/>
        <v>25801.109485636447</v>
      </c>
      <c r="GH27" s="11">
        <f t="shared" si="40"/>
        <v>25543.098390780084</v>
      </c>
      <c r="GI27" s="11">
        <f t="shared" si="40"/>
        <v>25287.667406872282</v>
      </c>
      <c r="GJ27" s="11">
        <f t="shared" si="40"/>
        <v>25034.790732803558</v>
      </c>
      <c r="GK27" s="11">
        <f t="shared" si="40"/>
        <v>24784.442825475522</v>
      </c>
      <c r="GL27" s="11">
        <f t="shared" si="40"/>
        <v>24536.598397220765</v>
      </c>
      <c r="GM27" s="11">
        <f t="shared" si="40"/>
        <v>24291.232413248556</v>
      </c>
      <c r="GN27" s="11">
        <f t="shared" si="40"/>
        <v>24048.32008911607</v>
      </c>
      <c r="GO27" s="11">
        <f t="shared" si="40"/>
        <v>23807.836888224909</v>
      </c>
      <c r="GP27" s="11">
        <f t="shared" si="40"/>
        <v>23569.75851934266</v>
      </c>
      <c r="GQ27" s="11">
        <f t="shared" si="40"/>
        <v>23334.060934149235</v>
      </c>
    </row>
    <row r="28" spans="1:199" s="3" customFormat="1" ht="15" thickTop="1" x14ac:dyDescent="0.3">
      <c r="A28" s="23" t="s">
        <v>31</v>
      </c>
      <c r="B28" s="23"/>
      <c r="C28" s="54">
        <f t="shared" ref="C28:K28" si="41">C27/C29</f>
        <v>1.2490310813891634</v>
      </c>
      <c r="D28" s="54">
        <f t="shared" si="41"/>
        <v>1.2160498518124478</v>
      </c>
      <c r="E28" s="54">
        <f t="shared" si="41"/>
        <v>1.0570712060186944</v>
      </c>
      <c r="F28" s="54">
        <f t="shared" si="41"/>
        <v>1.035337031689338</v>
      </c>
      <c r="G28" s="54">
        <f t="shared" si="41"/>
        <v>1.1830686998899544</v>
      </c>
      <c r="H28" s="54">
        <f t="shared" si="41"/>
        <v>1.4437981449457633</v>
      </c>
      <c r="I28" s="54">
        <f t="shared" si="41"/>
        <v>1.5476340198082064</v>
      </c>
      <c r="J28" s="54">
        <f t="shared" si="41"/>
        <v>1.6415648309792097</v>
      </c>
      <c r="K28" s="54">
        <f t="shared" si="41"/>
        <v>1.8888800191586175</v>
      </c>
      <c r="L28" s="54">
        <f t="shared" ref="L28:N28" si="42">L27/L29</f>
        <v>1.7030940262366623</v>
      </c>
      <c r="M28" s="54">
        <f t="shared" si="42"/>
        <v>1.8438522877185279</v>
      </c>
      <c r="N28" s="54">
        <f t="shared" si="42"/>
        <v>1.9607551786248367</v>
      </c>
      <c r="O28" s="23"/>
      <c r="P28" s="23"/>
      <c r="Q28" s="23"/>
      <c r="R28" s="23"/>
      <c r="S28" s="54">
        <f>SUM(C28:F28)</f>
        <v>4.5574891709096441</v>
      </c>
      <c r="T28" s="54">
        <f>T27/T29</f>
        <v>5.8142924676961867</v>
      </c>
      <c r="U28" s="54">
        <f>U27/U29</f>
        <v>7.0411144561366719</v>
      </c>
      <c r="V28" s="54">
        <f t="shared" ref="V28:AE28" si="43">V27/V29</f>
        <v>7.7792159685535687</v>
      </c>
      <c r="W28" s="54">
        <f t="shared" si="43"/>
        <v>8.0470477294826974</v>
      </c>
      <c r="X28" s="54">
        <f t="shared" si="43"/>
        <v>8.2713913327391673</v>
      </c>
      <c r="Y28" s="54">
        <f t="shared" si="43"/>
        <v>8.1201957970759793</v>
      </c>
      <c r="Z28" s="54">
        <f t="shared" si="43"/>
        <v>8.4445378433012355</v>
      </c>
      <c r="AA28" s="54">
        <f t="shared" si="43"/>
        <v>9.4974135455789845</v>
      </c>
      <c r="AB28" s="54">
        <f t="shared" si="43"/>
        <v>9.5067060454623284</v>
      </c>
      <c r="AC28" s="54">
        <f t="shared" si="43"/>
        <v>9.5910817343364236</v>
      </c>
      <c r="AD28" s="54">
        <f t="shared" si="43"/>
        <v>9.8285509229749941</v>
      </c>
      <c r="AE28" s="54">
        <f t="shared" si="43"/>
        <v>9.8401796533628119</v>
      </c>
    </row>
    <row r="29" spans="1:199" s="3" customFormat="1" x14ac:dyDescent="0.3">
      <c r="A29" s="23" t="s">
        <v>1</v>
      </c>
      <c r="B29" s="23"/>
      <c r="C29" s="23">
        <v>13159</v>
      </c>
      <c r="D29" s="23">
        <v>13159</v>
      </c>
      <c r="E29" s="23">
        <v>13159</v>
      </c>
      <c r="F29" s="23">
        <v>13159</v>
      </c>
      <c r="G29" s="23">
        <v>12722</v>
      </c>
      <c r="H29" s="23">
        <v>12722</v>
      </c>
      <c r="I29" s="23">
        <v>12722</v>
      </c>
      <c r="J29" s="23">
        <v>12602</v>
      </c>
      <c r="K29" s="23">
        <v>12527</v>
      </c>
      <c r="L29" s="23">
        <v>12527</v>
      </c>
      <c r="M29" s="23">
        <v>12527</v>
      </c>
      <c r="N29" s="23">
        <v>12527</v>
      </c>
      <c r="O29" s="23"/>
      <c r="P29" s="23"/>
      <c r="Q29" s="23"/>
      <c r="R29" s="23"/>
      <c r="S29" s="23">
        <f>AVERAGE(C29:F29)</f>
        <v>13159</v>
      </c>
      <c r="T29" s="23">
        <f>AVERAGE(G29:J29)</f>
        <v>12692</v>
      </c>
      <c r="U29" s="23">
        <f>AVERAGE(H29:K29)</f>
        <v>12643.25</v>
      </c>
      <c r="V29" s="23">
        <f t="shared" ref="V29:AE29" si="44">AVERAGE(I29:L29)</f>
        <v>12594.5</v>
      </c>
      <c r="W29" s="23">
        <f t="shared" si="44"/>
        <v>12545.75</v>
      </c>
      <c r="X29" s="23">
        <f t="shared" si="44"/>
        <v>12527</v>
      </c>
      <c r="Y29" s="23">
        <f t="shared" si="44"/>
        <v>12527</v>
      </c>
      <c r="Z29" s="23">
        <f t="shared" si="44"/>
        <v>12527</v>
      </c>
      <c r="AA29" s="23">
        <f t="shared" si="44"/>
        <v>12527</v>
      </c>
      <c r="AB29" s="23">
        <f>AVERAGE(U29:AA29)</f>
        <v>12555.928571428571</v>
      </c>
      <c r="AC29" s="23">
        <f t="shared" si="44"/>
        <v>13159</v>
      </c>
      <c r="AD29" s="23">
        <f t="shared" si="44"/>
        <v>12925.5</v>
      </c>
      <c r="AE29" s="23">
        <f t="shared" si="44"/>
        <v>12831.416666666666</v>
      </c>
    </row>
    <row r="30" spans="1:199" s="3" customFormat="1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199" s="19" customFormat="1" x14ac:dyDescent="0.3">
      <c r="A31" s="35" t="s">
        <v>100</v>
      </c>
      <c r="B31" s="35"/>
      <c r="C31" s="55"/>
      <c r="D31" s="55"/>
      <c r="E31" s="55"/>
      <c r="F31" s="55"/>
      <c r="G31" s="55">
        <f t="shared" ref="G31:L31" si="45">G16/C16-1</f>
        <v>2.6113422828660138E-2</v>
      </c>
      <c r="H31" s="55">
        <f t="shared" si="45"/>
        <v>7.0589079428858392E-2</v>
      </c>
      <c r="I31" s="55">
        <f t="shared" si="45"/>
        <v>0.11001273664100042</v>
      </c>
      <c r="J31" s="55">
        <f t="shared" si="45"/>
        <v>0.13494108983799702</v>
      </c>
      <c r="K31" s="55">
        <f t="shared" si="45"/>
        <v>0.15406880937710454</v>
      </c>
      <c r="L31" s="55">
        <f t="shared" si="45"/>
        <v>0.13353104391185466</v>
      </c>
      <c r="M31" s="55">
        <f t="shared" ref="M31:N31" si="46">M16/I16-1</f>
        <v>0.13573505404665354</v>
      </c>
      <c r="N31" s="55">
        <f t="shared" si="46"/>
        <v>5.9646332116788159E-2</v>
      </c>
      <c r="O31" s="35"/>
      <c r="P31" s="35"/>
      <c r="Q31" s="35"/>
      <c r="R31" s="35"/>
      <c r="S31" s="55"/>
      <c r="T31" s="55">
        <f>T16/S16-1</f>
        <v>8.6827702272695095E-2</v>
      </c>
      <c r="U31" s="55">
        <f>U16/T16-1</f>
        <v>0.11799824793262048</v>
      </c>
      <c r="V31" s="55">
        <f t="shared" ref="V31:AE31" si="47">V16/U16-1</f>
        <v>0.1100000000000001</v>
      </c>
      <c r="W31" s="55">
        <f t="shared" si="47"/>
        <v>0.10000000000000009</v>
      </c>
      <c r="X31" s="55">
        <f t="shared" si="47"/>
        <v>5.0000000000000044E-2</v>
      </c>
      <c r="Y31" s="55">
        <f t="shared" si="47"/>
        <v>5.0000000000000044E-2</v>
      </c>
      <c r="Z31" s="55">
        <f t="shared" si="47"/>
        <v>5.0000000000000044E-2</v>
      </c>
      <c r="AA31" s="55">
        <f t="shared" si="47"/>
        <v>6.0000000000000053E-2</v>
      </c>
      <c r="AB31" s="55">
        <f t="shared" si="47"/>
        <v>3.0000000000000027E-2</v>
      </c>
      <c r="AC31" s="55">
        <f t="shared" si="47"/>
        <v>3.0000000000000027E-2</v>
      </c>
      <c r="AD31" s="55">
        <f t="shared" si="47"/>
        <v>2.4999999999999911E-2</v>
      </c>
      <c r="AE31" s="55">
        <f t="shared" si="47"/>
        <v>2.4999999999999911E-2</v>
      </c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199" s="20" customFormat="1" x14ac:dyDescent="0.3">
      <c r="A32" s="37" t="s">
        <v>101</v>
      </c>
      <c r="B32" s="37"/>
      <c r="C32" s="56"/>
      <c r="D32" s="56">
        <f t="shared" ref="D32:L32" si="48">D16/C16-1</f>
        <v>2.4613665436473475E-2</v>
      </c>
      <c r="E32" s="56">
        <f t="shared" si="48"/>
        <v>-8.5097223218769669E-3</v>
      </c>
      <c r="F32" s="56">
        <f t="shared" si="48"/>
        <v>0.10067735772593056</v>
      </c>
      <c r="G32" s="56">
        <f t="shared" si="48"/>
        <v>-8.2329581317062916E-2</v>
      </c>
      <c r="H32" s="56">
        <f t="shared" si="48"/>
        <v>6.9024316849843004E-2</v>
      </c>
      <c r="I32" s="56">
        <f t="shared" si="48"/>
        <v>2.8001179561417677E-2</v>
      </c>
      <c r="J32" s="56">
        <f t="shared" si="48"/>
        <v>0.12539605961430644</v>
      </c>
      <c r="K32" s="56">
        <f t="shared" si="48"/>
        <v>-6.6863631097207721E-2</v>
      </c>
      <c r="L32" s="56">
        <f t="shared" si="48"/>
        <v>5.0000000000000044E-2</v>
      </c>
      <c r="M32" s="56">
        <f t="shared" ref="M32:N32" si="49">M16/L16-1</f>
        <v>3.0000000000000027E-2</v>
      </c>
      <c r="N32" s="56">
        <f t="shared" si="49"/>
        <v>5.0000000000000044E-2</v>
      </c>
      <c r="O32" s="37"/>
      <c r="P32" s="37"/>
      <c r="Q32" s="37"/>
      <c r="R32" s="37"/>
      <c r="S32" s="56"/>
      <c r="T32" s="56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s="3" customFormat="1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40" s="19" customFormat="1" x14ac:dyDescent="0.3">
      <c r="A34" s="35" t="s">
        <v>103</v>
      </c>
      <c r="B34" s="35"/>
      <c r="C34" s="55">
        <f t="shared" ref="C34:L34" si="50">C18/C16</f>
        <v>0.5647909896928438</v>
      </c>
      <c r="D34" s="55">
        <f t="shared" si="50"/>
        <v>0.56799885197675248</v>
      </c>
      <c r="E34" s="55">
        <f t="shared" si="50"/>
        <v>0.54903606785156023</v>
      </c>
      <c r="F34" s="55">
        <f t="shared" si="50"/>
        <v>0.53526719966337055</v>
      </c>
      <c r="G34" s="55">
        <f t="shared" si="50"/>
        <v>0.56135096794531936</v>
      </c>
      <c r="H34" s="55">
        <f t="shared" si="50"/>
        <v>0.5721945204010509</v>
      </c>
      <c r="I34" s="55">
        <f t="shared" si="50"/>
        <v>0.56672708069836886</v>
      </c>
      <c r="J34" s="55">
        <f t="shared" si="50"/>
        <v>0.56465067778936395</v>
      </c>
      <c r="K34" s="55">
        <f t="shared" si="50"/>
        <v>0.58142018152696207</v>
      </c>
      <c r="L34" s="55">
        <f t="shared" si="50"/>
        <v>0.56000000000000005</v>
      </c>
      <c r="M34" s="55">
        <f t="shared" ref="M34:N34" si="51">M18/M16</f>
        <v>0.56999999999999995</v>
      </c>
      <c r="N34" s="55">
        <f t="shared" si="51"/>
        <v>0.56000000000000005</v>
      </c>
      <c r="O34" s="35"/>
      <c r="P34" s="35"/>
      <c r="Q34" s="35"/>
      <c r="R34" s="35"/>
      <c r="S34" s="55">
        <f>S18/S16</f>
        <v>0.55379442503783116</v>
      </c>
      <c r="T34" s="55">
        <f>T18/T16</f>
        <v>0.56625047984020505</v>
      </c>
      <c r="U34" s="55">
        <f>U18/U16</f>
        <v>0.5675543976909152</v>
      </c>
      <c r="V34" s="55">
        <f t="shared" ref="V34:X34" si="52">V18/V16</f>
        <v>0.57000000000000006</v>
      </c>
      <c r="W34" s="55">
        <f t="shared" si="52"/>
        <v>0.56000000000000005</v>
      </c>
      <c r="X34" s="55">
        <f t="shared" si="52"/>
        <v>0.56999999999999995</v>
      </c>
      <c r="Y34" s="55">
        <f t="shared" ref="Y34:AE34" si="53">Y18/Y16</f>
        <v>0.57000000000000006</v>
      </c>
      <c r="Z34" s="55">
        <f t="shared" si="53"/>
        <v>0.55999999999999994</v>
      </c>
      <c r="AA34" s="55">
        <f t="shared" si="53"/>
        <v>0.56999999999999995</v>
      </c>
      <c r="AB34" s="55">
        <f t="shared" si="53"/>
        <v>0.55999999999999994</v>
      </c>
      <c r="AC34" s="55">
        <f t="shared" si="53"/>
        <v>0.56999999999999995</v>
      </c>
      <c r="AD34" s="55">
        <f t="shared" si="53"/>
        <v>0.57000000000000006</v>
      </c>
      <c r="AE34" s="55">
        <f t="shared" si="53"/>
        <v>0.55999999999999994</v>
      </c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s="12" customFormat="1" x14ac:dyDescent="0.3">
      <c r="A35" s="29" t="s">
        <v>102</v>
      </c>
      <c r="B35" s="29"/>
      <c r="C35" s="57">
        <f t="shared" ref="C35:L35" si="54">C23/C16</f>
        <v>0.29545220626075192</v>
      </c>
      <c r="D35" s="57">
        <f t="shared" si="54"/>
        <v>0.279156202913109</v>
      </c>
      <c r="E35" s="57">
        <f t="shared" si="54"/>
        <v>0.24800266311584554</v>
      </c>
      <c r="F35" s="57">
        <f t="shared" si="54"/>
        <v>0.23879654954765411</v>
      </c>
      <c r="G35" s="57">
        <f t="shared" si="54"/>
        <v>0.24954504420594092</v>
      </c>
      <c r="H35" s="57">
        <f t="shared" si="54"/>
        <v>0.29271888906761029</v>
      </c>
      <c r="I35" s="57">
        <f t="shared" si="54"/>
        <v>0.27829136948613303</v>
      </c>
      <c r="J35" s="57">
        <f t="shared" si="54"/>
        <v>0.27455683003128256</v>
      </c>
      <c r="K35" s="57">
        <f t="shared" si="54"/>
        <v>0.31626913669154072</v>
      </c>
      <c r="L35" s="57">
        <f t="shared" si="54"/>
        <v>0.29581565630138373</v>
      </c>
      <c r="M35" s="57">
        <f t="shared" ref="M35:N35" si="55">M23/M16</f>
        <v>0.30923092608763436</v>
      </c>
      <c r="N35" s="57">
        <f t="shared" si="55"/>
        <v>0.31002822310935491</v>
      </c>
      <c r="O35" s="29"/>
      <c r="P35" s="29"/>
      <c r="Q35" s="29"/>
      <c r="R35" s="29"/>
      <c r="S35" s="57">
        <f>S23/S16</f>
        <v>0.26461270842467011</v>
      </c>
      <c r="T35" s="57">
        <f>T23/T16</f>
        <v>0.27421810445226646</v>
      </c>
      <c r="U35" s="57">
        <f>U23/U16</f>
        <v>0.30779143132688686</v>
      </c>
      <c r="V35" s="57">
        <f t="shared" ref="V35:X35" si="56">V23/V16</f>
        <v>0.3016641922929999</v>
      </c>
      <c r="W35" s="57">
        <f t="shared" si="56"/>
        <v>0.28284425344161113</v>
      </c>
      <c r="X35" s="57">
        <f t="shared" si="56"/>
        <v>0.27618442840835483</v>
      </c>
      <c r="Y35" s="57">
        <f t="shared" ref="Y35:AE35" si="57">Y23/Y16</f>
        <v>0.25851778978644124</v>
      </c>
      <c r="Z35" s="57">
        <f t="shared" si="57"/>
        <v>0.25445078426669948</v>
      </c>
      <c r="AA35" s="57">
        <f t="shared" si="57"/>
        <v>0.273098403579906</v>
      </c>
      <c r="AB35" s="57">
        <f t="shared" si="57"/>
        <v>0.2630984035799061</v>
      </c>
      <c r="AC35" s="57">
        <f t="shared" si="57"/>
        <v>0.27309840357990606</v>
      </c>
      <c r="AD35" s="57">
        <f t="shared" si="57"/>
        <v>0.27165010310956411</v>
      </c>
      <c r="AE35" s="57">
        <f t="shared" si="57"/>
        <v>0.26019473775887908</v>
      </c>
    </row>
    <row r="36" spans="1:40" s="12" customFormat="1" x14ac:dyDescent="0.3">
      <c r="A36" s="29" t="s">
        <v>104</v>
      </c>
      <c r="B36" s="29"/>
      <c r="C36" s="57">
        <f t="shared" ref="C36:L36" si="58">C27/C16</f>
        <v>0.24166678919586537</v>
      </c>
      <c r="D36" s="57">
        <f t="shared" si="58"/>
        <v>0.22963335007533903</v>
      </c>
      <c r="E36" s="57">
        <f t="shared" si="58"/>
        <v>0.20132576854049672</v>
      </c>
      <c r="F36" s="57">
        <f t="shared" si="58"/>
        <v>0.17915001051967178</v>
      </c>
      <c r="G36" s="57">
        <f t="shared" si="58"/>
        <v>0.21567054035851949</v>
      </c>
      <c r="H36" s="57">
        <f t="shared" si="58"/>
        <v>0.2462066377137955</v>
      </c>
      <c r="I36" s="57">
        <f t="shared" si="58"/>
        <v>0.25672486406842865</v>
      </c>
      <c r="J36" s="57">
        <f t="shared" si="58"/>
        <v>0.23968253968253969</v>
      </c>
      <c r="K36" s="57">
        <f t="shared" si="58"/>
        <v>0.29379555246526529</v>
      </c>
      <c r="L36" s="57">
        <f t="shared" si="58"/>
        <v>0.25228426886550281</v>
      </c>
      <c r="M36" s="57">
        <f t="shared" ref="M36:N36" si="59">M27/M16</f>
        <v>0.26517980515718254</v>
      </c>
      <c r="N36" s="57">
        <f t="shared" si="59"/>
        <v>0.26856436834883807</v>
      </c>
      <c r="O36" s="29"/>
      <c r="P36" s="29"/>
      <c r="Q36" s="29"/>
      <c r="R36" s="29"/>
      <c r="S36" s="57">
        <f>S27/S16</f>
        <v>0.21203807153261961</v>
      </c>
      <c r="T36" s="57">
        <f>T27/T16</f>
        <v>0.24006649446638517</v>
      </c>
      <c r="U36" s="57">
        <f>U27/U16</f>
        <v>0.25903808468760009</v>
      </c>
      <c r="V36" s="57">
        <f t="shared" ref="V36:X36" si="60">V27/V16</f>
        <v>0.25683681247071299</v>
      </c>
      <c r="W36" s="57">
        <f t="shared" si="60"/>
        <v>0.24059191733408666</v>
      </c>
      <c r="X36" s="57">
        <f t="shared" si="60"/>
        <v>0.23517122080483893</v>
      </c>
      <c r="Y36" s="57">
        <f t="shared" ref="Y36:AE36" si="61">Y27/Y16</f>
        <v>0.2198785211468087</v>
      </c>
      <c r="Z36" s="57">
        <f t="shared" si="61"/>
        <v>0.2177724280540069</v>
      </c>
      <c r="AA36" s="57">
        <f t="shared" si="61"/>
        <v>0.23106091598075243</v>
      </c>
      <c r="AB36" s="57">
        <f t="shared" si="61"/>
        <v>0.22506903115521282</v>
      </c>
      <c r="AC36" s="57">
        <f t="shared" si="61"/>
        <v>0.23104155234801874</v>
      </c>
      <c r="AD36" s="57">
        <f t="shared" si="61"/>
        <v>0.22688855734164021</v>
      </c>
      <c r="AE36" s="57">
        <f t="shared" si="61"/>
        <v>0.22000346424007208</v>
      </c>
    </row>
    <row r="37" spans="1:40" s="20" customFormat="1" x14ac:dyDescent="0.3">
      <c r="A37" s="37" t="s">
        <v>105</v>
      </c>
      <c r="B37" s="37"/>
      <c r="C37" s="56">
        <f t="shared" ref="C37:L37" si="62">C26/C25</f>
        <v>0.13193197422625963</v>
      </c>
      <c r="D37" s="56">
        <f t="shared" si="62"/>
        <v>0.15840959293152415</v>
      </c>
      <c r="E37" s="56">
        <f t="shared" si="62"/>
        <v>0.14310355448777182</v>
      </c>
      <c r="F37" s="56">
        <f t="shared" si="62"/>
        <v>0.20545868081880211</v>
      </c>
      <c r="G37" s="56">
        <f t="shared" si="62"/>
        <v>0.17324910738808019</v>
      </c>
      <c r="H37" s="56">
        <f t="shared" si="62"/>
        <v>0.16139341642697347</v>
      </c>
      <c r="I37" s="56">
        <f t="shared" si="62"/>
        <v>7.1142142756050381E-2</v>
      </c>
      <c r="J37" s="56">
        <f t="shared" si="62"/>
        <v>0.15258889070948714</v>
      </c>
      <c r="K37" s="56">
        <f t="shared" si="62"/>
        <v>0.16432986049796927</v>
      </c>
      <c r="L37" s="56">
        <f t="shared" si="62"/>
        <v>0.15</v>
      </c>
      <c r="M37" s="56">
        <f t="shared" ref="M37:N37" si="63">M26/M25</f>
        <v>0.15</v>
      </c>
      <c r="N37" s="56">
        <f t="shared" si="63"/>
        <v>0.15</v>
      </c>
      <c r="O37" s="37"/>
      <c r="P37" s="37"/>
      <c r="Q37" s="37"/>
      <c r="R37" s="37"/>
      <c r="S37" s="56">
        <f>S26/S25</f>
        <v>0.1592081650964558</v>
      </c>
      <c r="T37" s="56">
        <f>T26/T25</f>
        <v>0.13908559562280529</v>
      </c>
      <c r="U37" s="56">
        <f>U26/U25</f>
        <v>0.15</v>
      </c>
      <c r="V37" s="56">
        <f t="shared" ref="V37:X37" si="64">V26/V25</f>
        <v>0.15</v>
      </c>
      <c r="W37" s="56">
        <f t="shared" si="64"/>
        <v>0.16</v>
      </c>
      <c r="X37" s="56">
        <f t="shared" si="64"/>
        <v>0.15</v>
      </c>
      <c r="Y37" s="56">
        <f t="shared" ref="Y37:AE37" si="65">Y26/Y25</f>
        <v>0.16</v>
      </c>
      <c r="Z37" s="56">
        <f t="shared" si="65"/>
        <v>0.15</v>
      </c>
      <c r="AA37" s="56">
        <f t="shared" si="65"/>
        <v>0.16</v>
      </c>
      <c r="AB37" s="56">
        <f t="shared" si="65"/>
        <v>0.15</v>
      </c>
      <c r="AC37" s="56">
        <f t="shared" si="65"/>
        <v>0.16</v>
      </c>
      <c r="AD37" s="56">
        <f t="shared" si="65"/>
        <v>0.17</v>
      </c>
      <c r="AE37" s="56">
        <f t="shared" si="65"/>
        <v>0.16</v>
      </c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s="3" customFormat="1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1:40" s="3" customFormat="1" x14ac:dyDescent="0.3">
      <c r="A39" s="23" t="s">
        <v>118</v>
      </c>
      <c r="B39" s="23"/>
      <c r="C39" s="58"/>
      <c r="D39" s="58"/>
      <c r="E39" s="58"/>
      <c r="F39" s="59">
        <f>'Balance Sheet'!F44/'Balance Sheet'!F42</f>
        <v>0.10753252806466601</v>
      </c>
      <c r="G39" s="59">
        <f>'Balance Sheet'!G44/'Balance Sheet'!G42</f>
        <v>0.100025405465184</v>
      </c>
      <c r="H39" s="59">
        <f>'Balance Sheet'!H44/'Balance Sheet'!H42</f>
        <v>8.7488429119581657E-2</v>
      </c>
      <c r="I39" s="59">
        <f>'Balance Sheet'!I44/'Balance Sheet'!I42</f>
        <v>8.347577020862218E-2</v>
      </c>
      <c r="J39" s="59">
        <f>'Balance Sheet'!J44/'Balance Sheet'!J42</f>
        <v>7.4519648643886063E-2</v>
      </c>
      <c r="K39" s="59">
        <f>'Balance Sheet'!K44/'Balance Sheet'!K42</f>
        <v>8.9692871838905633E-2</v>
      </c>
      <c r="L39" s="58"/>
      <c r="M39" s="23"/>
      <c r="N39" s="23"/>
      <c r="O39" s="23"/>
      <c r="P39" s="23"/>
      <c r="Q39" s="23"/>
      <c r="R39" s="23"/>
      <c r="S39" s="59">
        <f>'Balance Sheet'!P44/'Balance Sheet'!P42</f>
        <v>0.38793018049238986</v>
      </c>
      <c r="T39" s="59">
        <f>'Balance Sheet'!Q44/'Balance Sheet'!Q42</f>
        <v>0.37559874482123956</v>
      </c>
    </row>
    <row r="40" spans="1:40" s="3" customFormat="1" x14ac:dyDescent="0.3">
      <c r="A40" s="23" t="s">
        <v>119</v>
      </c>
      <c r="B40" s="23"/>
      <c r="C40" s="58"/>
      <c r="D40" s="58"/>
      <c r="E40" s="58"/>
      <c r="F40" s="59">
        <f>SUM(C27:F27)/'Balance Sheet'!F18</f>
        <v>0.16418809409084936</v>
      </c>
      <c r="G40" s="59">
        <f>SUM(D27:G27)/'Balance Sheet'!G18</f>
        <v>0.15856137226617156</v>
      </c>
      <c r="H40" s="59">
        <f>SUM(E27:H27)/'Balance Sheet'!H18</f>
        <v>0.15912793308340556</v>
      </c>
      <c r="I40" s="59">
        <f>SUM(F27:I27)/'Balance Sheet'!I18</f>
        <v>0.16821313248183187</v>
      </c>
      <c r="J40" s="59">
        <f>SUM(G27:J27)/'Balance Sheet'!J18</f>
        <v>0.18339082287918249</v>
      </c>
      <c r="K40" s="59">
        <f>SUM(H27:K27)/'Balance Sheet'!K18</f>
        <v>0.2022977783233092</v>
      </c>
      <c r="L40" s="23"/>
      <c r="M40" s="23"/>
      <c r="N40" s="23"/>
      <c r="O40" s="58"/>
      <c r="P40" s="58"/>
      <c r="Q40" s="58"/>
      <c r="R40" s="58"/>
      <c r="S40" s="59">
        <f>S27/'Balance Sheet'!P18</f>
        <v>0.16418809409084936</v>
      </c>
      <c r="T40" s="59">
        <f>T27/'Balance Sheet'!Q18</f>
        <v>0.18339082287918249</v>
      </c>
      <c r="U40" s="58"/>
      <c r="V40" s="58"/>
    </row>
    <row r="41" spans="1:40" s="3" customFormat="1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AF41" s="3" t="s">
        <v>120</v>
      </c>
      <c r="AG41" s="61">
        <v>-0.01</v>
      </c>
    </row>
    <row r="42" spans="1:40" x14ac:dyDescent="0.3">
      <c r="AF42" t="s">
        <v>121</v>
      </c>
      <c r="AG42" s="62">
        <v>0.06</v>
      </c>
    </row>
    <row r="43" spans="1:40" x14ac:dyDescent="0.3">
      <c r="AF43" t="s">
        <v>122</v>
      </c>
      <c r="AG43" s="64">
        <f>NPV(AG42,U27:GQ27)</f>
        <v>1795465.0160544387</v>
      </c>
    </row>
    <row r="44" spans="1:40" x14ac:dyDescent="0.3">
      <c r="AF44" s="3" t="s">
        <v>3</v>
      </c>
      <c r="AG44" s="3">
        <f>Main!L6</f>
        <v>13228</v>
      </c>
    </row>
    <row r="45" spans="1:40" x14ac:dyDescent="0.3">
      <c r="AF45" s="3" t="s">
        <v>123</v>
      </c>
      <c r="AG45" s="64">
        <f>AG43-AG44</f>
        <v>1782237.0160544387</v>
      </c>
    </row>
    <row r="46" spans="1:40" x14ac:dyDescent="0.3">
      <c r="AF46" s="3" t="s">
        <v>124</v>
      </c>
      <c r="AG46" s="63">
        <f>AG45/Main!L3</f>
        <v>140.09094608193985</v>
      </c>
    </row>
    <row r="114" spans="1:1" x14ac:dyDescent="0.3">
      <c r="A114" s="39"/>
    </row>
    <row r="120" spans="1:1" x14ac:dyDescent="0.3">
      <c r="A120" s="40"/>
    </row>
  </sheetData>
  <phoneticPr fontId="2" type="noConversion"/>
  <pageMargins left="0" right="0" top="0" bottom="0" header="0" footer="0"/>
  <pageSetup paperSize="5" scale="1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7F3-52CE-4C6C-AC73-86A8AD76DA50}">
  <dimension ref="A2:Q44"/>
  <sheetViews>
    <sheetView zoomScale="115" zoomScaleNormal="115" workbookViewId="0">
      <pane xSplit="1" ySplit="2" topLeftCell="D26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32.109375" style="26" customWidth="1"/>
    <col min="2" max="2" width="9.109375" style="26"/>
    <col min="3" max="11" width="13.44140625" style="26" customWidth="1"/>
    <col min="12" max="15" width="9.109375" style="26"/>
    <col min="16" max="17" width="13.44140625" style="26" customWidth="1"/>
  </cols>
  <sheetData>
    <row r="2" spans="1:17" s="22" customFormat="1" ht="15" thickBot="1" x14ac:dyDescent="0.35">
      <c r="A2" s="33"/>
      <c r="B2" s="27"/>
      <c r="C2" s="27" t="s">
        <v>14</v>
      </c>
      <c r="D2" s="27" t="s">
        <v>15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8</v>
      </c>
      <c r="J2" s="27" t="s">
        <v>9</v>
      </c>
      <c r="K2" s="27" t="s">
        <v>87</v>
      </c>
      <c r="L2" s="27" t="s">
        <v>88</v>
      </c>
      <c r="M2" s="27" t="s">
        <v>89</v>
      </c>
      <c r="N2" s="27" t="s">
        <v>90</v>
      </c>
      <c r="O2" s="27"/>
      <c r="P2" s="27">
        <v>2022</v>
      </c>
      <c r="Q2" s="27">
        <v>2023</v>
      </c>
    </row>
    <row r="3" spans="1:17" s="15" customFormat="1" x14ac:dyDescent="0.3">
      <c r="A3" s="28" t="s">
        <v>58</v>
      </c>
      <c r="B3" s="28"/>
      <c r="C3" s="28">
        <f t="shared" ref="C3:Q3" si="0">C4-C5</f>
        <v>0</v>
      </c>
      <c r="D3" s="28">
        <f t="shared" si="0"/>
        <v>0</v>
      </c>
      <c r="E3" s="28">
        <f t="shared" si="0"/>
        <v>0</v>
      </c>
      <c r="F3" s="28">
        <f t="shared" si="0"/>
        <v>99061</v>
      </c>
      <c r="G3" s="28">
        <f t="shared" si="0"/>
        <v>101405</v>
      </c>
      <c r="H3" s="28">
        <f t="shared" si="0"/>
        <v>104627</v>
      </c>
      <c r="I3" s="28">
        <f t="shared" si="0"/>
        <v>106154</v>
      </c>
      <c r="J3" s="28">
        <f t="shared" si="0"/>
        <v>97663</v>
      </c>
      <c r="K3" s="28">
        <f t="shared" si="0"/>
        <v>94862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99061</v>
      </c>
      <c r="Q3" s="28">
        <f t="shared" si="0"/>
        <v>97663</v>
      </c>
    </row>
    <row r="4" spans="1:17" s="12" customFormat="1" x14ac:dyDescent="0.3">
      <c r="A4" s="29" t="s">
        <v>3</v>
      </c>
      <c r="B4" s="29"/>
      <c r="C4" s="29">
        <f t="shared" ref="C4:Q4" si="1">C7</f>
        <v>0</v>
      </c>
      <c r="D4" s="29">
        <f t="shared" si="1"/>
        <v>0</v>
      </c>
      <c r="E4" s="29">
        <f t="shared" si="1"/>
        <v>0</v>
      </c>
      <c r="F4" s="29">
        <f t="shared" si="1"/>
        <v>113762</v>
      </c>
      <c r="G4" s="29">
        <f t="shared" si="1"/>
        <v>115102</v>
      </c>
      <c r="H4" s="29">
        <f t="shared" si="1"/>
        <v>118332</v>
      </c>
      <c r="I4" s="29">
        <f t="shared" si="1"/>
        <v>119935</v>
      </c>
      <c r="J4" s="29">
        <f t="shared" si="1"/>
        <v>110916</v>
      </c>
      <c r="K4" s="29">
        <f t="shared" si="1"/>
        <v>108090</v>
      </c>
      <c r="L4" s="29">
        <f t="shared" si="1"/>
        <v>0</v>
      </c>
      <c r="M4" s="29">
        <f t="shared" si="1"/>
        <v>0</v>
      </c>
      <c r="N4" s="29">
        <f t="shared" si="1"/>
        <v>0</v>
      </c>
      <c r="O4" s="29">
        <f t="shared" si="1"/>
        <v>0</v>
      </c>
      <c r="P4" s="29">
        <f t="shared" si="1"/>
        <v>113762</v>
      </c>
      <c r="Q4" s="29">
        <f t="shared" si="1"/>
        <v>110916</v>
      </c>
    </row>
    <row r="5" spans="1:17" s="13" customFormat="1" ht="15" thickBot="1" x14ac:dyDescent="0.35">
      <c r="A5" s="29" t="s">
        <v>4</v>
      </c>
      <c r="B5" s="30"/>
      <c r="C5" s="30">
        <f t="shared" ref="C5:Q5" si="2">C25</f>
        <v>0</v>
      </c>
      <c r="D5" s="30">
        <f t="shared" si="2"/>
        <v>0</v>
      </c>
      <c r="E5" s="30">
        <f t="shared" si="2"/>
        <v>0</v>
      </c>
      <c r="F5" s="30">
        <f t="shared" si="2"/>
        <v>14701</v>
      </c>
      <c r="G5" s="30">
        <f t="shared" si="2"/>
        <v>13697</v>
      </c>
      <c r="H5" s="30">
        <f t="shared" si="2"/>
        <v>13705</v>
      </c>
      <c r="I5" s="30">
        <f t="shared" si="2"/>
        <v>13781</v>
      </c>
      <c r="J5" s="30">
        <f t="shared" si="2"/>
        <v>13253</v>
      </c>
      <c r="K5" s="30">
        <f t="shared" si="2"/>
        <v>13228</v>
      </c>
      <c r="L5" s="30">
        <f t="shared" si="2"/>
        <v>0</v>
      </c>
      <c r="M5" s="30">
        <f t="shared" si="2"/>
        <v>0</v>
      </c>
      <c r="N5" s="30">
        <f t="shared" si="2"/>
        <v>0</v>
      </c>
      <c r="O5" s="30">
        <f t="shared" si="2"/>
        <v>0</v>
      </c>
      <c r="P5" s="30">
        <f t="shared" si="2"/>
        <v>14701</v>
      </c>
      <c r="Q5" s="30">
        <f t="shared" si="2"/>
        <v>13253</v>
      </c>
    </row>
    <row r="6" spans="1:17" s="3" customFormat="1" x14ac:dyDescent="0.3">
      <c r="A6" s="32" t="s">
        <v>59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s="3" customFormat="1" x14ac:dyDescent="0.3">
      <c r="A7" s="23" t="s">
        <v>3</v>
      </c>
      <c r="B7" s="23"/>
      <c r="C7" s="23"/>
      <c r="D7" s="23"/>
      <c r="E7" s="23"/>
      <c r="F7" s="23">
        <v>113762</v>
      </c>
      <c r="G7" s="23">
        <v>115102</v>
      </c>
      <c r="H7" s="23">
        <v>118332</v>
      </c>
      <c r="I7" s="23">
        <v>119935</v>
      </c>
      <c r="J7" s="23">
        <v>110916</v>
      </c>
      <c r="K7" s="23">
        <v>108090</v>
      </c>
      <c r="L7" s="23"/>
      <c r="M7" s="23"/>
      <c r="N7" s="23"/>
      <c r="O7" s="23"/>
      <c r="P7" s="23">
        <v>113762</v>
      </c>
      <c r="Q7" s="23">
        <v>110916</v>
      </c>
    </row>
    <row r="8" spans="1:17" s="3" customFormat="1" x14ac:dyDescent="0.3">
      <c r="A8" s="23" t="s">
        <v>33</v>
      </c>
      <c r="B8" s="23"/>
      <c r="C8" s="23"/>
      <c r="D8" s="23"/>
      <c r="E8" s="23"/>
      <c r="F8" s="23">
        <v>40258</v>
      </c>
      <c r="G8" s="23">
        <v>36036</v>
      </c>
      <c r="H8" s="23">
        <v>38804</v>
      </c>
      <c r="I8" s="23">
        <v>41020</v>
      </c>
      <c r="J8" s="23">
        <v>47964</v>
      </c>
      <c r="K8" s="23">
        <v>44552</v>
      </c>
      <c r="L8" s="23"/>
      <c r="M8" s="23"/>
      <c r="N8" s="23"/>
      <c r="O8" s="23"/>
      <c r="P8" s="23">
        <v>40258</v>
      </c>
      <c r="Q8" s="23">
        <v>47964</v>
      </c>
    </row>
    <row r="9" spans="1:17" s="3" customFormat="1" x14ac:dyDescent="0.3">
      <c r="A9" s="23" t="s">
        <v>34</v>
      </c>
      <c r="B9" s="23"/>
      <c r="C9" s="23"/>
      <c r="D9" s="23"/>
      <c r="E9" s="23"/>
      <c r="F9" s="23">
        <v>2670</v>
      </c>
      <c r="G9" s="23">
        <v>2315</v>
      </c>
      <c r="H9" s="23">
        <v>2231</v>
      </c>
      <c r="I9" s="23">
        <v>2957</v>
      </c>
      <c r="J9" s="23"/>
      <c r="K9" s="23"/>
      <c r="L9" s="23"/>
      <c r="M9" s="23"/>
      <c r="N9" s="23"/>
      <c r="O9" s="23"/>
      <c r="P9" s="23">
        <v>2670</v>
      </c>
      <c r="Q9" s="23"/>
    </row>
    <row r="10" spans="1:17" s="3" customFormat="1" x14ac:dyDescent="0.3">
      <c r="A10" s="23" t="s">
        <v>35</v>
      </c>
      <c r="B10" s="23"/>
      <c r="C10" s="23"/>
      <c r="D10" s="23"/>
      <c r="E10" s="23"/>
      <c r="F10" s="23">
        <v>8105</v>
      </c>
      <c r="G10" s="23">
        <v>8532</v>
      </c>
      <c r="H10" s="23">
        <v>9421</v>
      </c>
      <c r="I10" s="23">
        <v>12398</v>
      </c>
      <c r="J10" s="23">
        <v>12650</v>
      </c>
      <c r="K10" s="23">
        <v>12829</v>
      </c>
      <c r="L10" s="23"/>
      <c r="M10" s="23"/>
      <c r="N10" s="23"/>
      <c r="O10" s="23"/>
      <c r="P10" s="23">
        <v>8105</v>
      </c>
      <c r="Q10" s="23">
        <v>12650</v>
      </c>
    </row>
    <row r="11" spans="1:17" s="8" customFormat="1" x14ac:dyDescent="0.3">
      <c r="A11" s="24" t="s">
        <v>57</v>
      </c>
      <c r="B11" s="31"/>
      <c r="C11" s="31">
        <f t="shared" ref="C11:N11" si="3">SUM(C7:C10)</f>
        <v>0</v>
      </c>
      <c r="D11" s="31">
        <f t="shared" si="3"/>
        <v>0</v>
      </c>
      <c r="E11" s="31">
        <f t="shared" si="3"/>
        <v>0</v>
      </c>
      <c r="F11" s="31">
        <f t="shared" si="3"/>
        <v>164795</v>
      </c>
      <c r="G11" s="31">
        <f t="shared" si="3"/>
        <v>161985</v>
      </c>
      <c r="H11" s="31">
        <f t="shared" si="3"/>
        <v>168788</v>
      </c>
      <c r="I11" s="31">
        <f t="shared" si="3"/>
        <v>176310</v>
      </c>
      <c r="J11" s="31">
        <f t="shared" si="3"/>
        <v>171530</v>
      </c>
      <c r="K11" s="31">
        <f t="shared" si="3"/>
        <v>165471</v>
      </c>
      <c r="L11" s="31">
        <f t="shared" si="3"/>
        <v>0</v>
      </c>
      <c r="M11" s="31">
        <f t="shared" si="3"/>
        <v>0</v>
      </c>
      <c r="N11" s="31">
        <f t="shared" si="3"/>
        <v>0</v>
      </c>
      <c r="O11" s="31"/>
      <c r="P11" s="31">
        <f>SUM(P7:P10)</f>
        <v>164795</v>
      </c>
      <c r="Q11" s="31">
        <f>SUM(Q7:Q10)</f>
        <v>171530</v>
      </c>
    </row>
    <row r="12" spans="1:17" s="3" customFormat="1" x14ac:dyDescent="0.3">
      <c r="A12" s="23" t="s">
        <v>37</v>
      </c>
      <c r="B12" s="23"/>
      <c r="C12" s="23"/>
      <c r="D12" s="23"/>
      <c r="E12" s="23"/>
      <c r="F12" s="23">
        <v>30492</v>
      </c>
      <c r="G12" s="23">
        <v>31213</v>
      </c>
      <c r="H12" s="23">
        <v>31224</v>
      </c>
      <c r="I12" s="23">
        <v>30907</v>
      </c>
      <c r="J12" s="23">
        <v>31008</v>
      </c>
      <c r="K12" s="23">
        <v>33994</v>
      </c>
      <c r="L12" s="23"/>
      <c r="M12" s="23"/>
      <c r="N12" s="23"/>
      <c r="O12" s="23"/>
      <c r="P12" s="23">
        <v>30492</v>
      </c>
      <c r="Q12" s="23">
        <v>31008</v>
      </c>
    </row>
    <row r="13" spans="1:17" s="3" customFormat="1" x14ac:dyDescent="0.3">
      <c r="A13" s="23" t="s">
        <v>38</v>
      </c>
      <c r="B13" s="23"/>
      <c r="C13" s="23"/>
      <c r="D13" s="23"/>
      <c r="E13" s="23"/>
      <c r="F13" s="23">
        <v>5261</v>
      </c>
      <c r="G13" s="23">
        <v>6885</v>
      </c>
      <c r="H13" s="23">
        <v>9357</v>
      </c>
      <c r="I13" s="23">
        <v>10983</v>
      </c>
      <c r="J13" s="23">
        <v>12169</v>
      </c>
      <c r="K13" s="23">
        <v>11687</v>
      </c>
      <c r="L13" s="23"/>
      <c r="M13" s="23"/>
      <c r="N13" s="23"/>
      <c r="O13" s="23"/>
      <c r="P13" s="23">
        <v>5261</v>
      </c>
      <c r="Q13" s="23">
        <v>12169</v>
      </c>
    </row>
    <row r="14" spans="1:17" s="3" customFormat="1" x14ac:dyDescent="0.3">
      <c r="A14" s="23" t="s">
        <v>39</v>
      </c>
      <c r="B14" s="23"/>
      <c r="C14" s="23"/>
      <c r="D14" s="23"/>
      <c r="E14" s="23"/>
      <c r="F14" s="23">
        <v>112668</v>
      </c>
      <c r="G14" s="23">
        <v>117560</v>
      </c>
      <c r="H14" s="23">
        <v>121208</v>
      </c>
      <c r="I14" s="23">
        <v>125705</v>
      </c>
      <c r="J14" s="23">
        <v>134345</v>
      </c>
      <c r="K14" s="23">
        <v>143182</v>
      </c>
      <c r="L14" s="23"/>
      <c r="M14" s="23"/>
      <c r="N14" s="23"/>
      <c r="O14" s="23"/>
      <c r="P14" s="23">
        <v>112668</v>
      </c>
      <c r="Q14" s="23">
        <v>134345</v>
      </c>
    </row>
    <row r="15" spans="1:17" s="3" customFormat="1" x14ac:dyDescent="0.3">
      <c r="A15" s="23" t="s">
        <v>40</v>
      </c>
      <c r="B15" s="23"/>
      <c r="C15" s="23"/>
      <c r="D15" s="23"/>
      <c r="E15" s="23"/>
      <c r="F15" s="23">
        <v>14381</v>
      </c>
      <c r="G15" s="23">
        <v>14447</v>
      </c>
      <c r="H15" s="23">
        <v>14469</v>
      </c>
      <c r="I15" s="23">
        <v>14199</v>
      </c>
      <c r="J15" s="23">
        <v>14091</v>
      </c>
      <c r="K15" s="23">
        <v>13768</v>
      </c>
      <c r="L15" s="23"/>
      <c r="M15" s="23"/>
      <c r="N15" s="23"/>
      <c r="O15" s="23"/>
      <c r="P15" s="23">
        <v>14381</v>
      </c>
      <c r="Q15" s="23">
        <v>14091</v>
      </c>
    </row>
    <row r="16" spans="1:17" s="3" customFormat="1" x14ac:dyDescent="0.3">
      <c r="A16" s="23" t="s">
        <v>41</v>
      </c>
      <c r="B16" s="23"/>
      <c r="C16" s="23"/>
      <c r="D16" s="23"/>
      <c r="E16" s="23"/>
      <c r="F16" s="23">
        <f>2084+28960</f>
        <v>31044</v>
      </c>
      <c r="G16" s="23">
        <f>28994+1968</f>
        <v>30962</v>
      </c>
      <c r="H16" s="23">
        <f>29210+1966</f>
        <v>31176</v>
      </c>
      <c r="I16" s="23">
        <f>1833+29146</f>
        <v>30979</v>
      </c>
      <c r="J16" s="23">
        <v>29198</v>
      </c>
      <c r="K16" s="23">
        <v>29183</v>
      </c>
      <c r="L16" s="23"/>
      <c r="M16" s="23"/>
      <c r="N16" s="23"/>
      <c r="O16" s="23"/>
      <c r="P16" s="23">
        <f>2084+28960</f>
        <v>31044</v>
      </c>
      <c r="Q16" s="23">
        <v>29198</v>
      </c>
    </row>
    <row r="17" spans="1:17" s="3" customFormat="1" x14ac:dyDescent="0.3">
      <c r="A17" s="23" t="s">
        <v>42</v>
      </c>
      <c r="B17" s="23"/>
      <c r="C17" s="23"/>
      <c r="D17" s="23"/>
      <c r="E17" s="23"/>
      <c r="F17" s="23">
        <v>6623</v>
      </c>
      <c r="G17" s="23">
        <v>6439</v>
      </c>
      <c r="H17" s="23">
        <v>6822</v>
      </c>
      <c r="I17" s="23">
        <v>7628</v>
      </c>
      <c r="J17" s="23">
        <v>10051</v>
      </c>
      <c r="K17" s="23">
        <v>10065</v>
      </c>
      <c r="L17" s="23"/>
      <c r="M17" s="23"/>
      <c r="N17" s="23"/>
      <c r="O17" s="23"/>
      <c r="P17" s="23">
        <v>6623</v>
      </c>
      <c r="Q17" s="23">
        <v>10051</v>
      </c>
    </row>
    <row r="18" spans="1:17" s="8" customFormat="1" x14ac:dyDescent="0.3">
      <c r="A18" s="24" t="s">
        <v>36</v>
      </c>
      <c r="B18" s="31"/>
      <c r="C18" s="31">
        <f t="shared" ref="C18:N18" si="4">SUM(C12:C17)+C11</f>
        <v>0</v>
      </c>
      <c r="D18" s="31">
        <f t="shared" si="4"/>
        <v>0</v>
      </c>
      <c r="E18" s="31">
        <f t="shared" si="4"/>
        <v>0</v>
      </c>
      <c r="F18" s="31">
        <f t="shared" si="4"/>
        <v>365264</v>
      </c>
      <c r="G18" s="31">
        <f t="shared" si="4"/>
        <v>369491</v>
      </c>
      <c r="H18" s="31">
        <f t="shared" si="4"/>
        <v>383044</v>
      </c>
      <c r="I18" s="31">
        <f t="shared" si="4"/>
        <v>396711</v>
      </c>
      <c r="J18" s="31">
        <f t="shared" si="4"/>
        <v>402392</v>
      </c>
      <c r="K18" s="31">
        <f t="shared" si="4"/>
        <v>407350</v>
      </c>
      <c r="L18" s="31">
        <f t="shared" si="4"/>
        <v>0</v>
      </c>
      <c r="M18" s="31">
        <f t="shared" si="4"/>
        <v>0</v>
      </c>
      <c r="N18" s="31">
        <f t="shared" si="4"/>
        <v>0</v>
      </c>
      <c r="O18" s="31"/>
      <c r="P18" s="31">
        <f>SUM(P12:P17)+P11</f>
        <v>365264</v>
      </c>
      <c r="Q18" s="31">
        <f>SUM(Q12:Q17)+Q11</f>
        <v>402392</v>
      </c>
    </row>
    <row r="19" spans="1:17" s="3" customFormat="1" x14ac:dyDescent="0.3">
      <c r="A19" s="23" t="s">
        <v>43</v>
      </c>
      <c r="B19" s="23"/>
      <c r="C19" s="23"/>
      <c r="D19" s="23"/>
      <c r="E19" s="23"/>
      <c r="F19" s="23">
        <v>5128</v>
      </c>
      <c r="G19" s="23">
        <v>4184</v>
      </c>
      <c r="H19" s="23">
        <v>5313</v>
      </c>
      <c r="I19" s="23">
        <v>5803</v>
      </c>
      <c r="J19" s="23">
        <v>7493</v>
      </c>
      <c r="K19" s="23">
        <v>6198</v>
      </c>
      <c r="L19" s="23"/>
      <c r="M19" s="23"/>
      <c r="N19" s="23"/>
      <c r="O19" s="23"/>
      <c r="P19" s="23">
        <v>5128</v>
      </c>
      <c r="Q19" s="23">
        <v>7493</v>
      </c>
    </row>
    <row r="20" spans="1:17" s="3" customFormat="1" x14ac:dyDescent="0.3">
      <c r="A20" s="23" t="s">
        <v>44</v>
      </c>
      <c r="B20" s="23"/>
      <c r="C20" s="23"/>
      <c r="D20" s="23"/>
      <c r="E20" s="23"/>
      <c r="F20" s="23">
        <v>14028</v>
      </c>
      <c r="G20" s="23">
        <v>9954</v>
      </c>
      <c r="H20" s="23">
        <v>11260</v>
      </c>
      <c r="I20" s="23">
        <v>12562</v>
      </c>
      <c r="J20" s="23">
        <v>15140</v>
      </c>
      <c r="K20" s="23">
        <v>9703</v>
      </c>
      <c r="L20" s="23"/>
      <c r="M20" s="23"/>
      <c r="N20" s="23"/>
      <c r="O20" s="23"/>
      <c r="P20" s="23">
        <v>14028</v>
      </c>
      <c r="Q20" s="23">
        <v>15140</v>
      </c>
    </row>
    <row r="21" spans="1:17" s="3" customFormat="1" x14ac:dyDescent="0.3">
      <c r="A21" s="23" t="s">
        <v>45</v>
      </c>
      <c r="B21" s="23"/>
      <c r="C21" s="23"/>
      <c r="D21" s="23"/>
      <c r="E21" s="23"/>
      <c r="F21" s="23">
        <v>37866</v>
      </c>
      <c r="G21" s="23">
        <v>43185</v>
      </c>
      <c r="H21" s="23">
        <v>49300</v>
      </c>
      <c r="I21" s="23">
        <v>55602</v>
      </c>
      <c r="J21" s="23">
        <v>46168</v>
      </c>
      <c r="K21" s="23">
        <v>48603</v>
      </c>
      <c r="L21" s="23"/>
      <c r="M21" s="23"/>
      <c r="N21" s="23"/>
      <c r="O21" s="23"/>
      <c r="P21" s="23">
        <v>37866</v>
      </c>
      <c r="Q21" s="23">
        <v>46168</v>
      </c>
    </row>
    <row r="22" spans="1:17" s="3" customFormat="1" x14ac:dyDescent="0.3">
      <c r="A22" s="23" t="s">
        <v>46</v>
      </c>
      <c r="B22" s="23"/>
      <c r="C22" s="23"/>
      <c r="D22" s="23"/>
      <c r="E22" s="23"/>
      <c r="F22" s="23">
        <v>8370</v>
      </c>
      <c r="G22" s="23">
        <v>7816</v>
      </c>
      <c r="H22" s="23">
        <v>7990</v>
      </c>
      <c r="I22" s="23">
        <v>8025</v>
      </c>
      <c r="J22" s="23">
        <v>8876</v>
      </c>
      <c r="K22" s="23">
        <v>8520</v>
      </c>
      <c r="L22" s="23"/>
      <c r="M22" s="23"/>
      <c r="N22" s="23"/>
      <c r="O22" s="23"/>
      <c r="P22" s="23">
        <v>8370</v>
      </c>
      <c r="Q22" s="23">
        <v>8876</v>
      </c>
    </row>
    <row r="23" spans="1:17" s="3" customFormat="1" x14ac:dyDescent="0.3">
      <c r="A23" s="23" t="s">
        <v>47</v>
      </c>
      <c r="B23" s="23"/>
      <c r="C23" s="23"/>
      <c r="D23" s="23"/>
      <c r="E23" s="23"/>
      <c r="F23" s="23">
        <v>3908</v>
      </c>
      <c r="G23" s="23">
        <v>3715</v>
      </c>
      <c r="H23" s="23">
        <v>3846</v>
      </c>
      <c r="I23" s="23">
        <v>4303</v>
      </c>
      <c r="J23" s="23">
        <v>4137</v>
      </c>
      <c r="K23" s="23">
        <v>3973</v>
      </c>
      <c r="L23" s="23"/>
      <c r="M23" s="23"/>
      <c r="N23" s="23"/>
      <c r="O23" s="23"/>
      <c r="P23" s="23">
        <v>3908</v>
      </c>
      <c r="Q23" s="23">
        <v>4137</v>
      </c>
    </row>
    <row r="24" spans="1:17" s="8" customFormat="1" x14ac:dyDescent="0.3">
      <c r="A24" s="24" t="s">
        <v>48</v>
      </c>
      <c r="B24" s="31"/>
      <c r="C24" s="31">
        <f t="shared" ref="C24:N24" si="5">SUM(C19:C23)</f>
        <v>0</v>
      </c>
      <c r="D24" s="31">
        <f t="shared" si="5"/>
        <v>0</v>
      </c>
      <c r="E24" s="31">
        <f t="shared" si="5"/>
        <v>0</v>
      </c>
      <c r="F24" s="31">
        <f t="shared" si="5"/>
        <v>69300</v>
      </c>
      <c r="G24" s="31">
        <f t="shared" si="5"/>
        <v>68854</v>
      </c>
      <c r="H24" s="31">
        <f t="shared" si="5"/>
        <v>77709</v>
      </c>
      <c r="I24" s="31">
        <f t="shared" si="5"/>
        <v>86295</v>
      </c>
      <c r="J24" s="31">
        <f t="shared" si="5"/>
        <v>81814</v>
      </c>
      <c r="K24" s="31">
        <f t="shared" si="5"/>
        <v>76997</v>
      </c>
      <c r="L24" s="31">
        <f t="shared" si="5"/>
        <v>0</v>
      </c>
      <c r="M24" s="31">
        <f t="shared" si="5"/>
        <v>0</v>
      </c>
      <c r="N24" s="31">
        <f t="shared" si="5"/>
        <v>0</v>
      </c>
      <c r="O24" s="31"/>
      <c r="P24" s="31">
        <f>SUM(P19:P23)</f>
        <v>69300</v>
      </c>
      <c r="Q24" s="31">
        <f>SUM(Q19:Q23)</f>
        <v>81814</v>
      </c>
    </row>
    <row r="25" spans="1:17" s="3" customFormat="1" x14ac:dyDescent="0.3">
      <c r="A25" s="23" t="s">
        <v>4</v>
      </c>
      <c r="B25" s="23"/>
      <c r="C25" s="23"/>
      <c r="D25" s="23"/>
      <c r="E25" s="23"/>
      <c r="F25" s="23">
        <v>14701</v>
      </c>
      <c r="G25" s="23">
        <v>13697</v>
      </c>
      <c r="H25" s="23">
        <v>13705</v>
      </c>
      <c r="I25" s="23">
        <v>13781</v>
      </c>
      <c r="J25" s="23">
        <v>13253</v>
      </c>
      <c r="K25" s="23">
        <v>13228</v>
      </c>
      <c r="L25" s="23"/>
      <c r="M25" s="23"/>
      <c r="N25" s="23"/>
      <c r="O25" s="23"/>
      <c r="P25" s="23">
        <v>14701</v>
      </c>
      <c r="Q25" s="23">
        <v>13253</v>
      </c>
    </row>
    <row r="26" spans="1:17" s="3" customFormat="1" x14ac:dyDescent="0.3">
      <c r="A26" s="23" t="s">
        <v>49</v>
      </c>
      <c r="B26" s="23"/>
      <c r="C26" s="23"/>
      <c r="D26" s="23"/>
      <c r="E26" s="23"/>
      <c r="F26" s="23">
        <v>599</v>
      </c>
      <c r="G26" s="23">
        <v>610</v>
      </c>
      <c r="H26" s="23">
        <v>667</v>
      </c>
      <c r="I26" s="23">
        <v>884</v>
      </c>
      <c r="J26" s="23">
        <v>911</v>
      </c>
      <c r="K26" s="23">
        <v>921</v>
      </c>
      <c r="L26" s="23"/>
      <c r="M26" s="23"/>
      <c r="N26" s="23"/>
      <c r="O26" s="23"/>
      <c r="P26" s="23">
        <v>599</v>
      </c>
      <c r="Q26" s="23">
        <v>911</v>
      </c>
    </row>
    <row r="27" spans="1:17" s="3" customFormat="1" x14ac:dyDescent="0.3">
      <c r="A27" s="23" t="s">
        <v>50</v>
      </c>
      <c r="B27" s="23"/>
      <c r="C27" s="23"/>
      <c r="D27" s="23"/>
      <c r="E27" s="23"/>
      <c r="F27" s="23">
        <v>9258</v>
      </c>
      <c r="G27" s="23">
        <v>9722</v>
      </c>
      <c r="H27" s="23">
        <v>8753</v>
      </c>
      <c r="I27" s="23">
        <v>8038</v>
      </c>
      <c r="J27" s="23">
        <v>8474</v>
      </c>
      <c r="K27" s="23">
        <v>9234</v>
      </c>
      <c r="L27" s="23"/>
      <c r="M27" s="23"/>
      <c r="N27" s="23"/>
      <c r="O27" s="23"/>
      <c r="P27" s="23">
        <v>9258</v>
      </c>
      <c r="Q27" s="23">
        <v>8474</v>
      </c>
    </row>
    <row r="28" spans="1:17" s="3" customFormat="1" x14ac:dyDescent="0.3">
      <c r="A28" s="23" t="s">
        <v>51</v>
      </c>
      <c r="B28" s="23"/>
      <c r="C28" s="23"/>
      <c r="D28" s="23"/>
      <c r="E28" s="23"/>
      <c r="F28" s="23">
        <v>514</v>
      </c>
      <c r="G28" s="23">
        <v>542</v>
      </c>
      <c r="H28" s="23">
        <v>558</v>
      </c>
      <c r="I28" s="23">
        <v>528</v>
      </c>
      <c r="J28" s="23">
        <v>485</v>
      </c>
      <c r="K28" s="23">
        <v>486</v>
      </c>
      <c r="L28" s="23"/>
      <c r="M28" s="23"/>
      <c r="N28" s="23"/>
      <c r="O28" s="23"/>
      <c r="P28" s="23">
        <v>514</v>
      </c>
      <c r="Q28" s="23">
        <v>485</v>
      </c>
    </row>
    <row r="29" spans="1:17" s="3" customFormat="1" x14ac:dyDescent="0.3">
      <c r="A29" s="23" t="s">
        <v>52</v>
      </c>
      <c r="B29" s="23"/>
      <c r="C29" s="23"/>
      <c r="D29" s="23"/>
      <c r="E29" s="23"/>
      <c r="F29" s="23">
        <v>12501</v>
      </c>
      <c r="G29" s="23">
        <v>12799</v>
      </c>
      <c r="H29" s="23">
        <v>12746</v>
      </c>
      <c r="I29" s="23">
        <v>12550</v>
      </c>
      <c r="J29" s="23">
        <v>12460</v>
      </c>
      <c r="K29" s="23">
        <v>11957</v>
      </c>
      <c r="L29" s="23"/>
      <c r="M29" s="23"/>
      <c r="N29" s="23"/>
      <c r="O29" s="23"/>
      <c r="P29" s="23">
        <v>12501</v>
      </c>
      <c r="Q29" s="23">
        <v>12460</v>
      </c>
    </row>
    <row r="30" spans="1:17" s="3" customFormat="1" x14ac:dyDescent="0.3">
      <c r="A30" s="23" t="s">
        <v>53</v>
      </c>
      <c r="B30" s="23"/>
      <c r="C30" s="23"/>
      <c r="D30" s="23"/>
      <c r="E30" s="23"/>
      <c r="F30" s="23">
        <v>2247</v>
      </c>
      <c r="G30" s="23">
        <v>2373</v>
      </c>
      <c r="H30" s="23">
        <v>1765</v>
      </c>
      <c r="I30" s="23">
        <v>1433</v>
      </c>
      <c r="J30" s="23">
        <v>1616</v>
      </c>
      <c r="K30" s="23">
        <v>1683</v>
      </c>
      <c r="L30" s="23"/>
      <c r="M30" s="23"/>
      <c r="N30" s="23"/>
      <c r="O30" s="23"/>
      <c r="P30" s="23">
        <v>2247</v>
      </c>
      <c r="Q30" s="23">
        <v>1616</v>
      </c>
    </row>
    <row r="31" spans="1:17" s="8" customFormat="1" x14ac:dyDescent="0.3">
      <c r="A31" s="24" t="s">
        <v>54</v>
      </c>
      <c r="B31" s="31"/>
      <c r="C31" s="31">
        <f t="shared" ref="C31:N31" si="6">SUM(C25:C30)+C24</f>
        <v>0</v>
      </c>
      <c r="D31" s="31">
        <f t="shared" si="6"/>
        <v>0</v>
      </c>
      <c r="E31" s="31">
        <f t="shared" si="6"/>
        <v>0</v>
      </c>
      <c r="F31" s="31">
        <f t="shared" si="6"/>
        <v>109120</v>
      </c>
      <c r="G31" s="31">
        <f t="shared" si="6"/>
        <v>108597</v>
      </c>
      <c r="H31" s="31">
        <f t="shared" si="6"/>
        <v>115903</v>
      </c>
      <c r="I31" s="31">
        <f t="shared" si="6"/>
        <v>123509</v>
      </c>
      <c r="J31" s="31">
        <f t="shared" si="6"/>
        <v>119013</v>
      </c>
      <c r="K31" s="31">
        <f t="shared" si="6"/>
        <v>114506</v>
      </c>
      <c r="L31" s="31">
        <f t="shared" si="6"/>
        <v>0</v>
      </c>
      <c r="M31" s="31">
        <f t="shared" si="6"/>
        <v>0</v>
      </c>
      <c r="N31" s="31">
        <f t="shared" si="6"/>
        <v>0</v>
      </c>
      <c r="O31" s="31"/>
      <c r="P31" s="31">
        <f>SUM(P25:P30)+P24</f>
        <v>109120</v>
      </c>
      <c r="Q31" s="31">
        <f>SUM(Q25:Q30)+Q24</f>
        <v>119013</v>
      </c>
    </row>
    <row r="32" spans="1:17" s="3" customFormat="1" x14ac:dyDescent="0.3">
      <c r="A32" s="23" t="s">
        <v>55</v>
      </c>
      <c r="B32" s="23"/>
      <c r="C32" s="23"/>
      <c r="D32" s="23"/>
      <c r="E32" s="23"/>
      <c r="F32" s="23">
        <v>256144</v>
      </c>
      <c r="G32" s="23">
        <v>260894</v>
      </c>
      <c r="H32" s="23">
        <v>267141</v>
      </c>
      <c r="I32" s="23">
        <v>273202</v>
      </c>
      <c r="J32" s="23">
        <v>283379</v>
      </c>
      <c r="K32" s="23">
        <v>292844</v>
      </c>
      <c r="L32" s="23"/>
      <c r="M32" s="23"/>
      <c r="N32" s="23"/>
      <c r="O32" s="23"/>
      <c r="P32" s="23">
        <v>256144</v>
      </c>
      <c r="Q32" s="23">
        <v>283379</v>
      </c>
    </row>
    <row r="33" spans="1:17" s="9" customFormat="1" ht="15" thickBot="1" x14ac:dyDescent="0.35">
      <c r="A33" s="24" t="s">
        <v>56</v>
      </c>
      <c r="B33" s="25"/>
      <c r="C33" s="25">
        <f t="shared" ref="C33:N33" si="7">C32+C31</f>
        <v>0</v>
      </c>
      <c r="D33" s="25">
        <f t="shared" si="7"/>
        <v>0</v>
      </c>
      <c r="E33" s="25">
        <f t="shared" si="7"/>
        <v>0</v>
      </c>
      <c r="F33" s="25">
        <f t="shared" si="7"/>
        <v>365264</v>
      </c>
      <c r="G33" s="25">
        <f t="shared" si="7"/>
        <v>369491</v>
      </c>
      <c r="H33" s="25">
        <f t="shared" si="7"/>
        <v>383044</v>
      </c>
      <c r="I33" s="25">
        <f t="shared" si="7"/>
        <v>396711</v>
      </c>
      <c r="J33" s="25">
        <f t="shared" si="7"/>
        <v>402392</v>
      </c>
      <c r="K33" s="25">
        <f t="shared" si="7"/>
        <v>407350</v>
      </c>
      <c r="L33" s="25">
        <f t="shared" si="7"/>
        <v>0</v>
      </c>
      <c r="M33" s="25">
        <f t="shared" si="7"/>
        <v>0</v>
      </c>
      <c r="N33" s="25">
        <f t="shared" si="7"/>
        <v>0</v>
      </c>
      <c r="O33" s="25"/>
      <c r="P33" s="25">
        <f>P32+P31</f>
        <v>365264</v>
      </c>
      <c r="Q33" s="25">
        <f>Q32+Q31</f>
        <v>402392</v>
      </c>
    </row>
    <row r="34" spans="1:17" ht="15" thickTop="1" x14ac:dyDescent="0.3"/>
    <row r="36" spans="1:17" s="44" customFormat="1" ht="15" thickBot="1" x14ac:dyDescent="0.35">
      <c r="A36" s="42" t="s">
        <v>109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26" t="s">
        <v>110</v>
      </c>
      <c r="F37" s="23">
        <f>F32</f>
        <v>256144</v>
      </c>
      <c r="G37" s="23">
        <f t="shared" ref="G37:K37" si="8">G32</f>
        <v>260894</v>
      </c>
      <c r="H37" s="23">
        <f t="shared" si="8"/>
        <v>267141</v>
      </c>
      <c r="I37" s="23">
        <f t="shared" si="8"/>
        <v>273202</v>
      </c>
      <c r="J37" s="23">
        <f t="shared" si="8"/>
        <v>283379</v>
      </c>
      <c r="K37" s="23">
        <f t="shared" si="8"/>
        <v>292844</v>
      </c>
      <c r="P37" s="23">
        <f t="shared" ref="P37:Q37" si="9">P32</f>
        <v>256144</v>
      </c>
      <c r="Q37" s="23">
        <f t="shared" si="9"/>
        <v>283379</v>
      </c>
    </row>
    <row r="38" spans="1:17" x14ac:dyDescent="0.3">
      <c r="A38" s="26" t="s">
        <v>113</v>
      </c>
      <c r="F38" s="23">
        <f>F25</f>
        <v>14701</v>
      </c>
      <c r="G38" s="23">
        <f t="shared" ref="G38:K38" si="10">G25</f>
        <v>13697</v>
      </c>
      <c r="H38" s="23">
        <f t="shared" si="10"/>
        <v>13705</v>
      </c>
      <c r="I38" s="23">
        <f t="shared" si="10"/>
        <v>13781</v>
      </c>
      <c r="J38" s="23">
        <f t="shared" si="10"/>
        <v>13253</v>
      </c>
      <c r="K38" s="23">
        <f t="shared" si="10"/>
        <v>13228</v>
      </c>
      <c r="P38" s="23">
        <f t="shared" ref="P38:Q38" si="11">P25</f>
        <v>14701</v>
      </c>
      <c r="Q38" s="23">
        <f t="shared" si="11"/>
        <v>13253</v>
      </c>
    </row>
    <row r="39" spans="1:17" x14ac:dyDescent="0.3">
      <c r="A39" s="26" t="s">
        <v>112</v>
      </c>
      <c r="F39" s="23">
        <f>F19</f>
        <v>5128</v>
      </c>
      <c r="G39" s="23">
        <f t="shared" ref="G39:K39" si="12">G19</f>
        <v>4184</v>
      </c>
      <c r="H39" s="23">
        <f t="shared" si="12"/>
        <v>5313</v>
      </c>
      <c r="I39" s="23">
        <f t="shared" si="12"/>
        <v>5803</v>
      </c>
      <c r="J39" s="23">
        <f t="shared" si="12"/>
        <v>7493</v>
      </c>
      <c r="K39" s="23">
        <f t="shared" si="12"/>
        <v>6198</v>
      </c>
      <c r="P39" s="23">
        <f t="shared" ref="P39:Q39" si="13">P19</f>
        <v>5128</v>
      </c>
      <c r="Q39" s="23">
        <f t="shared" si="13"/>
        <v>7493</v>
      </c>
    </row>
    <row r="40" spans="1:17" x14ac:dyDescent="0.3">
      <c r="A40" s="26" t="s">
        <v>116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P40" s="26">
        <v>0</v>
      </c>
      <c r="Q40" s="26">
        <v>0</v>
      </c>
    </row>
    <row r="41" spans="1:17" x14ac:dyDescent="0.3">
      <c r="A41" s="26" t="s">
        <v>114</v>
      </c>
      <c r="F41" s="23">
        <f>F7</f>
        <v>113762</v>
      </c>
      <c r="G41" s="23">
        <f t="shared" ref="G41:K41" si="14">G7</f>
        <v>115102</v>
      </c>
      <c r="H41" s="23">
        <f t="shared" si="14"/>
        <v>118332</v>
      </c>
      <c r="I41" s="23">
        <f t="shared" si="14"/>
        <v>119935</v>
      </c>
      <c r="J41" s="23">
        <f t="shared" si="14"/>
        <v>110916</v>
      </c>
      <c r="K41" s="23">
        <f t="shared" si="14"/>
        <v>108090</v>
      </c>
      <c r="P41" s="23">
        <f t="shared" ref="P41:Q41" si="15">P7</f>
        <v>113762</v>
      </c>
      <c r="Q41" s="23">
        <f t="shared" si="15"/>
        <v>110916</v>
      </c>
    </row>
    <row r="42" spans="1:17" x14ac:dyDescent="0.3">
      <c r="A42" s="40" t="s">
        <v>111</v>
      </c>
      <c r="F42" s="23">
        <f>SUM(F37:F40)-F41</f>
        <v>162211</v>
      </c>
      <c r="G42" s="23">
        <f t="shared" ref="G42:K42" si="16">SUM(G37:G40)-G41</f>
        <v>163673</v>
      </c>
      <c r="H42" s="23">
        <f t="shared" si="16"/>
        <v>167827</v>
      </c>
      <c r="I42" s="23">
        <f t="shared" si="16"/>
        <v>172851</v>
      </c>
      <c r="J42" s="23">
        <f t="shared" si="16"/>
        <v>193209</v>
      </c>
      <c r="K42" s="23">
        <f t="shared" si="16"/>
        <v>204180</v>
      </c>
      <c r="P42" s="23">
        <f t="shared" ref="P42:Q42" si="17">SUM(P37:P40)-P41</f>
        <v>162211</v>
      </c>
      <c r="Q42" s="23">
        <f t="shared" si="17"/>
        <v>193209</v>
      </c>
    </row>
    <row r="44" spans="1:17" x14ac:dyDescent="0.3">
      <c r="A44" s="26" t="s">
        <v>117</v>
      </c>
      <c r="F44" s="41">
        <f>'Income Statement'!C23*(1-'Income Statement'!C37)</f>
        <v>17442.958909897538</v>
      </c>
      <c r="G44" s="41">
        <f>'Income Statement'!D23*(1-'Income Statement'!D37)</f>
        <v>16371.458188703062</v>
      </c>
      <c r="H44" s="41">
        <f>'Income Statement'!E23*(1-'Income Statement'!E37)</f>
        <v>14682.92059385203</v>
      </c>
      <c r="I44" s="41">
        <f>'Income Statement'!F23*(1-'Income Statement'!F37)</f>
        <v>14428.870356330553</v>
      </c>
      <c r="J44" s="41">
        <f>'Income Statement'!G23*(1-'Income Statement'!G37)</f>
        <v>14397.866794836584</v>
      </c>
      <c r="K44" s="41">
        <f>'Income Statement'!H23*(1-'Income Statement'!H37)</f>
        <v>18313.490572067753</v>
      </c>
      <c r="P44" s="41">
        <f>'Income Statement'!S23*(1-'Income Statement'!S37)</f>
        <v>62926.542507851053</v>
      </c>
      <c r="Q44" s="41">
        <f>'Income Statement'!T23*(1-'Income Statement'!T37)</f>
        <v>72569.057888166877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1CE6-A009-4390-81B7-7CD82A921528}">
  <dimension ref="A2:T39"/>
  <sheetViews>
    <sheetView zoomScale="115" zoomScaleNormal="115" workbookViewId="0">
      <pane xSplit="1" ySplit="2" topLeftCell="E12" activePane="bottomRight" state="frozen"/>
      <selection pane="topRight" activeCell="C1" sqref="C1"/>
      <selection pane="bottomLeft" activeCell="A3" sqref="A3"/>
      <selection pane="bottomRight" activeCell="T11" sqref="T11"/>
    </sheetView>
  </sheetViews>
  <sheetFormatPr defaultRowHeight="14.4" x14ac:dyDescent="0.3"/>
  <cols>
    <col min="1" max="1" width="45.44140625" style="26" customWidth="1"/>
    <col min="2" max="4" width="9.109375" style="26"/>
    <col min="5" max="11" width="12.6640625" style="26" customWidth="1"/>
    <col min="12" max="18" width="9.109375" style="26"/>
    <col min="19" max="20" width="13" style="26" customWidth="1"/>
  </cols>
  <sheetData>
    <row r="2" spans="1:20" s="14" customFormat="1" x14ac:dyDescent="0.3">
      <c r="A2" s="33" t="s">
        <v>60</v>
      </c>
      <c r="B2" s="33"/>
      <c r="C2" s="33" t="s">
        <v>14</v>
      </c>
      <c r="D2" s="33" t="s">
        <v>15</v>
      </c>
      <c r="E2" s="33" t="s">
        <v>10</v>
      </c>
      <c r="F2" s="33" t="s">
        <v>11</v>
      </c>
      <c r="G2" s="33" t="s">
        <v>12</v>
      </c>
      <c r="H2" s="33" t="s">
        <v>13</v>
      </c>
      <c r="I2" s="33" t="s">
        <v>8</v>
      </c>
      <c r="J2" s="33" t="s">
        <v>9</v>
      </c>
      <c r="K2" s="33" t="s">
        <v>87</v>
      </c>
      <c r="L2" s="33" t="s">
        <v>88</v>
      </c>
      <c r="M2" s="33" t="s">
        <v>89</v>
      </c>
      <c r="N2" s="33" t="s">
        <v>90</v>
      </c>
      <c r="O2" s="33" t="s">
        <v>115</v>
      </c>
      <c r="P2" s="33"/>
      <c r="Q2" s="33"/>
      <c r="R2" s="33"/>
      <c r="S2" s="33">
        <v>2022</v>
      </c>
      <c r="T2" s="33">
        <v>2023</v>
      </c>
    </row>
    <row r="3" spans="1:20" x14ac:dyDescent="0.3">
      <c r="A3" s="26" t="s">
        <v>61</v>
      </c>
      <c r="C3" s="23">
        <f>'Income Statement'!C27</f>
        <v>16436</v>
      </c>
      <c r="D3" s="23">
        <f>'Income Statement'!D27</f>
        <v>16002</v>
      </c>
      <c r="E3" s="23">
        <f>'Income Statement'!E27</f>
        <v>13910</v>
      </c>
      <c r="F3" s="23">
        <f>'Income Statement'!F27</f>
        <v>13624</v>
      </c>
      <c r="G3" s="23">
        <f>'Income Statement'!G27</f>
        <v>15051</v>
      </c>
      <c r="H3" s="23">
        <f>'Income Statement'!H27</f>
        <v>18368</v>
      </c>
      <c r="I3" s="23">
        <f>'Income Statement'!I27</f>
        <v>19689</v>
      </c>
      <c r="J3" s="23">
        <f>'Income Statement'!J27</f>
        <v>20687</v>
      </c>
      <c r="K3" s="23">
        <f>'Income Statement'!K27</f>
        <v>23662</v>
      </c>
      <c r="L3" s="23">
        <f>'Income Statement'!L27</f>
        <v>21334.658866666668</v>
      </c>
      <c r="M3" s="23">
        <f>'Income Statement'!M27</f>
        <v>23097.937608249998</v>
      </c>
      <c r="N3" s="23">
        <f>'Income Statement'!N27</f>
        <v>24562.380122633331</v>
      </c>
      <c r="O3" s="23">
        <f>'Income Statement'!O27</f>
        <v>0</v>
      </c>
      <c r="P3" s="23">
        <f>'Income Statement'!P27</f>
        <v>0</v>
      </c>
      <c r="Q3" s="23">
        <f>'Income Statement'!Q27</f>
        <v>0</v>
      </c>
      <c r="R3" s="23">
        <f>'Income Statement'!R27</f>
        <v>0</v>
      </c>
      <c r="S3" s="23">
        <f>'Income Statement'!S27</f>
        <v>59972</v>
      </c>
      <c r="T3" s="23">
        <f>'Income Statement'!T27</f>
        <v>73795</v>
      </c>
    </row>
    <row r="4" spans="1:20" s="3" customFormat="1" x14ac:dyDescent="0.3">
      <c r="A4" s="23" t="s">
        <v>30</v>
      </c>
      <c r="B4" s="23"/>
      <c r="C4" s="23">
        <v>16436</v>
      </c>
      <c r="D4" s="23"/>
      <c r="E4" s="23"/>
      <c r="F4" s="23">
        <v>13624</v>
      </c>
      <c r="G4" s="23">
        <v>15051</v>
      </c>
      <c r="H4" s="23">
        <f>33419-G4</f>
        <v>18368</v>
      </c>
      <c r="I4" s="23">
        <f>53108-G4-H4</f>
        <v>19689</v>
      </c>
      <c r="J4" s="23">
        <v>20687</v>
      </c>
      <c r="K4" s="23">
        <v>23662</v>
      </c>
      <c r="L4" s="23"/>
      <c r="M4" s="23"/>
      <c r="N4" s="23"/>
      <c r="O4" s="23"/>
      <c r="P4" s="23"/>
      <c r="Q4" s="23"/>
      <c r="R4" s="23"/>
      <c r="S4" s="23">
        <f t="shared" ref="S4:S17" si="0">SUM(C4:F4)</f>
        <v>30060</v>
      </c>
      <c r="T4" s="23">
        <f t="shared" ref="T4:T17" si="1">SUM(G4:J4)</f>
        <v>73795</v>
      </c>
    </row>
    <row r="5" spans="1:20" s="3" customFormat="1" x14ac:dyDescent="0.3">
      <c r="A5" s="23" t="s">
        <v>62</v>
      </c>
      <c r="B5" s="23"/>
      <c r="C5" s="23">
        <v>3591</v>
      </c>
      <c r="D5" s="23"/>
      <c r="E5" s="23"/>
      <c r="F5" s="23">
        <v>3602</v>
      </c>
      <c r="G5" s="23">
        <v>3060</v>
      </c>
      <c r="H5" s="23">
        <f>6339-G5</f>
        <v>3279</v>
      </c>
      <c r="I5" s="23">
        <f>10010-H5-G5</f>
        <v>3671</v>
      </c>
      <c r="J5" s="23">
        <v>3316</v>
      </c>
      <c r="K5" s="23">
        <v>3413</v>
      </c>
      <c r="L5" s="23"/>
      <c r="M5" s="23"/>
      <c r="N5" s="23"/>
      <c r="O5" s="23"/>
      <c r="P5" s="23"/>
      <c r="Q5" s="23"/>
      <c r="R5" s="23"/>
      <c r="S5" s="23">
        <f t="shared" si="0"/>
        <v>7193</v>
      </c>
      <c r="T5" s="23">
        <f t="shared" si="1"/>
        <v>13326</v>
      </c>
    </row>
    <row r="6" spans="1:20" s="3" customFormat="1" x14ac:dyDescent="0.3">
      <c r="A6" s="23" t="s">
        <v>91</v>
      </c>
      <c r="B6" s="23"/>
      <c r="C6" s="23">
        <v>191</v>
      </c>
      <c r="D6" s="23"/>
      <c r="E6" s="23"/>
      <c r="F6" s="23">
        <v>0</v>
      </c>
      <c r="G6" s="23">
        <v>126</v>
      </c>
      <c r="H6" s="23">
        <f>244-G6</f>
        <v>118</v>
      </c>
      <c r="I6" s="23">
        <f>373-G6-H6</f>
        <v>129</v>
      </c>
      <c r="J6" s="23">
        <v>0</v>
      </c>
      <c r="K6" s="23">
        <v>0</v>
      </c>
      <c r="L6" s="23"/>
      <c r="M6" s="23"/>
      <c r="N6" s="23"/>
      <c r="O6" s="23"/>
      <c r="P6" s="23"/>
      <c r="Q6" s="23"/>
      <c r="R6" s="23"/>
      <c r="S6" s="23">
        <f t="shared" si="0"/>
        <v>191</v>
      </c>
      <c r="T6" s="23">
        <f t="shared" si="1"/>
        <v>373</v>
      </c>
    </row>
    <row r="7" spans="1:20" s="3" customFormat="1" x14ac:dyDescent="0.3">
      <c r="A7" s="23" t="s">
        <v>63</v>
      </c>
      <c r="B7" s="23"/>
      <c r="C7" s="23">
        <v>4504</v>
      </c>
      <c r="D7" s="23"/>
      <c r="E7" s="23"/>
      <c r="F7" s="23">
        <v>5100</v>
      </c>
      <c r="G7" s="23">
        <v>5284</v>
      </c>
      <c r="H7" s="23">
        <f>11058-G7</f>
        <v>5774</v>
      </c>
      <c r="I7" s="23">
        <f>16801-G7-H7</f>
        <v>5743</v>
      </c>
      <c r="J7" s="23">
        <v>5659</v>
      </c>
      <c r="K7" s="23">
        <v>5264</v>
      </c>
      <c r="L7" s="23"/>
      <c r="M7" s="23"/>
      <c r="N7" s="23"/>
      <c r="O7" s="23"/>
      <c r="P7" s="23"/>
      <c r="Q7" s="23"/>
      <c r="R7" s="23"/>
      <c r="S7" s="23">
        <f t="shared" si="0"/>
        <v>9604</v>
      </c>
      <c r="T7" s="23">
        <f t="shared" si="1"/>
        <v>22460</v>
      </c>
    </row>
    <row r="8" spans="1:20" s="3" customFormat="1" x14ac:dyDescent="0.3">
      <c r="A8" s="23" t="s">
        <v>38</v>
      </c>
      <c r="B8" s="23"/>
      <c r="C8" s="23">
        <v>-2090</v>
      </c>
      <c r="D8" s="23"/>
      <c r="E8" s="23"/>
      <c r="F8" s="23">
        <v>-1924</v>
      </c>
      <c r="G8" s="23">
        <v>-1854</v>
      </c>
      <c r="H8" s="23">
        <f>-4269-G8</f>
        <v>-2415</v>
      </c>
      <c r="I8" s="23">
        <f>-6093-G8-H8</f>
        <v>-1824</v>
      </c>
      <c r="J8" s="23">
        <v>-1670</v>
      </c>
      <c r="K8" s="23">
        <v>419</v>
      </c>
      <c r="L8" s="23"/>
      <c r="M8" s="23"/>
      <c r="N8" s="23"/>
      <c r="O8" s="23"/>
      <c r="P8" s="23"/>
      <c r="Q8" s="23"/>
      <c r="R8" s="23"/>
      <c r="S8" s="23">
        <f t="shared" si="0"/>
        <v>-4014</v>
      </c>
      <c r="T8" s="23">
        <f t="shared" si="1"/>
        <v>-7763</v>
      </c>
    </row>
    <row r="9" spans="1:20" s="3" customFormat="1" x14ac:dyDescent="0.3">
      <c r="A9" s="23" t="s">
        <v>64</v>
      </c>
      <c r="B9" s="23"/>
      <c r="C9" s="23">
        <v>1437</v>
      </c>
      <c r="D9" s="23"/>
      <c r="E9" s="23"/>
      <c r="F9" s="23">
        <v>1663</v>
      </c>
      <c r="G9" s="23">
        <v>-84</v>
      </c>
      <c r="H9" s="23">
        <f>425-G9</f>
        <v>509</v>
      </c>
      <c r="I9" s="23">
        <f>1294-G9-H9</f>
        <v>869</v>
      </c>
      <c r="J9" s="23">
        <v>-471</v>
      </c>
      <c r="K9" s="23">
        <v>-1781</v>
      </c>
      <c r="L9" s="23"/>
      <c r="M9" s="23"/>
      <c r="N9" s="23"/>
      <c r="O9" s="23"/>
      <c r="P9" s="23"/>
      <c r="Q9" s="23"/>
      <c r="R9" s="23"/>
      <c r="S9" s="23">
        <f t="shared" si="0"/>
        <v>3100</v>
      </c>
      <c r="T9" s="23">
        <f t="shared" si="1"/>
        <v>823</v>
      </c>
    </row>
    <row r="10" spans="1:20" s="3" customFormat="1" x14ac:dyDescent="0.3">
      <c r="A10" s="23" t="s">
        <v>65</v>
      </c>
      <c r="B10" s="23"/>
      <c r="C10" s="23">
        <v>140</v>
      </c>
      <c r="D10" s="23"/>
      <c r="E10" s="23"/>
      <c r="F10" s="23">
        <v>1260</v>
      </c>
      <c r="G10" s="23">
        <v>553</v>
      </c>
      <c r="H10" s="23">
        <f>650-G10</f>
        <v>97</v>
      </c>
      <c r="I10" s="23">
        <f>912-G10-H10</f>
        <v>262</v>
      </c>
      <c r="J10" s="23">
        <v>1665</v>
      </c>
      <c r="K10" s="23">
        <v>334</v>
      </c>
      <c r="L10" s="23"/>
      <c r="M10" s="23"/>
      <c r="N10" s="23"/>
      <c r="O10" s="23"/>
      <c r="P10" s="23"/>
      <c r="Q10" s="23"/>
      <c r="R10" s="23"/>
      <c r="S10" s="23">
        <f t="shared" si="0"/>
        <v>1400</v>
      </c>
      <c r="T10" s="23">
        <f t="shared" si="1"/>
        <v>2577</v>
      </c>
    </row>
    <row r="11" spans="1:20" s="3" customFormat="1" x14ac:dyDescent="0.3">
      <c r="A11" s="23" t="s">
        <v>33</v>
      </c>
      <c r="B11" s="23"/>
      <c r="C11" s="23">
        <v>4364</v>
      </c>
      <c r="D11" s="23"/>
      <c r="E11" s="23"/>
      <c r="F11" s="23">
        <v>-4615</v>
      </c>
      <c r="G11" s="23">
        <v>4454</v>
      </c>
      <c r="H11" s="23">
        <f>1506-G11</f>
        <v>-2948</v>
      </c>
      <c r="I11" s="23">
        <f>-1315-G11-H11</f>
        <v>-2821</v>
      </c>
      <c r="J11" s="23">
        <v>-6518</v>
      </c>
      <c r="K11" s="23">
        <v>3167</v>
      </c>
      <c r="L11" s="23"/>
      <c r="M11" s="23"/>
      <c r="N11" s="23"/>
      <c r="O11" s="23"/>
      <c r="P11" s="23"/>
      <c r="Q11" s="23"/>
      <c r="R11" s="23"/>
      <c r="S11" s="23">
        <f t="shared" si="0"/>
        <v>-251</v>
      </c>
      <c r="T11" s="23">
        <f t="shared" si="1"/>
        <v>-7833</v>
      </c>
    </row>
    <row r="12" spans="1:20" s="3" customFormat="1" x14ac:dyDescent="0.3">
      <c r="A12" s="23" t="s">
        <v>29</v>
      </c>
      <c r="B12" s="23"/>
      <c r="C12" s="23">
        <v>3820</v>
      </c>
      <c r="D12" s="23"/>
      <c r="E12" s="23"/>
      <c r="F12" s="23">
        <v>1446</v>
      </c>
      <c r="G12" s="23">
        <v>4069</v>
      </c>
      <c r="H12" s="23">
        <f>8520-G12</f>
        <v>4451</v>
      </c>
      <c r="I12" s="23">
        <f>10392-G12-H12</f>
        <v>1872</v>
      </c>
      <c r="J12" s="23">
        <v>-9869</v>
      </c>
      <c r="K12" s="23">
        <v>3011</v>
      </c>
      <c r="L12" s="23"/>
      <c r="M12" s="23"/>
      <c r="N12" s="23"/>
      <c r="O12" s="23"/>
      <c r="P12" s="23"/>
      <c r="Q12" s="23"/>
      <c r="R12" s="23"/>
      <c r="S12" s="23">
        <f t="shared" si="0"/>
        <v>5266</v>
      </c>
      <c r="T12" s="23">
        <f t="shared" si="1"/>
        <v>523</v>
      </c>
    </row>
    <row r="13" spans="1:20" s="3" customFormat="1" x14ac:dyDescent="0.3">
      <c r="A13" s="23" t="s">
        <v>66</v>
      </c>
      <c r="B13" s="23"/>
      <c r="C13" s="23">
        <v>-776</v>
      </c>
      <c r="D13" s="23"/>
      <c r="E13" s="23"/>
      <c r="F13" s="23">
        <v>-778</v>
      </c>
      <c r="G13" s="23">
        <v>-746</v>
      </c>
      <c r="H13" s="23">
        <f>-1259-G13</f>
        <v>-513</v>
      </c>
      <c r="I13" s="23">
        <f>-2883-G13-H13</f>
        <v>-1624</v>
      </c>
      <c r="J13" s="23">
        <v>740</v>
      </c>
      <c r="K13" s="23">
        <v>-1000</v>
      </c>
      <c r="L13" s="23"/>
      <c r="M13" s="23"/>
      <c r="N13" s="23"/>
      <c r="O13" s="23"/>
      <c r="P13" s="23"/>
      <c r="Q13" s="23"/>
      <c r="R13" s="23"/>
      <c r="S13" s="23">
        <f t="shared" si="0"/>
        <v>-1554</v>
      </c>
      <c r="T13" s="23">
        <f t="shared" si="1"/>
        <v>-2143</v>
      </c>
    </row>
    <row r="14" spans="1:20" s="3" customFormat="1" x14ac:dyDescent="0.3">
      <c r="A14" s="23" t="s">
        <v>43</v>
      </c>
      <c r="B14" s="23"/>
      <c r="C14" s="23">
        <v>-2373</v>
      </c>
      <c r="D14" s="23"/>
      <c r="E14" s="23"/>
      <c r="F14" s="23">
        <v>-28</v>
      </c>
      <c r="G14" s="23">
        <v>-1105</v>
      </c>
      <c r="H14" s="23">
        <f>14-G14</f>
        <v>1119</v>
      </c>
      <c r="I14" s="23">
        <f>237-G14-H14</f>
        <v>223</v>
      </c>
      <c r="J14" s="23">
        <v>427</v>
      </c>
      <c r="K14" s="23">
        <v>-2124</v>
      </c>
      <c r="L14" s="23"/>
      <c r="M14" s="23"/>
      <c r="N14" s="23"/>
      <c r="O14" s="23"/>
      <c r="P14" s="23"/>
      <c r="Q14" s="23"/>
      <c r="R14" s="23"/>
      <c r="S14" s="23">
        <f t="shared" si="0"/>
        <v>-2401</v>
      </c>
      <c r="T14" s="23">
        <f t="shared" si="1"/>
        <v>664</v>
      </c>
    </row>
    <row r="15" spans="1:20" s="3" customFormat="1" x14ac:dyDescent="0.3">
      <c r="A15" s="23" t="s">
        <v>67</v>
      </c>
      <c r="B15" s="23"/>
      <c r="C15" s="23">
        <v>-3216</v>
      </c>
      <c r="D15" s="23"/>
      <c r="E15" s="23"/>
      <c r="F15" s="23">
        <v>3424</v>
      </c>
      <c r="G15" s="23">
        <v>-4496</v>
      </c>
      <c r="H15" s="23">
        <f>-4037-G15</f>
        <v>459</v>
      </c>
      <c r="I15" s="23">
        <f>-380-G15-H15</f>
        <v>3657</v>
      </c>
      <c r="J15" s="23">
        <v>4317</v>
      </c>
      <c r="K15" s="23">
        <v>-5054</v>
      </c>
      <c r="L15" s="23"/>
      <c r="M15" s="23"/>
      <c r="N15" s="23"/>
      <c r="O15" s="23"/>
      <c r="P15" s="23"/>
      <c r="Q15" s="23"/>
      <c r="R15" s="23"/>
      <c r="S15" s="23">
        <f t="shared" si="0"/>
        <v>208</v>
      </c>
      <c r="T15" s="23">
        <f t="shared" si="1"/>
        <v>3937</v>
      </c>
    </row>
    <row r="16" spans="1:20" s="3" customFormat="1" x14ac:dyDescent="0.3">
      <c r="A16" s="23" t="s">
        <v>46</v>
      </c>
      <c r="B16" s="23"/>
      <c r="C16" s="23">
        <v>-828</v>
      </c>
      <c r="D16" s="23"/>
      <c r="E16" s="23"/>
      <c r="F16" s="23">
        <v>577</v>
      </c>
      <c r="G16" s="23">
        <v>-602</v>
      </c>
      <c r="H16" s="23">
        <f>-418-G16</f>
        <v>184</v>
      </c>
      <c r="I16" s="23">
        <f>-315-G16-H16</f>
        <v>103</v>
      </c>
      <c r="J16" s="23">
        <v>797</v>
      </c>
      <c r="K16" s="23">
        <v>-322</v>
      </c>
      <c r="L16" s="23"/>
      <c r="M16" s="23"/>
      <c r="N16" s="23"/>
      <c r="O16" s="23"/>
      <c r="P16" s="23"/>
      <c r="Q16" s="23"/>
      <c r="R16" s="23"/>
      <c r="S16" s="23">
        <f t="shared" si="0"/>
        <v>-251</v>
      </c>
      <c r="T16" s="23">
        <f t="shared" si="1"/>
        <v>482</v>
      </c>
    </row>
    <row r="17" spans="1:20" s="3" customFormat="1" x14ac:dyDescent="0.3">
      <c r="A17" s="23" t="s">
        <v>47</v>
      </c>
      <c r="B17" s="23"/>
      <c r="C17" s="23">
        <v>-94</v>
      </c>
      <c r="D17" s="23"/>
      <c r="E17" s="23"/>
      <c r="F17" s="23">
        <v>263</v>
      </c>
      <c r="G17" s="23">
        <v>-201</v>
      </c>
      <c r="H17" s="23">
        <f>-17-G17</f>
        <v>184</v>
      </c>
      <c r="I17" s="23">
        <f>690-G17-H17</f>
        <v>707</v>
      </c>
      <c r="J17" s="23">
        <v>-165</v>
      </c>
      <c r="K17" s="23">
        <v>-141</v>
      </c>
      <c r="L17" s="23"/>
      <c r="M17" s="23"/>
      <c r="N17" s="23"/>
      <c r="O17" s="23"/>
      <c r="P17" s="23"/>
      <c r="Q17" s="23"/>
      <c r="R17" s="23"/>
      <c r="S17" s="23">
        <f t="shared" si="0"/>
        <v>169</v>
      </c>
      <c r="T17" s="23">
        <f t="shared" si="1"/>
        <v>525</v>
      </c>
    </row>
    <row r="18" spans="1:20" s="8" customFormat="1" x14ac:dyDescent="0.3">
      <c r="A18" s="31" t="s">
        <v>68</v>
      </c>
      <c r="B18" s="31"/>
      <c r="C18" s="31">
        <f t="shared" ref="C18:T18" si="2">SUM(C4:C17)</f>
        <v>25106</v>
      </c>
      <c r="D18" s="31">
        <f t="shared" si="2"/>
        <v>0</v>
      </c>
      <c r="E18" s="31">
        <f t="shared" si="2"/>
        <v>0</v>
      </c>
      <c r="F18" s="31">
        <f t="shared" si="2"/>
        <v>23614</v>
      </c>
      <c r="G18" s="31">
        <f t="shared" si="2"/>
        <v>23509</v>
      </c>
      <c r="H18" s="31">
        <f t="shared" si="2"/>
        <v>28666</v>
      </c>
      <c r="I18" s="31">
        <f t="shared" si="2"/>
        <v>30656</v>
      </c>
      <c r="J18" s="31">
        <f t="shared" si="2"/>
        <v>18915</v>
      </c>
      <c r="K18" s="31">
        <f t="shared" si="2"/>
        <v>28848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48720</v>
      </c>
      <c r="T18" s="31">
        <f t="shared" si="2"/>
        <v>101746</v>
      </c>
    </row>
    <row r="19" spans="1:20" s="3" customFormat="1" x14ac:dyDescent="0.3">
      <c r="A19" s="23" t="s">
        <v>69</v>
      </c>
      <c r="B19" s="23"/>
      <c r="C19" s="23">
        <v>-9786</v>
      </c>
      <c r="D19" s="23"/>
      <c r="E19" s="23"/>
      <c r="F19" s="23">
        <v>-7595</v>
      </c>
      <c r="G19" s="23">
        <v>-6289</v>
      </c>
      <c r="H19" s="23">
        <f>-13177-G19</f>
        <v>-6888</v>
      </c>
      <c r="I19" s="23">
        <f>-21232-G19-H19</f>
        <v>-8055</v>
      </c>
      <c r="J19" s="23">
        <v>-11019</v>
      </c>
      <c r="K19" s="23">
        <v>-12012</v>
      </c>
      <c r="L19" s="23"/>
      <c r="M19" s="23"/>
      <c r="N19" s="23"/>
      <c r="O19" s="23"/>
      <c r="P19" s="23"/>
      <c r="Q19" s="23"/>
      <c r="R19" s="23"/>
      <c r="S19" s="23">
        <f t="shared" ref="S19:S25" si="3">SUM(C19:F19)</f>
        <v>-17381</v>
      </c>
      <c r="T19" s="23">
        <f t="shared" ref="T19:T25" si="4">SUM(G19:J19)</f>
        <v>-32251</v>
      </c>
    </row>
    <row r="20" spans="1:20" s="3" customFormat="1" x14ac:dyDescent="0.3">
      <c r="A20" s="23" t="s">
        <v>70</v>
      </c>
      <c r="B20" s="23"/>
      <c r="C20" s="23">
        <v>-28462</v>
      </c>
      <c r="D20" s="23"/>
      <c r="E20" s="23"/>
      <c r="F20" s="23">
        <v>-11621</v>
      </c>
      <c r="G20" s="23">
        <v>-14227</v>
      </c>
      <c r="H20" s="23">
        <f>-35589-G20</f>
        <v>-21362</v>
      </c>
      <c r="I20" s="23">
        <f>-49422-G20-H20</f>
        <v>-13833</v>
      </c>
      <c r="J20" s="23">
        <v>-28436</v>
      </c>
      <c r="K20" s="23">
        <v>-20684</v>
      </c>
      <c r="L20" s="23"/>
      <c r="M20" s="23"/>
      <c r="N20" s="23"/>
      <c r="O20" s="23"/>
      <c r="P20" s="23"/>
      <c r="Q20" s="23"/>
      <c r="R20" s="23"/>
      <c r="S20" s="23">
        <f t="shared" si="3"/>
        <v>-40083</v>
      </c>
      <c r="T20" s="23">
        <f t="shared" si="4"/>
        <v>-77858</v>
      </c>
    </row>
    <row r="21" spans="1:20" s="3" customFormat="1" x14ac:dyDescent="0.3">
      <c r="A21" s="23" t="s">
        <v>84</v>
      </c>
      <c r="B21" s="23"/>
      <c r="C21" s="23">
        <v>29779</v>
      </c>
      <c r="D21" s="23"/>
      <c r="E21" s="23"/>
      <c r="F21" s="23">
        <v>13735</v>
      </c>
      <c r="G21" s="23">
        <v>18327</v>
      </c>
      <c r="H21" s="23">
        <f>37049-G21</f>
        <v>18722</v>
      </c>
      <c r="I21" s="23">
        <f>52642-G21-H21</f>
        <v>15593</v>
      </c>
      <c r="J21" s="23">
        <v>34030</v>
      </c>
      <c r="K21" s="23">
        <v>24985</v>
      </c>
      <c r="L21" s="23"/>
      <c r="M21" s="23"/>
      <c r="N21" s="23"/>
      <c r="O21" s="23"/>
      <c r="P21" s="23"/>
      <c r="Q21" s="23"/>
      <c r="R21" s="23"/>
      <c r="S21" s="23">
        <f t="shared" si="3"/>
        <v>43514</v>
      </c>
      <c r="T21" s="23">
        <f t="shared" si="4"/>
        <v>86672</v>
      </c>
    </row>
    <row r="22" spans="1:20" s="3" customFormat="1" x14ac:dyDescent="0.3">
      <c r="A22" s="23" t="s">
        <v>71</v>
      </c>
      <c r="B22" s="23"/>
      <c r="C22" s="23">
        <v>-776</v>
      </c>
      <c r="D22" s="23"/>
      <c r="E22" s="23"/>
      <c r="F22" s="23">
        <v>-903</v>
      </c>
      <c r="G22" s="23">
        <v>-626</v>
      </c>
      <c r="H22" s="23">
        <f>-1513-G22</f>
        <v>-887</v>
      </c>
      <c r="I22" s="23">
        <f>-2176-G22-H22</f>
        <v>-663</v>
      </c>
      <c r="J22" s="23">
        <v>-851</v>
      </c>
      <c r="K22" s="23">
        <v>-1206</v>
      </c>
      <c r="L22" s="23"/>
      <c r="M22" s="23"/>
      <c r="N22" s="23"/>
      <c r="O22" s="23"/>
      <c r="P22" s="23"/>
      <c r="Q22" s="23"/>
      <c r="R22" s="23"/>
      <c r="S22" s="23">
        <f t="shared" si="3"/>
        <v>-1679</v>
      </c>
      <c r="T22" s="23">
        <f t="shared" si="4"/>
        <v>-3027</v>
      </c>
    </row>
    <row r="23" spans="1:20" s="3" customFormat="1" x14ac:dyDescent="0.3">
      <c r="A23" s="23" t="s">
        <v>85</v>
      </c>
      <c r="B23" s="23"/>
      <c r="C23" s="23">
        <v>12</v>
      </c>
      <c r="D23" s="23"/>
      <c r="E23" s="23"/>
      <c r="F23" s="23">
        <v>19</v>
      </c>
      <c r="G23" s="23">
        <v>36</v>
      </c>
      <c r="H23" s="23">
        <f>181-G23</f>
        <v>145</v>
      </c>
      <c r="I23" s="23">
        <f>743-G23-H23</f>
        <v>562</v>
      </c>
      <c r="J23" s="23">
        <v>204</v>
      </c>
      <c r="K23" s="23">
        <v>313</v>
      </c>
      <c r="L23" s="23"/>
      <c r="M23" s="23"/>
      <c r="N23" s="23"/>
      <c r="O23" s="23"/>
      <c r="P23" s="23"/>
      <c r="Q23" s="23"/>
      <c r="R23" s="23"/>
      <c r="S23" s="23">
        <f t="shared" si="3"/>
        <v>31</v>
      </c>
      <c r="T23" s="23">
        <f t="shared" si="4"/>
        <v>947</v>
      </c>
    </row>
    <row r="24" spans="1:20" s="3" customFormat="1" x14ac:dyDescent="0.3">
      <c r="A24" s="23" t="s">
        <v>72</v>
      </c>
      <c r="B24" s="23"/>
      <c r="C24" s="23">
        <v>-173</v>
      </c>
      <c r="D24" s="23"/>
      <c r="E24" s="23"/>
      <c r="F24" s="23">
        <v>-84</v>
      </c>
      <c r="G24" s="23">
        <v>-42</v>
      </c>
      <c r="H24" s="23">
        <f>-340-G24</f>
        <v>-298</v>
      </c>
      <c r="I24" s="23">
        <f>-466-G24-H24</f>
        <v>-126</v>
      </c>
      <c r="J24" s="23">
        <v>-29</v>
      </c>
      <c r="K24" s="23">
        <v>-61</v>
      </c>
      <c r="L24" s="23"/>
      <c r="M24" s="23"/>
      <c r="N24" s="23"/>
      <c r="O24" s="23"/>
      <c r="P24" s="23"/>
      <c r="Q24" s="23"/>
      <c r="R24" s="23"/>
      <c r="S24" s="23">
        <f t="shared" si="3"/>
        <v>-257</v>
      </c>
      <c r="T24" s="23">
        <f t="shared" si="4"/>
        <v>-495</v>
      </c>
    </row>
    <row r="25" spans="1:20" s="3" customFormat="1" x14ac:dyDescent="0.3">
      <c r="A25" s="23" t="s">
        <v>73</v>
      </c>
      <c r="B25" s="23"/>
      <c r="C25" s="23">
        <v>355</v>
      </c>
      <c r="D25" s="23"/>
      <c r="E25" s="23"/>
      <c r="F25" s="23">
        <v>222</v>
      </c>
      <c r="G25" s="23">
        <v>-125</v>
      </c>
      <c r="H25" s="23">
        <f>-357-G25</f>
        <v>-232</v>
      </c>
      <c r="I25" s="23">
        <f>-985-G25-H25</f>
        <v>-628</v>
      </c>
      <c r="J25" s="23">
        <v>-66</v>
      </c>
      <c r="K25" s="23">
        <v>101</v>
      </c>
      <c r="L25" s="23"/>
      <c r="M25" s="23"/>
      <c r="N25" s="23"/>
      <c r="O25" s="23"/>
      <c r="P25" s="23"/>
      <c r="Q25" s="23"/>
      <c r="R25" s="23"/>
      <c r="S25" s="23">
        <f t="shared" si="3"/>
        <v>577</v>
      </c>
      <c r="T25" s="23">
        <f t="shared" si="4"/>
        <v>-1051</v>
      </c>
    </row>
    <row r="26" spans="1:20" s="8" customFormat="1" x14ac:dyDescent="0.3">
      <c r="A26" s="31" t="s">
        <v>74</v>
      </c>
      <c r="B26" s="31"/>
      <c r="C26" s="31">
        <f t="shared" ref="C26:T26" si="5">SUM(C19:C25)</f>
        <v>-9051</v>
      </c>
      <c r="D26" s="31">
        <f t="shared" si="5"/>
        <v>0</v>
      </c>
      <c r="E26" s="31">
        <f t="shared" si="5"/>
        <v>0</v>
      </c>
      <c r="F26" s="31">
        <f t="shared" si="5"/>
        <v>-6227</v>
      </c>
      <c r="G26" s="31">
        <f t="shared" si="5"/>
        <v>-2946</v>
      </c>
      <c r="H26" s="31">
        <f t="shared" si="5"/>
        <v>-10800</v>
      </c>
      <c r="I26" s="31">
        <f t="shared" si="5"/>
        <v>-7150</v>
      </c>
      <c r="J26" s="31">
        <f t="shared" si="5"/>
        <v>-6167</v>
      </c>
      <c r="K26" s="31">
        <f t="shared" si="5"/>
        <v>-8564</v>
      </c>
      <c r="L26" s="31">
        <f t="shared" si="5"/>
        <v>0</v>
      </c>
      <c r="M26" s="31">
        <f t="shared" si="5"/>
        <v>0</v>
      </c>
      <c r="N26" s="31">
        <f t="shared" si="5"/>
        <v>0</v>
      </c>
      <c r="O26" s="31">
        <f t="shared" si="5"/>
        <v>0</v>
      </c>
      <c r="P26" s="31">
        <f t="shared" si="5"/>
        <v>0</v>
      </c>
      <c r="Q26" s="31">
        <f t="shared" si="5"/>
        <v>0</v>
      </c>
      <c r="R26" s="31">
        <f t="shared" si="5"/>
        <v>0</v>
      </c>
      <c r="S26" s="31">
        <f t="shared" si="5"/>
        <v>-15278</v>
      </c>
      <c r="T26" s="31">
        <f t="shared" si="5"/>
        <v>-27063</v>
      </c>
    </row>
    <row r="27" spans="1:20" s="3" customFormat="1" x14ac:dyDescent="0.3">
      <c r="A27" s="23" t="s">
        <v>75</v>
      </c>
      <c r="B27" s="23"/>
      <c r="C27" s="23">
        <v>-2916</v>
      </c>
      <c r="D27" s="23"/>
      <c r="E27" s="23"/>
      <c r="F27" s="23">
        <v>-2079</v>
      </c>
      <c r="G27" s="23">
        <v>-1989</v>
      </c>
      <c r="H27" s="23">
        <f>-4725-G27</f>
        <v>-2736</v>
      </c>
      <c r="I27" s="23">
        <f>-7157-G27-H27</f>
        <v>-2432</v>
      </c>
      <c r="J27" s="23">
        <v>-2680</v>
      </c>
      <c r="K27" s="23">
        <v>-2929</v>
      </c>
      <c r="L27" s="23"/>
      <c r="M27" s="23"/>
      <c r="N27" s="23"/>
      <c r="O27" s="23"/>
      <c r="P27" s="23"/>
      <c r="Q27" s="23"/>
      <c r="R27" s="23"/>
      <c r="S27" s="23">
        <f>SUM(C27:F27)</f>
        <v>-4995</v>
      </c>
      <c r="T27" s="23">
        <f>SUM(G27:J27)</f>
        <v>-9837</v>
      </c>
    </row>
    <row r="28" spans="1:20" s="3" customFormat="1" x14ac:dyDescent="0.3">
      <c r="A28" s="23" t="s">
        <v>76</v>
      </c>
      <c r="B28" s="23"/>
      <c r="C28" s="23">
        <v>-13300</v>
      </c>
      <c r="D28" s="23"/>
      <c r="E28" s="23"/>
      <c r="F28" s="23">
        <v>-15407</v>
      </c>
      <c r="G28" s="23">
        <v>-14557</v>
      </c>
      <c r="H28" s="23">
        <f>-29526-G28</f>
        <v>-14969</v>
      </c>
      <c r="I28" s="23">
        <f>-45313-G28-H28</f>
        <v>-15787</v>
      </c>
      <c r="J28" s="23">
        <v>-16191</v>
      </c>
      <c r="K28" s="23">
        <v>-15696</v>
      </c>
      <c r="L28" s="23"/>
      <c r="M28" s="23"/>
      <c r="N28" s="23"/>
      <c r="O28" s="23"/>
      <c r="P28" s="23"/>
      <c r="Q28" s="23"/>
      <c r="R28" s="23"/>
      <c r="S28" s="23">
        <f>SUM(C28:F28)</f>
        <v>-28707</v>
      </c>
      <c r="T28" s="23">
        <f>SUM(G28:J28)</f>
        <v>-61504</v>
      </c>
    </row>
    <row r="29" spans="1:20" s="3" customFormat="1" x14ac:dyDescent="0.3">
      <c r="A29" s="23" t="s">
        <v>77</v>
      </c>
      <c r="B29" s="23"/>
      <c r="C29" s="23">
        <v>16422</v>
      </c>
      <c r="D29" s="23"/>
      <c r="E29" s="23"/>
      <c r="F29" s="23">
        <v>8550</v>
      </c>
      <c r="G29" s="23">
        <v>6927</v>
      </c>
      <c r="H29" s="23">
        <f>8050-G29</f>
        <v>1123</v>
      </c>
      <c r="I29" s="23">
        <f>9298-G29-H29</f>
        <v>1248</v>
      </c>
      <c r="J29" s="23">
        <v>1492</v>
      </c>
      <c r="K29" s="23">
        <v>1982</v>
      </c>
      <c r="L29" s="23"/>
      <c r="M29" s="23"/>
      <c r="N29" s="23"/>
      <c r="O29" s="23"/>
      <c r="P29" s="23"/>
      <c r="Q29" s="23"/>
      <c r="R29" s="23"/>
      <c r="S29" s="23">
        <f>SUM(C29:F29)</f>
        <v>24972</v>
      </c>
      <c r="T29" s="23">
        <f>SUM(G29:J29)</f>
        <v>10790</v>
      </c>
    </row>
    <row r="30" spans="1:20" s="3" customFormat="1" x14ac:dyDescent="0.3">
      <c r="A30" s="23" t="s">
        <v>86</v>
      </c>
      <c r="B30" s="23"/>
      <c r="C30" s="23">
        <v>-16420</v>
      </c>
      <c r="D30" s="23"/>
      <c r="E30" s="23"/>
      <c r="F30" s="23">
        <v>-8718</v>
      </c>
      <c r="G30" s="23">
        <v>-6952</v>
      </c>
      <c r="H30" s="23">
        <f>-8207-G30</f>
        <v>-1255</v>
      </c>
      <c r="I30" s="23">
        <f>-9621-G30-H30</f>
        <v>-1414</v>
      </c>
      <c r="J30" s="23">
        <v>-1929</v>
      </c>
      <c r="K30" s="23">
        <v>-3079</v>
      </c>
      <c r="L30" s="23"/>
      <c r="M30" s="23"/>
      <c r="N30" s="23"/>
      <c r="O30" s="23"/>
      <c r="P30" s="23"/>
      <c r="Q30" s="23"/>
      <c r="R30" s="23"/>
      <c r="S30" s="23">
        <f>SUM(C30:F30)</f>
        <v>-25138</v>
      </c>
      <c r="T30" s="23">
        <f>SUM(G30:J30)</f>
        <v>-11550</v>
      </c>
    </row>
    <row r="31" spans="1:20" s="3" customFormat="1" x14ac:dyDescent="0.3">
      <c r="A31" s="23" t="s">
        <v>78</v>
      </c>
      <c r="B31" s="23"/>
      <c r="C31" s="23">
        <v>0</v>
      </c>
      <c r="D31" s="23"/>
      <c r="E31" s="23"/>
      <c r="F31" s="23">
        <v>25</v>
      </c>
      <c r="G31" s="23">
        <v>3</v>
      </c>
      <c r="H31" s="23">
        <f>5-G31</f>
        <v>2</v>
      </c>
      <c r="I31" s="23">
        <f>8-G31-H31</f>
        <v>3</v>
      </c>
      <c r="J31" s="23">
        <v>0</v>
      </c>
      <c r="K31" s="23">
        <v>8</v>
      </c>
      <c r="L31" s="23"/>
      <c r="M31" s="23"/>
      <c r="N31" s="23"/>
      <c r="O31" s="23"/>
      <c r="P31" s="23"/>
      <c r="Q31" s="23"/>
      <c r="R31" s="23"/>
      <c r="S31" s="23">
        <f>SUM(C31:F31)</f>
        <v>25</v>
      </c>
      <c r="T31" s="23">
        <f>SUM(G31:J31)</f>
        <v>8</v>
      </c>
    </row>
    <row r="32" spans="1:20" s="8" customFormat="1" x14ac:dyDescent="0.3">
      <c r="A32" s="31" t="s">
        <v>79</v>
      </c>
      <c r="B32" s="31"/>
      <c r="C32" s="31">
        <f t="shared" ref="C32:T32" si="6">SUM(C27:C31)</f>
        <v>-16214</v>
      </c>
      <c r="D32" s="31">
        <f t="shared" si="6"/>
        <v>0</v>
      </c>
      <c r="E32" s="31">
        <f t="shared" si="6"/>
        <v>0</v>
      </c>
      <c r="F32" s="31">
        <f t="shared" si="6"/>
        <v>-17629</v>
      </c>
      <c r="G32" s="31">
        <f t="shared" si="6"/>
        <v>-16568</v>
      </c>
      <c r="H32" s="31">
        <f t="shared" si="6"/>
        <v>-17835</v>
      </c>
      <c r="I32" s="31">
        <f t="shared" si="6"/>
        <v>-18382</v>
      </c>
      <c r="J32" s="31">
        <f t="shared" si="6"/>
        <v>-19308</v>
      </c>
      <c r="K32" s="31">
        <f t="shared" si="6"/>
        <v>-19714</v>
      </c>
      <c r="L32" s="31">
        <f t="shared" si="6"/>
        <v>0</v>
      </c>
      <c r="M32" s="31">
        <f t="shared" si="6"/>
        <v>0</v>
      </c>
      <c r="N32" s="31">
        <f t="shared" si="6"/>
        <v>0</v>
      </c>
      <c r="O32" s="31">
        <f t="shared" si="6"/>
        <v>0</v>
      </c>
      <c r="P32" s="31">
        <f t="shared" si="6"/>
        <v>0</v>
      </c>
      <c r="Q32" s="31">
        <f t="shared" si="6"/>
        <v>0</v>
      </c>
      <c r="R32" s="31">
        <f t="shared" si="6"/>
        <v>0</v>
      </c>
      <c r="S32" s="31">
        <f t="shared" si="6"/>
        <v>-33843</v>
      </c>
      <c r="T32" s="31">
        <f t="shared" si="6"/>
        <v>-72093</v>
      </c>
    </row>
    <row r="33" spans="1:20" s="3" customFormat="1" x14ac:dyDescent="0.3">
      <c r="A33" s="23" t="s">
        <v>80</v>
      </c>
      <c r="B33" s="23"/>
      <c r="C33" s="23">
        <v>100</v>
      </c>
      <c r="D33" s="23"/>
      <c r="E33" s="23"/>
      <c r="F33" s="23">
        <v>137</v>
      </c>
      <c r="G33" s="23">
        <v>50</v>
      </c>
      <c r="H33" s="23">
        <v>24</v>
      </c>
      <c r="I33" s="23">
        <v>-327</v>
      </c>
      <c r="J33" s="23">
        <v>-94</v>
      </c>
      <c r="K33" s="23">
        <v>-125</v>
      </c>
      <c r="L33" s="23"/>
      <c r="M33" s="23"/>
      <c r="N33" s="23"/>
      <c r="O33" s="23"/>
      <c r="P33" s="23"/>
      <c r="Q33" s="23"/>
      <c r="R33" s="23"/>
      <c r="S33" s="23"/>
      <c r="T33" s="23"/>
    </row>
    <row r="34" spans="1:20" s="3" customFormat="1" x14ac:dyDescent="0.3">
      <c r="A34" s="23" t="s">
        <v>81</v>
      </c>
      <c r="B34" s="23"/>
      <c r="C34" s="23">
        <v>-59</v>
      </c>
      <c r="D34" s="23"/>
      <c r="E34" s="23"/>
      <c r="F34" s="23">
        <v>-105</v>
      </c>
      <c r="G34" s="23">
        <v>4045</v>
      </c>
      <c r="H34" s="23">
        <v>4050</v>
      </c>
      <c r="I34" s="23">
        <v>8823</v>
      </c>
      <c r="J34" s="23">
        <v>-6654</v>
      </c>
      <c r="K34" s="23">
        <v>445</v>
      </c>
      <c r="L34" s="23"/>
      <c r="M34" s="23"/>
      <c r="N34" s="23"/>
      <c r="O34" s="23"/>
      <c r="P34" s="23"/>
      <c r="Q34" s="23"/>
      <c r="R34" s="23"/>
      <c r="S34" s="23"/>
      <c r="T34" s="23"/>
    </row>
    <row r="35" spans="1:20" s="3" customFormat="1" x14ac:dyDescent="0.3">
      <c r="A35" s="23" t="s">
        <v>82</v>
      </c>
      <c r="B35" s="23"/>
      <c r="C35" s="23">
        <v>20945</v>
      </c>
      <c r="D35" s="23"/>
      <c r="E35" s="23"/>
      <c r="F35" s="23">
        <v>21984</v>
      </c>
      <c r="G35" s="23">
        <v>21879</v>
      </c>
      <c r="H35" s="23">
        <v>21879</v>
      </c>
      <c r="I35" s="23">
        <v>21879</v>
      </c>
      <c r="J35" s="23">
        <v>30702</v>
      </c>
      <c r="K35" s="23">
        <v>24048</v>
      </c>
      <c r="L35" s="23"/>
      <c r="M35" s="23"/>
      <c r="N35" s="23"/>
      <c r="O35" s="23"/>
      <c r="P35" s="23"/>
      <c r="Q35" s="23"/>
      <c r="R35" s="23"/>
      <c r="S35" s="23"/>
      <c r="T35" s="23"/>
    </row>
    <row r="36" spans="1:20" s="16" customFormat="1" ht="15" thickBot="1" x14ac:dyDescent="0.35">
      <c r="A36" s="34" t="s">
        <v>83</v>
      </c>
      <c r="B36" s="34"/>
      <c r="C36" s="34">
        <f t="shared" ref="C36:N36" si="7">SUM(C34:C35)</f>
        <v>20886</v>
      </c>
      <c r="D36" s="34">
        <f t="shared" si="7"/>
        <v>0</v>
      </c>
      <c r="E36" s="34">
        <f t="shared" si="7"/>
        <v>0</v>
      </c>
      <c r="F36" s="34">
        <f t="shared" si="7"/>
        <v>21879</v>
      </c>
      <c r="G36" s="34">
        <f t="shared" si="7"/>
        <v>25924</v>
      </c>
      <c r="H36" s="34">
        <f t="shared" si="7"/>
        <v>25929</v>
      </c>
      <c r="I36" s="34">
        <f t="shared" si="7"/>
        <v>30702</v>
      </c>
      <c r="J36" s="34">
        <f t="shared" si="7"/>
        <v>24048</v>
      </c>
      <c r="K36" s="34">
        <f t="shared" si="7"/>
        <v>24493</v>
      </c>
      <c r="L36" s="34">
        <f t="shared" si="7"/>
        <v>0</v>
      </c>
      <c r="M36" s="34">
        <f t="shared" si="7"/>
        <v>0</v>
      </c>
      <c r="N36" s="34">
        <f t="shared" si="7"/>
        <v>0</v>
      </c>
      <c r="O36" s="34"/>
      <c r="P36" s="34"/>
      <c r="Q36" s="34"/>
      <c r="R36" s="34"/>
      <c r="S36" s="34"/>
      <c r="T36" s="34"/>
    </row>
    <row r="37" spans="1:20" ht="15" thickTop="1" x14ac:dyDescent="0.3"/>
    <row r="38" spans="1:20" s="17" customFormat="1" x14ac:dyDescent="0.3">
      <c r="A38" s="35" t="s">
        <v>106</v>
      </c>
      <c r="B38" s="36"/>
      <c r="C38" s="36"/>
      <c r="D38" s="36"/>
      <c r="E38" s="36"/>
      <c r="F38" s="35">
        <f t="shared" ref="F38:K38" si="8">F32+F26+F18</f>
        <v>-242</v>
      </c>
      <c r="G38" s="35">
        <f t="shared" si="8"/>
        <v>3995</v>
      </c>
      <c r="H38" s="35">
        <f t="shared" si="8"/>
        <v>31</v>
      </c>
      <c r="I38" s="35">
        <f t="shared" si="8"/>
        <v>5124</v>
      </c>
      <c r="J38" s="35">
        <f t="shared" si="8"/>
        <v>-6560</v>
      </c>
      <c r="K38" s="35">
        <f t="shared" si="8"/>
        <v>570</v>
      </c>
      <c r="L38" s="36"/>
      <c r="M38" s="36"/>
      <c r="N38" s="36"/>
      <c r="O38" s="36"/>
      <c r="P38" s="36"/>
      <c r="Q38" s="36"/>
      <c r="R38" s="36"/>
      <c r="S38" s="36"/>
      <c r="T38" s="35">
        <f>T32+T26+T18</f>
        <v>2590</v>
      </c>
    </row>
    <row r="39" spans="1:20" s="18" customFormat="1" x14ac:dyDescent="0.3">
      <c r="A39" s="37" t="s">
        <v>107</v>
      </c>
      <c r="B39" s="38"/>
      <c r="C39" s="38"/>
      <c r="D39" s="38"/>
      <c r="E39" s="38"/>
      <c r="F39" s="37">
        <f t="shared" ref="F39:K39" si="9">F18+F19</f>
        <v>16019</v>
      </c>
      <c r="G39" s="37">
        <f t="shared" si="9"/>
        <v>17220</v>
      </c>
      <c r="H39" s="37">
        <f t="shared" si="9"/>
        <v>21778</v>
      </c>
      <c r="I39" s="37">
        <f t="shared" si="9"/>
        <v>22601</v>
      </c>
      <c r="J39" s="37">
        <f t="shared" si="9"/>
        <v>7896</v>
      </c>
      <c r="K39" s="37">
        <f t="shared" si="9"/>
        <v>16836</v>
      </c>
      <c r="L39" s="38"/>
      <c r="M39" s="38"/>
      <c r="N39" s="38"/>
      <c r="O39" s="38"/>
      <c r="P39" s="38"/>
      <c r="Q39" s="38"/>
      <c r="R39" s="38"/>
      <c r="S39" s="38"/>
      <c r="T39" s="37">
        <f>T18+T19</f>
        <v>69495</v>
      </c>
    </row>
  </sheetData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4</vt:i4>
      </vt:variant>
    </vt:vector>
  </HeadingPairs>
  <TitlesOfParts>
    <vt:vector size="4" baseType="lpstr">
      <vt:lpstr>Main</vt:lpstr>
      <vt:lpstr>Income Statement</vt:lpstr>
      <vt:lpstr>Balance Sheet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cp:lastPrinted>2024-04-26T02:22:27Z</cp:lastPrinted>
  <dcterms:created xsi:type="dcterms:W3CDTF">2024-04-17T23:07:06Z</dcterms:created>
  <dcterms:modified xsi:type="dcterms:W3CDTF">2024-05-28T21:36:57Z</dcterms:modified>
</cp:coreProperties>
</file>