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37" documentId="8_{BF9BAB22-8595-4B47-BC8D-95077F129CFD}" xr6:coauthVersionLast="47" xr6:coauthVersionMax="47" xr10:uidLastSave="{9A6B6BC1-4A0B-46F7-B81C-A6B13DA710BE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V28" i="1"/>
  <c r="V27" i="1"/>
  <c r="U29" i="1"/>
  <c r="U28" i="1"/>
  <c r="U27" i="1"/>
  <c r="T29" i="1"/>
  <c r="T28" i="1"/>
  <c r="T27" i="1"/>
  <c r="V41" i="1"/>
  <c r="V40" i="1"/>
  <c r="V39" i="1"/>
  <c r="U41" i="1"/>
  <c r="U40" i="1"/>
  <c r="U39" i="1" s="1"/>
  <c r="T41" i="1"/>
  <c r="T40" i="1"/>
  <c r="T39" i="1"/>
  <c r="S41" i="1"/>
  <c r="S40" i="1"/>
  <c r="S39" i="1"/>
  <c r="S6" i="1"/>
  <c r="S29" i="1"/>
  <c r="S28" i="1"/>
  <c r="S27" i="1"/>
  <c r="S115" i="1"/>
  <c r="S114" i="1"/>
  <c r="S111" i="1"/>
  <c r="V104" i="1"/>
  <c r="U104" i="1"/>
  <c r="T104" i="1"/>
  <c r="S104" i="1"/>
  <c r="V91" i="1"/>
  <c r="U91" i="1"/>
  <c r="T91" i="1"/>
  <c r="S91" i="1"/>
  <c r="V87" i="1"/>
  <c r="U87" i="1"/>
  <c r="T87" i="1"/>
  <c r="AC85" i="1"/>
  <c r="V66" i="1"/>
  <c r="U66" i="1"/>
  <c r="T66" i="1"/>
  <c r="S66" i="1"/>
  <c r="V62" i="1"/>
  <c r="U62" i="1"/>
  <c r="T62" i="1"/>
  <c r="S62" i="1"/>
  <c r="R62" i="1"/>
  <c r="AC61" i="1"/>
  <c r="Q62" i="1"/>
  <c r="P62" i="1"/>
  <c r="O62" i="1"/>
  <c r="N62" i="1"/>
  <c r="AB61" i="1"/>
  <c r="V53" i="1"/>
  <c r="U53" i="1"/>
  <c r="T53" i="1"/>
  <c r="S51" i="1"/>
  <c r="S53" i="1" s="1"/>
  <c r="T15" i="1"/>
  <c r="L6" i="2"/>
  <c r="L5" i="2"/>
  <c r="AH25" i="1"/>
  <c r="AG25" i="1"/>
  <c r="AF25" i="1"/>
  <c r="AE25" i="1"/>
  <c r="AD25" i="1"/>
  <c r="T22" i="1"/>
  <c r="T18" i="1"/>
  <c r="T17" i="1"/>
  <c r="T16" i="1"/>
  <c r="S10" i="1"/>
  <c r="V9" i="1"/>
  <c r="V12" i="1" s="1"/>
  <c r="U9" i="1"/>
  <c r="U12" i="1" s="1"/>
  <c r="V8" i="1"/>
  <c r="V10" i="1" s="1"/>
  <c r="V11" i="1" s="1"/>
  <c r="U8" i="1"/>
  <c r="T9" i="1"/>
  <c r="T12" i="1" s="1"/>
  <c r="AD12" i="1" s="1"/>
  <c r="T8" i="1"/>
  <c r="Q28" i="1"/>
  <c r="P28" i="1"/>
  <c r="O28" i="1"/>
  <c r="N28" i="1"/>
  <c r="M28" i="1"/>
  <c r="L28" i="1"/>
  <c r="K28" i="1"/>
  <c r="J28" i="1"/>
  <c r="I28" i="1"/>
  <c r="H28" i="1"/>
  <c r="G28" i="1"/>
  <c r="Q27" i="1"/>
  <c r="P27" i="1"/>
  <c r="O27" i="1"/>
  <c r="N27" i="1"/>
  <c r="M27" i="1"/>
  <c r="L27" i="1"/>
  <c r="K27" i="1"/>
  <c r="J27" i="1"/>
  <c r="I27" i="1"/>
  <c r="H27" i="1"/>
  <c r="G27" i="1"/>
  <c r="R28" i="1"/>
  <c r="R27" i="1"/>
  <c r="AC110" i="1"/>
  <c r="AC109" i="1"/>
  <c r="R74" i="1"/>
  <c r="AC74" i="1" s="1"/>
  <c r="Q108" i="1"/>
  <c r="Q100" i="1"/>
  <c r="Y6" i="1"/>
  <c r="Z6" i="1"/>
  <c r="X13" i="1"/>
  <c r="Y13" i="1"/>
  <c r="X10" i="1"/>
  <c r="X5" i="1" s="1"/>
  <c r="Z13" i="1"/>
  <c r="Y10" i="1"/>
  <c r="Y5" i="1" s="1"/>
  <c r="Z65" i="1"/>
  <c r="Z64" i="1"/>
  <c r="Z61" i="1"/>
  <c r="Z60" i="1"/>
  <c r="Z59" i="1"/>
  <c r="Z58" i="1"/>
  <c r="Z57" i="1"/>
  <c r="Z56" i="1"/>
  <c r="Z55" i="1"/>
  <c r="Z54" i="1"/>
  <c r="Z52" i="1"/>
  <c r="Z50" i="1"/>
  <c r="Z49" i="1"/>
  <c r="Z48" i="1"/>
  <c r="Z47" i="1"/>
  <c r="Z46" i="1"/>
  <c r="Z45" i="1"/>
  <c r="Z44" i="1"/>
  <c r="Z43" i="1"/>
  <c r="Z42" i="1"/>
  <c r="AA65" i="1"/>
  <c r="AA64" i="1"/>
  <c r="AA61" i="1"/>
  <c r="AA60" i="1"/>
  <c r="AA59" i="1"/>
  <c r="AA58" i="1"/>
  <c r="AA57" i="1"/>
  <c r="AA56" i="1"/>
  <c r="AA55" i="1"/>
  <c r="AA54" i="1"/>
  <c r="AA52" i="1"/>
  <c r="AA50" i="1"/>
  <c r="AA49" i="1"/>
  <c r="AA48" i="1"/>
  <c r="AA47" i="1"/>
  <c r="AA46" i="1"/>
  <c r="AA45" i="1"/>
  <c r="AA44" i="1"/>
  <c r="AA43" i="1"/>
  <c r="AA42" i="1"/>
  <c r="F62" i="1"/>
  <c r="F51" i="1"/>
  <c r="Z51" i="1" s="1"/>
  <c r="J51" i="1"/>
  <c r="AA51" i="1" s="1"/>
  <c r="AB65" i="1"/>
  <c r="AB64" i="1"/>
  <c r="AB60" i="1"/>
  <c r="AB59" i="1"/>
  <c r="AB58" i="1"/>
  <c r="AB57" i="1"/>
  <c r="AB56" i="1"/>
  <c r="AB55" i="1"/>
  <c r="AB54" i="1"/>
  <c r="AB52" i="1"/>
  <c r="AB50" i="1"/>
  <c r="AB49" i="1"/>
  <c r="AB48" i="1"/>
  <c r="AB47" i="1"/>
  <c r="AB46" i="1"/>
  <c r="AB45" i="1"/>
  <c r="AB44" i="1"/>
  <c r="AB43" i="1"/>
  <c r="AB42" i="1"/>
  <c r="AC65" i="1"/>
  <c r="AC64" i="1"/>
  <c r="AC60" i="1"/>
  <c r="AC59" i="1"/>
  <c r="AC58" i="1"/>
  <c r="AC57" i="1"/>
  <c r="AC56" i="1"/>
  <c r="AC55" i="1"/>
  <c r="AC54" i="1"/>
  <c r="AC52" i="1"/>
  <c r="AC50" i="1"/>
  <c r="AC49" i="1"/>
  <c r="AC48" i="1"/>
  <c r="AC47" i="1"/>
  <c r="AC46" i="1"/>
  <c r="AC45" i="1"/>
  <c r="AC44" i="1"/>
  <c r="AC43" i="1"/>
  <c r="AC42" i="1"/>
  <c r="P108" i="1"/>
  <c r="P103" i="1"/>
  <c r="Q103" i="1" s="1"/>
  <c r="P102" i="1"/>
  <c r="Q102" i="1" s="1"/>
  <c r="P101" i="1"/>
  <c r="Q101" i="1" s="1"/>
  <c r="P99" i="1"/>
  <c r="Q99" i="1" s="1"/>
  <c r="P98" i="1"/>
  <c r="Q98" i="1" s="1"/>
  <c r="P97" i="1"/>
  <c r="Q97" i="1" s="1"/>
  <c r="P96" i="1"/>
  <c r="Q96" i="1" s="1"/>
  <c r="P95" i="1"/>
  <c r="Q95" i="1" s="1"/>
  <c r="P93" i="1"/>
  <c r="Q93" i="1" s="1"/>
  <c r="P92" i="1"/>
  <c r="Q92" i="1" s="1"/>
  <c r="P90" i="1"/>
  <c r="Q90" i="1" s="1"/>
  <c r="P88" i="1"/>
  <c r="Q88" i="1" s="1"/>
  <c r="P86" i="1"/>
  <c r="Q86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7" i="1"/>
  <c r="Q77" i="1" s="1"/>
  <c r="P76" i="1"/>
  <c r="Q76" i="1" s="1"/>
  <c r="P75" i="1"/>
  <c r="Q75" i="1" s="1"/>
  <c r="P73" i="1"/>
  <c r="Q73" i="1" s="1"/>
  <c r="P72" i="1"/>
  <c r="Q72" i="1" s="1"/>
  <c r="P71" i="1"/>
  <c r="Q71" i="1" s="1"/>
  <c r="E69" i="1"/>
  <c r="D69" i="1"/>
  <c r="C69" i="1"/>
  <c r="E87" i="1"/>
  <c r="D87" i="1"/>
  <c r="C87" i="1"/>
  <c r="N91" i="1"/>
  <c r="M91" i="1"/>
  <c r="L91" i="1"/>
  <c r="K91" i="1"/>
  <c r="J91" i="1"/>
  <c r="I91" i="1"/>
  <c r="H91" i="1"/>
  <c r="G91" i="1"/>
  <c r="F91" i="1"/>
  <c r="E91" i="1"/>
  <c r="D91" i="1"/>
  <c r="C91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R108" i="1"/>
  <c r="R111" i="1"/>
  <c r="Q111" i="1"/>
  <c r="P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O108" i="1"/>
  <c r="O111" i="1"/>
  <c r="O104" i="1"/>
  <c r="O91" i="1"/>
  <c r="O51" i="1"/>
  <c r="O53" i="1" s="1"/>
  <c r="P51" i="1"/>
  <c r="P53" i="1" s="1"/>
  <c r="P66" i="1"/>
  <c r="O66" i="1"/>
  <c r="M66" i="1"/>
  <c r="L66" i="1"/>
  <c r="K66" i="1"/>
  <c r="J66" i="1"/>
  <c r="I66" i="1"/>
  <c r="H66" i="1"/>
  <c r="G66" i="1"/>
  <c r="F66" i="1"/>
  <c r="R66" i="1"/>
  <c r="Q66" i="1"/>
  <c r="Q51" i="1"/>
  <c r="Q53" i="1" s="1"/>
  <c r="Q41" i="1"/>
  <c r="P41" i="1"/>
  <c r="O41" i="1"/>
  <c r="N41" i="1"/>
  <c r="M41" i="1"/>
  <c r="L41" i="1"/>
  <c r="K41" i="1"/>
  <c r="J41" i="1"/>
  <c r="I41" i="1"/>
  <c r="H41" i="1"/>
  <c r="G41" i="1"/>
  <c r="F41" i="1"/>
  <c r="Q40" i="1"/>
  <c r="P40" i="1"/>
  <c r="O40" i="1"/>
  <c r="N40" i="1"/>
  <c r="M40" i="1"/>
  <c r="L40" i="1"/>
  <c r="K40" i="1"/>
  <c r="J40" i="1"/>
  <c r="I40" i="1"/>
  <c r="H40" i="1"/>
  <c r="G40" i="1"/>
  <c r="F40" i="1"/>
  <c r="R41" i="1"/>
  <c r="R40" i="1"/>
  <c r="N66" i="1"/>
  <c r="H53" i="1"/>
  <c r="G53" i="1"/>
  <c r="M62" i="1"/>
  <c r="L62" i="1"/>
  <c r="K62" i="1"/>
  <c r="J62" i="1"/>
  <c r="I62" i="1"/>
  <c r="H62" i="1"/>
  <c r="G62" i="1"/>
  <c r="M53" i="1"/>
  <c r="L53" i="1"/>
  <c r="K53" i="1"/>
  <c r="I53" i="1"/>
  <c r="N51" i="1"/>
  <c r="N53" i="1" s="1"/>
  <c r="R51" i="1"/>
  <c r="R53" i="1" s="1"/>
  <c r="AB25" i="1"/>
  <c r="AA25" i="1"/>
  <c r="AA22" i="1"/>
  <c r="AA20" i="1"/>
  <c r="AA18" i="1"/>
  <c r="AA17" i="1"/>
  <c r="AA16" i="1"/>
  <c r="AA15" i="1"/>
  <c r="AA12" i="1"/>
  <c r="AA11" i="1"/>
  <c r="AA9" i="1"/>
  <c r="AA8" i="1"/>
  <c r="AB22" i="1"/>
  <c r="AB20" i="1"/>
  <c r="AB18" i="1"/>
  <c r="AB17" i="1"/>
  <c r="AB16" i="1"/>
  <c r="AB15" i="1"/>
  <c r="AB12" i="1"/>
  <c r="AB11" i="1"/>
  <c r="AB9" i="1"/>
  <c r="AB8" i="1"/>
  <c r="Z10" i="1"/>
  <c r="Z5" i="1" s="1"/>
  <c r="AC25" i="1"/>
  <c r="AC22" i="1"/>
  <c r="AC20" i="1"/>
  <c r="AC18" i="1"/>
  <c r="AC17" i="1"/>
  <c r="AC16" i="1"/>
  <c r="AC15" i="1"/>
  <c r="AC12" i="1"/>
  <c r="AC11" i="1"/>
  <c r="AC9" i="1"/>
  <c r="AC8" i="1"/>
  <c r="O6" i="1"/>
  <c r="P6" i="1"/>
  <c r="M4" i="1"/>
  <c r="M6" i="1" s="1"/>
  <c r="Q4" i="1"/>
  <c r="R4" i="1" s="1"/>
  <c r="G6" i="1"/>
  <c r="H6" i="1"/>
  <c r="I6" i="1"/>
  <c r="K6" i="1"/>
  <c r="L6" i="1"/>
  <c r="F4" i="1"/>
  <c r="J6" i="1" s="1"/>
  <c r="G13" i="1"/>
  <c r="G10" i="1"/>
  <c r="G29" i="1" s="1"/>
  <c r="H13" i="1"/>
  <c r="H10" i="1"/>
  <c r="H29" i="1" s="1"/>
  <c r="I13" i="1"/>
  <c r="I10" i="1"/>
  <c r="I29" i="1" s="1"/>
  <c r="F13" i="1"/>
  <c r="F10" i="1"/>
  <c r="F29" i="1" s="1"/>
  <c r="J13" i="1"/>
  <c r="J10" i="1"/>
  <c r="J29" i="1" s="1"/>
  <c r="K13" i="1"/>
  <c r="K10" i="1"/>
  <c r="K29" i="1" s="1"/>
  <c r="O13" i="1"/>
  <c r="O10" i="1"/>
  <c r="O29" i="1" s="1"/>
  <c r="L13" i="1"/>
  <c r="L10" i="1"/>
  <c r="L29" i="1" s="1"/>
  <c r="P13" i="1"/>
  <c r="P10" i="1"/>
  <c r="P29" i="1" s="1"/>
  <c r="M13" i="1"/>
  <c r="M10" i="1"/>
  <c r="M29" i="1" s="1"/>
  <c r="Q13" i="1"/>
  <c r="Q10" i="1"/>
  <c r="Q29" i="1" s="1"/>
  <c r="N13" i="1"/>
  <c r="N10" i="1"/>
  <c r="N29" i="1" s="1"/>
  <c r="R13" i="1"/>
  <c r="R10" i="1"/>
  <c r="R29" i="1" s="1"/>
  <c r="D19" i="2"/>
  <c r="L4" i="2"/>
  <c r="AD8" i="1" l="1"/>
  <c r="AE8" i="1" s="1"/>
  <c r="T67" i="1"/>
  <c r="U10" i="1"/>
  <c r="U11" i="1" s="1"/>
  <c r="U13" i="1" s="1"/>
  <c r="U14" i="1" s="1"/>
  <c r="U34" i="1" s="1"/>
  <c r="U67" i="1"/>
  <c r="AK25" i="1"/>
  <c r="T10" i="1"/>
  <c r="T11" i="1" s="1"/>
  <c r="T13" i="1" s="1"/>
  <c r="T14" i="1" s="1"/>
  <c r="AJ25" i="1"/>
  <c r="AD9" i="1"/>
  <c r="AE9" i="1" s="1"/>
  <c r="AE10" i="1" s="1"/>
  <c r="AI25" i="1"/>
  <c r="V13" i="1"/>
  <c r="V14" i="1" s="1"/>
  <c r="V34" i="1" s="1"/>
  <c r="S67" i="1"/>
  <c r="AL25" i="1"/>
  <c r="V67" i="1"/>
  <c r="AN25" i="1"/>
  <c r="U15" i="1"/>
  <c r="V15" i="1" s="1"/>
  <c r="AF8" i="1"/>
  <c r="AG8" i="1" s="1"/>
  <c r="AH8" i="1" s="1"/>
  <c r="AH11" i="1" s="1"/>
  <c r="AE11" i="1"/>
  <c r="AM25" i="1"/>
  <c r="U22" i="1"/>
  <c r="V22" i="1" s="1"/>
  <c r="U18" i="1"/>
  <c r="U17" i="1"/>
  <c r="V17" i="1" s="1"/>
  <c r="U16" i="1"/>
  <c r="R90" i="1"/>
  <c r="AC90" i="1" s="1"/>
  <c r="R92" i="1"/>
  <c r="AC92" i="1" s="1"/>
  <c r="AC111" i="1"/>
  <c r="R96" i="1"/>
  <c r="AC96" i="1" s="1"/>
  <c r="R97" i="1"/>
  <c r="AC97" i="1" s="1"/>
  <c r="R81" i="1"/>
  <c r="AC81" i="1" s="1"/>
  <c r="R75" i="1"/>
  <c r="AC75" i="1" s="1"/>
  <c r="R98" i="1"/>
  <c r="AC98" i="1" s="1"/>
  <c r="R76" i="1"/>
  <c r="AC76" i="1" s="1"/>
  <c r="R101" i="1"/>
  <c r="AC101" i="1" s="1"/>
  <c r="R80" i="1"/>
  <c r="AC80" i="1" s="1"/>
  <c r="S31" i="1"/>
  <c r="S32" i="1"/>
  <c r="U31" i="1"/>
  <c r="V31" i="1"/>
  <c r="R82" i="1"/>
  <c r="AC82" i="1" s="1"/>
  <c r="R88" i="1"/>
  <c r="R99" i="1"/>
  <c r="AC99" i="1" s="1"/>
  <c r="R100" i="1"/>
  <c r="AC100" i="1" s="1"/>
  <c r="R77" i="1"/>
  <c r="AC77" i="1" s="1"/>
  <c r="R93" i="1"/>
  <c r="AC93" i="1" s="1"/>
  <c r="R103" i="1"/>
  <c r="AC103" i="1" s="1"/>
  <c r="R79" i="1"/>
  <c r="AC79" i="1" s="1"/>
  <c r="R95" i="1"/>
  <c r="AC95" i="1" s="1"/>
  <c r="V32" i="1"/>
  <c r="R102" i="1"/>
  <c r="AC102" i="1" s="1"/>
  <c r="R84" i="1"/>
  <c r="AC84" i="1" s="1"/>
  <c r="R86" i="1"/>
  <c r="AC86" i="1" s="1"/>
  <c r="H39" i="1"/>
  <c r="R72" i="1"/>
  <c r="AC72" i="1" s="1"/>
  <c r="R73" i="1"/>
  <c r="AC73" i="1" s="1"/>
  <c r="F53" i="1"/>
  <c r="Q91" i="1"/>
  <c r="R71" i="1"/>
  <c r="AC71" i="1" s="1"/>
  <c r="R83" i="1"/>
  <c r="AC83" i="1" s="1"/>
  <c r="Y31" i="1"/>
  <c r="Z40" i="1"/>
  <c r="Q104" i="1"/>
  <c r="AC41" i="1"/>
  <c r="AC66" i="1"/>
  <c r="K31" i="1"/>
  <c r="H32" i="1"/>
  <c r="Z14" i="1"/>
  <c r="Z19" i="1" s="1"/>
  <c r="Z21" i="1" s="1"/>
  <c r="Z23" i="1" s="1"/>
  <c r="Z24" i="1" s="1"/>
  <c r="Z31" i="1"/>
  <c r="J53" i="1"/>
  <c r="AB66" i="1"/>
  <c r="AA66" i="1"/>
  <c r="Z41" i="1"/>
  <c r="Z53" i="1"/>
  <c r="AA41" i="1"/>
  <c r="Z62" i="1"/>
  <c r="Z66" i="1"/>
  <c r="P91" i="1"/>
  <c r="AC62" i="1"/>
  <c r="X14" i="1"/>
  <c r="X34" i="1" s="1"/>
  <c r="Y14" i="1"/>
  <c r="AB62" i="1"/>
  <c r="AA40" i="1"/>
  <c r="AB40" i="1"/>
  <c r="AA62" i="1"/>
  <c r="AC40" i="1"/>
  <c r="AA53" i="1"/>
  <c r="AB51" i="1"/>
  <c r="AB53" i="1" s="1"/>
  <c r="R67" i="1"/>
  <c r="AB41" i="1"/>
  <c r="G67" i="1"/>
  <c r="P67" i="1"/>
  <c r="M39" i="1"/>
  <c r="I67" i="1"/>
  <c r="N39" i="1"/>
  <c r="AC51" i="1"/>
  <c r="AC53" i="1" s="1"/>
  <c r="F39" i="1"/>
  <c r="F67" i="1"/>
  <c r="P104" i="1"/>
  <c r="J39" i="1"/>
  <c r="L67" i="1"/>
  <c r="M67" i="1"/>
  <c r="I39" i="1"/>
  <c r="L31" i="1"/>
  <c r="N67" i="1"/>
  <c r="K39" i="1"/>
  <c r="G39" i="1"/>
  <c r="R39" i="1"/>
  <c r="L39" i="1"/>
  <c r="J67" i="1"/>
  <c r="K67" i="1"/>
  <c r="H67" i="1"/>
  <c r="O39" i="1"/>
  <c r="O67" i="1"/>
  <c r="P39" i="1"/>
  <c r="Q67" i="1"/>
  <c r="Q39" i="1"/>
  <c r="N32" i="1"/>
  <c r="I32" i="1"/>
  <c r="P32" i="1"/>
  <c r="R14" i="1"/>
  <c r="R19" i="1" s="1"/>
  <c r="R21" i="1" s="1"/>
  <c r="J31" i="1"/>
  <c r="G32" i="1"/>
  <c r="Q32" i="1"/>
  <c r="O32" i="1"/>
  <c r="M32" i="1"/>
  <c r="M31" i="1"/>
  <c r="J32" i="1"/>
  <c r="N31" i="1"/>
  <c r="K32" i="1"/>
  <c r="AC10" i="1"/>
  <c r="O31" i="1"/>
  <c r="L32" i="1"/>
  <c r="P31" i="1"/>
  <c r="Q31" i="1"/>
  <c r="AB10" i="1"/>
  <c r="AC13" i="1"/>
  <c r="AB13" i="1"/>
  <c r="AA10" i="1"/>
  <c r="AA6" i="1"/>
  <c r="AA13" i="1"/>
  <c r="AC4" i="1"/>
  <c r="N4" i="1"/>
  <c r="R6" i="1" s="1"/>
  <c r="R32" i="1"/>
  <c r="Q6" i="1"/>
  <c r="R31" i="1"/>
  <c r="G14" i="1"/>
  <c r="H14" i="1"/>
  <c r="I14" i="1"/>
  <c r="F14" i="1"/>
  <c r="F34" i="1" s="1"/>
  <c r="J14" i="1"/>
  <c r="K14" i="1"/>
  <c r="O14" i="1"/>
  <c r="L14" i="1"/>
  <c r="P14" i="1"/>
  <c r="M14" i="1"/>
  <c r="Q14" i="1"/>
  <c r="N14" i="1"/>
  <c r="L8" i="2"/>
  <c r="L7" i="2"/>
  <c r="AD10" i="1" l="1"/>
  <c r="AD31" i="1" s="1"/>
  <c r="T32" i="1"/>
  <c r="T34" i="1"/>
  <c r="T19" i="1"/>
  <c r="T20" i="1" s="1"/>
  <c r="T37" i="1" s="1"/>
  <c r="T31" i="1"/>
  <c r="U32" i="1"/>
  <c r="T35" i="1"/>
  <c r="R91" i="1"/>
  <c r="AC91" i="1" s="1"/>
  <c r="V18" i="1"/>
  <c r="AD18" i="1" s="1"/>
  <c r="AE18" i="1" s="1"/>
  <c r="AF11" i="1"/>
  <c r="AD22" i="1"/>
  <c r="AD17" i="1"/>
  <c r="V16" i="1"/>
  <c r="AD16" i="1" s="1"/>
  <c r="U19" i="1"/>
  <c r="AD15" i="1"/>
  <c r="T21" i="1"/>
  <c r="T23" i="1" s="1"/>
  <c r="AF9" i="1"/>
  <c r="AE12" i="1"/>
  <c r="AE13" i="1" s="1"/>
  <c r="AE14" i="1" s="1"/>
  <c r="AE34" i="1" s="1"/>
  <c r="AD11" i="1"/>
  <c r="S13" i="1"/>
  <c r="AE31" i="1"/>
  <c r="AE15" i="1"/>
  <c r="AG11" i="1"/>
  <c r="AI8" i="1"/>
  <c r="AI11" i="1" s="1"/>
  <c r="AC88" i="1"/>
  <c r="R104" i="1"/>
  <c r="AC104" i="1" s="1"/>
  <c r="AC39" i="1"/>
  <c r="AQ27" i="1" s="1"/>
  <c r="AA67" i="1"/>
  <c r="Z35" i="1"/>
  <c r="Z34" i="1"/>
  <c r="AC67" i="1"/>
  <c r="AA39" i="1"/>
  <c r="R37" i="1"/>
  <c r="AB39" i="1"/>
  <c r="Z39" i="1"/>
  <c r="AB67" i="1"/>
  <c r="Z37" i="1"/>
  <c r="Z36" i="1"/>
  <c r="R34" i="1"/>
  <c r="AA31" i="1"/>
  <c r="AA5" i="1"/>
  <c r="AC5" i="1"/>
  <c r="Z67" i="1"/>
  <c r="Y19" i="1"/>
  <c r="Y34" i="1"/>
  <c r="X19" i="1"/>
  <c r="AC31" i="1"/>
  <c r="R23" i="1"/>
  <c r="R36" i="1" s="1"/>
  <c r="R70" i="1"/>
  <c r="R87" i="1" s="1"/>
  <c r="R115" i="1" s="1"/>
  <c r="R35" i="1"/>
  <c r="AA14" i="1"/>
  <c r="AA34" i="1" s="1"/>
  <c r="AB14" i="1"/>
  <c r="AC14" i="1"/>
  <c r="AC34" i="1" s="1"/>
  <c r="AB31" i="1"/>
  <c r="L19" i="1"/>
  <c r="L34" i="1"/>
  <c r="P19" i="1"/>
  <c r="P34" i="1"/>
  <c r="Q19" i="1"/>
  <c r="Q34" i="1"/>
  <c r="H19" i="1"/>
  <c r="H34" i="1"/>
  <c r="I19" i="1"/>
  <c r="I34" i="1"/>
  <c r="M19" i="1"/>
  <c r="M34" i="1"/>
  <c r="G19" i="1"/>
  <c r="G34" i="1"/>
  <c r="O19" i="1"/>
  <c r="O34" i="1"/>
  <c r="K19" i="1"/>
  <c r="K34" i="1"/>
  <c r="J19" i="1"/>
  <c r="J34" i="1"/>
  <c r="N19" i="1"/>
  <c r="N34" i="1"/>
  <c r="AB4" i="1"/>
  <c r="AB5" i="1" s="1"/>
  <c r="N6" i="1"/>
  <c r="F19" i="1"/>
  <c r="V19" i="1" l="1"/>
  <c r="V35" i="1" s="1"/>
  <c r="AE22" i="1"/>
  <c r="AF18" i="1"/>
  <c r="AE17" i="1"/>
  <c r="AE16" i="1"/>
  <c r="AF16" i="1" s="1"/>
  <c r="V20" i="1"/>
  <c r="U20" i="1"/>
  <c r="U37" i="1" s="1"/>
  <c r="U35" i="1"/>
  <c r="T24" i="1"/>
  <c r="T36" i="1"/>
  <c r="AG9" i="1"/>
  <c r="AF12" i="1"/>
  <c r="AF13" i="1" s="1"/>
  <c r="AF10" i="1"/>
  <c r="AD13" i="1"/>
  <c r="AD14" i="1" s="1"/>
  <c r="S14" i="1"/>
  <c r="AJ8" i="1"/>
  <c r="AJ11" i="1" s="1"/>
  <c r="R114" i="1"/>
  <c r="X21" i="1"/>
  <c r="X23" i="1" s="1"/>
  <c r="X35" i="1"/>
  <c r="X37" i="1"/>
  <c r="Y35" i="1"/>
  <c r="Y37" i="1"/>
  <c r="Y21" i="1"/>
  <c r="Y23" i="1" s="1"/>
  <c r="AC19" i="1"/>
  <c r="AC37" i="1" s="1"/>
  <c r="AA19" i="1"/>
  <c r="AA37" i="1" s="1"/>
  <c r="R24" i="1"/>
  <c r="R69" i="1"/>
  <c r="AB19" i="1"/>
  <c r="AB34" i="1"/>
  <c r="H21" i="1"/>
  <c r="H37" i="1"/>
  <c r="H35" i="1"/>
  <c r="M21" i="1"/>
  <c r="M37" i="1"/>
  <c r="M35" i="1"/>
  <c r="Q21" i="1"/>
  <c r="Q37" i="1"/>
  <c r="Q35" i="1"/>
  <c r="O21" i="1"/>
  <c r="O70" i="1" s="1"/>
  <c r="O37" i="1"/>
  <c r="O35" i="1"/>
  <c r="N21" i="1"/>
  <c r="N37" i="1"/>
  <c r="N35" i="1"/>
  <c r="J21" i="1"/>
  <c r="J37" i="1"/>
  <c r="J35" i="1"/>
  <c r="K21" i="1"/>
  <c r="K70" i="1" s="1"/>
  <c r="K87" i="1" s="1"/>
  <c r="K37" i="1"/>
  <c r="K35" i="1"/>
  <c r="L21" i="1"/>
  <c r="L37" i="1"/>
  <c r="L35" i="1"/>
  <c r="F21" i="1"/>
  <c r="F37" i="1"/>
  <c r="F35" i="1"/>
  <c r="G21" i="1"/>
  <c r="G70" i="1" s="1"/>
  <c r="G87" i="1" s="1"/>
  <c r="G37" i="1"/>
  <c r="G35" i="1"/>
  <c r="AB6" i="1"/>
  <c r="AC6" i="1"/>
  <c r="P21" i="1"/>
  <c r="P37" i="1"/>
  <c r="P35" i="1"/>
  <c r="I21" i="1"/>
  <c r="I37" i="1"/>
  <c r="I35" i="1"/>
  <c r="AF22" i="1" l="1"/>
  <c r="AG18" i="1"/>
  <c r="AH18" i="1" s="1"/>
  <c r="AF17" i="1"/>
  <c r="U21" i="1"/>
  <c r="U23" i="1" s="1"/>
  <c r="V37" i="1"/>
  <c r="V21" i="1"/>
  <c r="V23" i="1" s="1"/>
  <c r="AG16" i="1"/>
  <c r="AH16" i="1" s="1"/>
  <c r="AF31" i="1"/>
  <c r="AF15" i="1"/>
  <c r="AF14" i="1"/>
  <c r="AG12" i="1"/>
  <c r="AG13" i="1" s="1"/>
  <c r="AH9" i="1"/>
  <c r="AG10" i="1"/>
  <c r="S19" i="1"/>
  <c r="S34" i="1"/>
  <c r="AD19" i="1"/>
  <c r="AD35" i="1" s="1"/>
  <c r="AD34" i="1"/>
  <c r="AK8" i="1"/>
  <c r="O87" i="1"/>
  <c r="O115" i="1" s="1"/>
  <c r="Y24" i="1"/>
  <c r="Y36" i="1"/>
  <c r="AA35" i="1"/>
  <c r="AC35" i="1"/>
  <c r="X24" i="1"/>
  <c r="X36" i="1"/>
  <c r="P23" i="1"/>
  <c r="P69" i="1" s="1"/>
  <c r="P70" i="1"/>
  <c r="P87" i="1" s="1"/>
  <c r="L23" i="1"/>
  <c r="L69" i="1" s="1"/>
  <c r="L70" i="1"/>
  <c r="L87" i="1" s="1"/>
  <c r="J23" i="1"/>
  <c r="J69" i="1" s="1"/>
  <c r="J70" i="1"/>
  <c r="J87" i="1" s="1"/>
  <c r="Q23" i="1"/>
  <c r="Q69" i="1" s="1"/>
  <c r="Q70" i="1"/>
  <c r="Q87" i="1" s="1"/>
  <c r="N23" i="1"/>
  <c r="N69" i="1" s="1"/>
  <c r="N70" i="1"/>
  <c r="N87" i="1" s="1"/>
  <c r="I23" i="1"/>
  <c r="I69" i="1" s="1"/>
  <c r="I70" i="1"/>
  <c r="I87" i="1" s="1"/>
  <c r="M23" i="1"/>
  <c r="M69" i="1" s="1"/>
  <c r="M70" i="1"/>
  <c r="M87" i="1" s="1"/>
  <c r="F23" i="1"/>
  <c r="F69" i="1" s="1"/>
  <c r="F70" i="1"/>
  <c r="F87" i="1" s="1"/>
  <c r="H23" i="1"/>
  <c r="H69" i="1" s="1"/>
  <c r="H70" i="1"/>
  <c r="H87" i="1" s="1"/>
  <c r="AB35" i="1"/>
  <c r="AB37" i="1"/>
  <c r="K23" i="1"/>
  <c r="K69" i="1" s="1"/>
  <c r="AB21" i="1"/>
  <c r="AB23" i="1" s="1"/>
  <c r="AB36" i="1" s="1"/>
  <c r="G23" i="1"/>
  <c r="G69" i="1" s="1"/>
  <c r="AA21" i="1"/>
  <c r="AA23" i="1" s="1"/>
  <c r="AA36" i="1" s="1"/>
  <c r="O23" i="1"/>
  <c r="O69" i="1" s="1"/>
  <c r="AC21" i="1"/>
  <c r="AC23" i="1" s="1"/>
  <c r="AC36" i="1" s="1"/>
  <c r="L36" i="1"/>
  <c r="N24" i="1"/>
  <c r="O114" i="1" l="1"/>
  <c r="P36" i="1"/>
  <c r="N36" i="1"/>
  <c r="AH24" i="1"/>
  <c r="AG22" i="1"/>
  <c r="AH22" i="1" s="1"/>
  <c r="AI18" i="1"/>
  <c r="AJ18" i="1" s="1"/>
  <c r="AG17" i="1"/>
  <c r="AH17" i="1" s="1"/>
  <c r="AI17" i="1" s="1"/>
  <c r="AI16" i="1"/>
  <c r="AJ16" i="1" s="1"/>
  <c r="AK16" i="1" s="1"/>
  <c r="V36" i="1"/>
  <c r="V24" i="1"/>
  <c r="AG24" i="1" s="1"/>
  <c r="U24" i="1"/>
  <c r="U36" i="1"/>
  <c r="AG14" i="1"/>
  <c r="AG15" i="1"/>
  <c r="AG31" i="1"/>
  <c r="AF19" i="1"/>
  <c r="AF34" i="1"/>
  <c r="AH12" i="1"/>
  <c r="AH13" i="1" s="1"/>
  <c r="AH10" i="1"/>
  <c r="AI9" i="1"/>
  <c r="S21" i="1"/>
  <c r="S70" i="1" s="1"/>
  <c r="S87" i="1" s="1"/>
  <c r="S35" i="1"/>
  <c r="AL8" i="1"/>
  <c r="AM8" i="1" s="1"/>
  <c r="AN8" i="1" s="1"/>
  <c r="AK11" i="1"/>
  <c r="I24" i="1"/>
  <c r="L24" i="1"/>
  <c r="H36" i="1"/>
  <c r="H24" i="1"/>
  <c r="P24" i="1"/>
  <c r="AC69" i="1"/>
  <c r="AC70" i="1"/>
  <c r="AC87" i="1"/>
  <c r="Q115" i="1"/>
  <c r="Q114" i="1"/>
  <c r="J36" i="1"/>
  <c r="P115" i="1"/>
  <c r="P114" i="1"/>
  <c r="I36" i="1"/>
  <c r="Q36" i="1"/>
  <c r="J24" i="1"/>
  <c r="Q24" i="1"/>
  <c r="F36" i="1"/>
  <c r="M36" i="1"/>
  <c r="F24" i="1"/>
  <c r="M24" i="1"/>
  <c r="K24" i="1"/>
  <c r="K36" i="1"/>
  <c r="O24" i="1"/>
  <c r="O36" i="1"/>
  <c r="G24" i="1"/>
  <c r="G36" i="1"/>
  <c r="AL16" i="1" l="1"/>
  <c r="AK18" i="1"/>
  <c r="AL18" i="1" s="1"/>
  <c r="AM18" i="1" s="1"/>
  <c r="AI22" i="1"/>
  <c r="AJ22" i="1" s="1"/>
  <c r="AK22" i="1" s="1"/>
  <c r="AJ17" i="1"/>
  <c r="AK17" i="1"/>
  <c r="AE24" i="1"/>
  <c r="AF24" i="1"/>
  <c r="AM16" i="1"/>
  <c r="AN16" i="1" s="1"/>
  <c r="AH14" i="1"/>
  <c r="AH31" i="1"/>
  <c r="AH15" i="1"/>
  <c r="AF20" i="1"/>
  <c r="AF37" i="1" s="1"/>
  <c r="AF35" i="1"/>
  <c r="AI10" i="1"/>
  <c r="AJ9" i="1"/>
  <c r="AI12" i="1"/>
  <c r="AI13" i="1" s="1"/>
  <c r="AG34" i="1"/>
  <c r="AG19" i="1"/>
  <c r="AD21" i="1"/>
  <c r="AD23" i="1" s="1"/>
  <c r="S23" i="1"/>
  <c r="AD20" i="1"/>
  <c r="AD37" i="1" s="1"/>
  <c r="S37" i="1"/>
  <c r="AL11" i="1"/>
  <c r="AC24" i="1"/>
  <c r="AC115" i="1"/>
  <c r="AC114" i="1"/>
  <c r="AB24" i="1"/>
  <c r="AA24" i="1"/>
  <c r="AI14" i="1" l="1"/>
  <c r="AK24" i="1"/>
  <c r="AJ24" i="1"/>
  <c r="AI24" i="1"/>
  <c r="AN18" i="1"/>
  <c r="AL22" i="1"/>
  <c r="AM22" i="1" s="1"/>
  <c r="AL17" i="1"/>
  <c r="AF21" i="1"/>
  <c r="AF23" i="1" s="1"/>
  <c r="AF36" i="1" s="1"/>
  <c r="AI34" i="1"/>
  <c r="AJ10" i="1"/>
  <c r="AJ12" i="1"/>
  <c r="AJ13" i="1" s="1"/>
  <c r="AK9" i="1"/>
  <c r="AG20" i="1"/>
  <c r="AG37" i="1" s="1"/>
  <c r="AG35" i="1"/>
  <c r="AH34" i="1"/>
  <c r="AH19" i="1"/>
  <c r="AI15" i="1"/>
  <c r="AI19" i="1" s="1"/>
  <c r="AI31" i="1"/>
  <c r="S24" i="1"/>
  <c r="AD24" i="1" s="1"/>
  <c r="S36" i="1"/>
  <c r="AD36" i="1"/>
  <c r="AM11" i="1"/>
  <c r="AN22" i="1" l="1"/>
  <c r="AG21" i="1"/>
  <c r="AG23" i="1" s="1"/>
  <c r="AG36" i="1" s="1"/>
  <c r="AM17" i="1"/>
  <c r="AN17" i="1" s="1"/>
  <c r="AI20" i="1"/>
  <c r="AI37" i="1" s="1"/>
  <c r="AI35" i="1"/>
  <c r="AL9" i="1"/>
  <c r="AK12" i="1"/>
  <c r="AK13" i="1" s="1"/>
  <c r="AK10" i="1"/>
  <c r="AH35" i="1"/>
  <c r="AH20" i="1"/>
  <c r="AH37" i="1" s="1"/>
  <c r="AJ31" i="1"/>
  <c r="AJ15" i="1"/>
  <c r="AJ14" i="1"/>
  <c r="AL24" i="1"/>
  <c r="AM24" i="1"/>
  <c r="AN24" i="1"/>
  <c r="AN11" i="1"/>
  <c r="AK14" i="1" l="1"/>
  <c r="AI21" i="1"/>
  <c r="AI23" i="1" s="1"/>
  <c r="AI36" i="1" s="1"/>
  <c r="AH21" i="1"/>
  <c r="AH23" i="1" s="1"/>
  <c r="AH36" i="1" s="1"/>
  <c r="AK34" i="1"/>
  <c r="AM9" i="1"/>
  <c r="AL12" i="1"/>
  <c r="AL13" i="1" s="1"/>
  <c r="AL10" i="1"/>
  <c r="AJ34" i="1"/>
  <c r="AJ19" i="1"/>
  <c r="AK15" i="1"/>
  <c r="AK19" i="1" s="1"/>
  <c r="AK31" i="1"/>
  <c r="AJ35" i="1" l="1"/>
  <c r="AJ20" i="1"/>
  <c r="AJ37" i="1" s="1"/>
  <c r="AK20" i="1"/>
  <c r="AK37" i="1" s="1"/>
  <c r="AK35" i="1"/>
  <c r="AL15" i="1"/>
  <c r="AL14" i="1"/>
  <c r="AL31" i="1"/>
  <c r="AN9" i="1"/>
  <c r="AM10" i="1"/>
  <c r="AM12" i="1"/>
  <c r="AM13" i="1" s="1"/>
  <c r="AK21" i="1" l="1"/>
  <c r="AK23" i="1" s="1"/>
  <c r="AK36" i="1" s="1"/>
  <c r="AL19" i="1"/>
  <c r="AL34" i="1"/>
  <c r="AN12" i="1"/>
  <c r="AN13" i="1" s="1"/>
  <c r="AN10" i="1"/>
  <c r="AM31" i="1"/>
  <c r="AM14" i="1"/>
  <c r="AM15" i="1"/>
  <c r="AJ21" i="1"/>
  <c r="AJ23" i="1" s="1"/>
  <c r="AJ36" i="1" s="1"/>
  <c r="AN15" i="1" l="1"/>
  <c r="AN14" i="1"/>
  <c r="AN31" i="1"/>
  <c r="AM34" i="1"/>
  <c r="AM19" i="1"/>
  <c r="AL35" i="1"/>
  <c r="AL20" i="1"/>
  <c r="AL37" i="1" s="1"/>
  <c r="AM35" i="1" l="1"/>
  <c r="AM20" i="1"/>
  <c r="AM37" i="1" s="1"/>
  <c r="AL21" i="1"/>
  <c r="AL23" i="1" s="1"/>
  <c r="AL36" i="1" s="1"/>
  <c r="AN19" i="1"/>
  <c r="AN34" i="1"/>
  <c r="AE19" i="1"/>
  <c r="AE20" i="1" s="1"/>
  <c r="AE37" i="1" s="1"/>
  <c r="AM21" i="1" l="1"/>
  <c r="AM23" i="1" s="1"/>
  <c r="AM36" i="1" s="1"/>
  <c r="AN20" i="1"/>
  <c r="AN37" i="1" s="1"/>
  <c r="AN35" i="1"/>
  <c r="AE35" i="1"/>
  <c r="AE21" i="1"/>
  <c r="AE23" i="1" s="1"/>
  <c r="AN21" i="1" l="1"/>
  <c r="AN23" i="1" s="1"/>
  <c r="AE36" i="1"/>
  <c r="AN36" i="1" l="1"/>
  <c r="AO23" i="1"/>
  <c r="AP23" i="1" l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AQ26" i="1" l="1"/>
  <c r="AQ28" i="1" s="1"/>
  <c r="AQ29" i="1" s="1"/>
  <c r="AQ30" i="1" s="1"/>
</calcChain>
</file>

<file path=xl/sharedStrings.xml><?xml version="1.0" encoding="utf-8"?>
<sst xmlns="http://schemas.openxmlformats.org/spreadsheetml/2006/main" count="191" uniqueCount="178">
  <si>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</si>
  <si>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</si>
  <si>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</si>
  <si>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</si>
  <si>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</si>
  <si>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</si>
  <si>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</si>
  <si>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</si>
  <si>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</si>
  <si>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</si>
  <si>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</si>
  <si>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</si>
  <si>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</si>
  <si>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</si>
  <si>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</si>
  <si>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</si>
  <si>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</si>
  <si>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Q121</t>
  </si>
  <si>
    <t>Q221</t>
  </si>
  <si>
    <t>Q321</t>
  </si>
  <si>
    <t>Q421</t>
  </si>
  <si>
    <t>Q320</t>
  </si>
  <si>
    <t>Q420</t>
  </si>
  <si>
    <t>GREEN BRICK PARTNERS, INC</t>
  </si>
  <si>
    <t>GRBK</t>
  </si>
  <si>
    <t>Jim Brickman</t>
  </si>
  <si>
    <t>New homes delivered</t>
  </si>
  <si>
    <t>Year</t>
  </si>
  <si>
    <t>Homes</t>
  </si>
  <si>
    <t>Change</t>
  </si>
  <si>
    <t>Residential units revenue</t>
  </si>
  <si>
    <t>Land and lots revenue</t>
  </si>
  <si>
    <t>Revenue</t>
  </si>
  <si>
    <t>Cost of residential units</t>
  </si>
  <si>
    <t>Cost of land and lots</t>
  </si>
  <si>
    <t xml:space="preserve">Total cost </t>
  </si>
  <si>
    <t>Total Gross profit</t>
  </si>
  <si>
    <t>SG&amp;A</t>
  </si>
  <si>
    <t>Equity in income of entities</t>
  </si>
  <si>
    <t>Other income</t>
  </si>
  <si>
    <t>Pretax</t>
  </si>
  <si>
    <t>Taxes</t>
  </si>
  <si>
    <t>Net income</t>
  </si>
  <si>
    <t>Non-controlling interest</t>
  </si>
  <si>
    <t>Net income to Green Brick Partners, Inc</t>
  </si>
  <si>
    <t>EPS</t>
  </si>
  <si>
    <t>Homes delivered</t>
  </si>
  <si>
    <t>Change in fair value of contingent consideration</t>
  </si>
  <si>
    <t>Q120</t>
  </si>
  <si>
    <t>Q220</t>
  </si>
  <si>
    <t>Home delivered Y/Y %</t>
  </si>
  <si>
    <t>Revenue Y/Y</t>
  </si>
  <si>
    <t>Revenue Q/Q</t>
  </si>
  <si>
    <t>Gross Margin %</t>
  </si>
  <si>
    <t>Operating Margin %</t>
  </si>
  <si>
    <t>Net Margin %</t>
  </si>
  <si>
    <t>Colorado Springs, Colorado, which was sold on February 1, 2024.</t>
  </si>
  <si>
    <t>Incorporated in Delaware, 2006.</t>
  </si>
  <si>
    <t>Our Builders and Homes</t>
  </si>
  <si>
    <t>Builder</t>
  </si>
  <si>
    <t>Trophy Signature Homes LLC</t>
  </si>
  <si>
    <t>CB JENI Homes DFW LLC</t>
  </si>
  <si>
    <t>Normandy Homes</t>
  </si>
  <si>
    <t>SGHDAL LLC</t>
  </si>
  <si>
    <t>CLH20 LLC</t>
  </si>
  <si>
    <t>The Providence Group of Georgia</t>
  </si>
  <si>
    <t>GRBK GHO Homes LLC</t>
  </si>
  <si>
    <t>Ownership</t>
  </si>
  <si>
    <t>Market</t>
  </si>
  <si>
    <t>Products offered</t>
  </si>
  <si>
    <t>Price Range</t>
  </si>
  <si>
    <t>DFW and Austin</t>
  </si>
  <si>
    <t>DFW</t>
  </si>
  <si>
    <t>Atlanta</t>
  </si>
  <si>
    <t>Treasure Coast</t>
  </si>
  <si>
    <t>Single-family</t>
  </si>
  <si>
    <t>Townhomes</t>
  </si>
  <si>
    <t>Luxury homes</t>
  </si>
  <si>
    <t>Town and single</t>
  </si>
  <si>
    <t>Town, Condom, Single</t>
  </si>
  <si>
    <t>Patio and single</t>
  </si>
  <si>
    <t>260k-1100k</t>
  </si>
  <si>
    <t>270k-640k</t>
  </si>
  <si>
    <t>460k-910k</t>
  </si>
  <si>
    <t>790k-1880k</t>
  </si>
  <si>
    <t>340k-710k</t>
  </si>
  <si>
    <t>390-1260k</t>
  </si>
  <si>
    <t>370k-2100k</t>
  </si>
  <si>
    <t xml:space="preserve">We are engaged in all aspects of the homebuilding process, including land acquisition and development, entitlements, </t>
  </si>
  <si>
    <t>design, construction, title and mortgage services, marketing &amp; sales and the creation of brand images at our residential</t>
  </si>
  <si>
    <t>neighborhoods and master planned communities. We previously owned a noncontrolling interest in a builder in</t>
  </si>
  <si>
    <t xml:space="preserve">Diversified homebuilding and land development company. We acquire and develop land and build homes through our seven </t>
  </si>
  <si>
    <t xml:space="preserve">brands of builders in four major markets. Our core markets are in the high growth U.S. metropolitan areas </t>
  </si>
  <si>
    <t>of Dallas-Fort Worth and Austin, Texas and Atlanta, Georgia, as well as the Treasure Coast, Florida area</t>
  </si>
  <si>
    <t>Restricted cash</t>
  </si>
  <si>
    <t>Receivables</t>
  </si>
  <si>
    <t>Inventory</t>
  </si>
  <si>
    <t>Investments in entities</t>
  </si>
  <si>
    <t>Right-of-use assets - operating leases</t>
  </si>
  <si>
    <t>P&amp;E</t>
  </si>
  <si>
    <t>Earnest money deposits</t>
  </si>
  <si>
    <t>DT</t>
  </si>
  <si>
    <t>Intangibles + Goodwill</t>
  </si>
  <si>
    <t>OA</t>
  </si>
  <si>
    <t>Assets</t>
  </si>
  <si>
    <t>A/P</t>
  </si>
  <si>
    <t>Accrued expenses</t>
  </si>
  <si>
    <t>Customer and builder deposits</t>
  </si>
  <si>
    <t>Leases - operating</t>
  </si>
  <si>
    <t>Borrowings on lines of credit</t>
  </si>
  <si>
    <t>Senior unsecured notes</t>
  </si>
  <si>
    <t>Notes payable</t>
  </si>
  <si>
    <t>Liabilities</t>
  </si>
  <si>
    <t>SE</t>
  </si>
  <si>
    <t>L+SE</t>
  </si>
  <si>
    <t>Net debt</t>
  </si>
  <si>
    <t>Noncontrolling interest</t>
  </si>
  <si>
    <t>Equity</t>
  </si>
  <si>
    <t>Redeemable noncontrolling interest</t>
  </si>
  <si>
    <t>Q124</t>
  </si>
  <si>
    <t>Q224</t>
  </si>
  <si>
    <t>Q324</t>
  </si>
  <si>
    <t>Q424</t>
  </si>
  <si>
    <t>Tax Rate %</t>
  </si>
  <si>
    <t>Model NI</t>
  </si>
  <si>
    <t>Reported NI</t>
  </si>
  <si>
    <t>D&amp;A</t>
  </si>
  <si>
    <t>Gain on disposal of P&amp;E</t>
  </si>
  <si>
    <t>SBC</t>
  </si>
  <si>
    <t>Allowances for option deposits an pre-acquisition cost</t>
  </si>
  <si>
    <t>Distributions of income from entities</t>
  </si>
  <si>
    <t>Increase in receivables</t>
  </si>
  <si>
    <t>Increase in inventory</t>
  </si>
  <si>
    <t>Decrease in earnest money deposits</t>
  </si>
  <si>
    <t>Increase in other assets</t>
  </si>
  <si>
    <t>Increase in accounts payable</t>
  </si>
  <si>
    <t>Increase in accrued expenses</t>
  </si>
  <si>
    <t>Increase (decrease) in deposits</t>
  </si>
  <si>
    <t>CFFO</t>
  </si>
  <si>
    <t>Purchase of P&amp;E</t>
  </si>
  <si>
    <t>CFFI</t>
  </si>
  <si>
    <t>Borrowings from lines of credit</t>
  </si>
  <si>
    <t>Repayments of lines of credit</t>
  </si>
  <si>
    <t>Proceeds of notes payable</t>
  </si>
  <si>
    <t>Repayments of notes payable</t>
  </si>
  <si>
    <t>Payments of debt issuance cost</t>
  </si>
  <si>
    <t>Payments of withholding tax on vesting of restricted stock awards</t>
  </si>
  <si>
    <t>Buyback</t>
  </si>
  <si>
    <t>Dividends</t>
  </si>
  <si>
    <t>Distributions to noncontrolling interests</t>
  </si>
  <si>
    <t>CFFF</t>
  </si>
  <si>
    <t>Increase (decrease) in cash</t>
  </si>
  <si>
    <t>Cash at beginning of period</t>
  </si>
  <si>
    <t>Restricted cash beginning of period</t>
  </si>
  <si>
    <t>Cash at end of period</t>
  </si>
  <si>
    <t>Restricted cash end of period</t>
  </si>
  <si>
    <t>Cash end of period</t>
  </si>
  <si>
    <t>Distributions to redeemable noncontrolling interests</t>
  </si>
  <si>
    <t xml:space="preserve">Cash paid for income taxes </t>
  </si>
  <si>
    <t>Cash Flow</t>
  </si>
  <si>
    <t>Free Cash Flow</t>
  </si>
  <si>
    <t>Contingent consideration</t>
  </si>
  <si>
    <t xml:space="preserve">Revenue / Homes delivered </t>
  </si>
  <si>
    <t>Issuance of preferred shares</t>
  </si>
  <si>
    <t>Payment of contingent consideration in excess of acquisition</t>
  </si>
  <si>
    <t xml:space="preserve"> </t>
  </si>
  <si>
    <t>Resident cost</t>
  </si>
  <si>
    <t>Land cost</t>
  </si>
  <si>
    <t>SG&amp;A %</t>
  </si>
  <si>
    <t>Maturity</t>
  </si>
  <si>
    <t>Discount</t>
  </si>
  <si>
    <t>NPV</t>
  </si>
  <si>
    <t>Value</t>
  </si>
  <si>
    <t>Per share</t>
  </si>
  <si>
    <t>Upside</t>
  </si>
  <si>
    <t>Gain on sale of investment in entities</t>
  </si>
  <si>
    <t>Proceeds from sale of investment in entity</t>
  </si>
  <si>
    <t>Repayments of senior unsecured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</si>
</sst>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6"/>
      <color theme="10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u/>
      <sz val="14"/>
      <color theme="1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4" fillId="2" borderId="0" xfId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0" fontId="6" fillId="2" borderId="5" xfId="0" applyFont="1" applyFill="1" applyBorder="1" applyAlignment="1">
      <alignment horizontal="right"/>
    </xf>
    <xf numFmtId="9" fontId="6" fillId="2" borderId="5" xfId="0" applyNumberFormat="1" applyFont="1" applyFill="1" applyBorder="1" applyAlignment="1">
      <alignment horizontal="right"/>
    </xf>
    <xf numFmtId="9" fontId="6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3" fontId="5" fillId="0" borderId="0" xfId="0" applyNumberFormat="1" applyFont="1"/>
    <xf numFmtId="3" fontId="7" fillId="2" borderId="0" xfId="0" applyNumberFormat="1" applyFont="1" applyFill="1"/>
    <xf numFmtId="3" fontId="7" fillId="0" borderId="0" xfId="0" applyNumberFormat="1" applyFont="1"/>
    <xf numFmtId="2" fontId="5" fillId="2" borderId="0" xfId="0" applyNumberFormat="1" applyFont="1" applyFill="1"/>
    <xf numFmtId="0" fontId="5" fillId="0" borderId="0" xfId="0" applyFont="1"/>
    <xf numFmtId="9" fontId="5" fillId="0" borderId="0" xfId="2" applyFont="1"/>
    <xf numFmtId="1" fontId="5" fillId="2" borderId="0" xfId="0" applyNumberFormat="1" applyFont="1" applyFill="1"/>
    <xf numFmtId="9" fontId="5" fillId="2" borderId="0" xfId="0" applyNumberFormat="1" applyFont="1" applyFill="1"/>
    <xf numFmtId="9" fontId="5" fillId="0" borderId="0" xfId="0" applyNumberFormat="1" applyFont="1"/>
    <xf numFmtId="0" fontId="8" fillId="2" borderId="3" xfId="0" applyFont="1" applyFill="1" applyBorder="1"/>
    <xf numFmtId="9" fontId="8" fillId="2" borderId="3" xfId="0" applyNumberFormat="1" applyFont="1" applyFill="1" applyBorder="1"/>
    <xf numFmtId="10" fontId="8" fillId="2" borderId="3" xfId="0" applyNumberFormat="1" applyFont="1" applyFill="1" applyBorder="1"/>
    <xf numFmtId="164" fontId="8" fillId="2" borderId="3" xfId="0" applyNumberFormat="1" applyFont="1" applyFill="1" applyBorder="1"/>
    <xf numFmtId="0" fontId="8" fillId="0" borderId="3" xfId="0" applyFont="1" applyBorder="1"/>
    <xf numFmtId="0" fontId="8" fillId="2" borderId="4" xfId="0" applyFont="1" applyFill="1" applyBorder="1"/>
    <xf numFmtId="9" fontId="8" fillId="2" borderId="4" xfId="0" applyNumberFormat="1" applyFont="1" applyFill="1" applyBorder="1"/>
    <xf numFmtId="10" fontId="8" fillId="2" borderId="4" xfId="0" applyNumberFormat="1" applyFont="1" applyFill="1" applyBorder="1"/>
    <xf numFmtId="0" fontId="8" fillId="0" borderId="4" xfId="0" applyFont="1" applyBorder="1"/>
    <xf numFmtId="0" fontId="8" fillId="2" borderId="0" xfId="0" applyFont="1" applyFill="1"/>
    <xf numFmtId="9" fontId="8" fillId="2" borderId="0" xfId="0" applyNumberFormat="1" applyFont="1" applyFill="1"/>
    <xf numFmtId="0" fontId="8" fillId="0" borderId="0" xfId="0" applyFont="1"/>
    <xf numFmtId="3" fontId="5" fillId="2" borderId="5" xfId="0" applyNumberFormat="1" applyFont="1" applyFill="1" applyBorder="1"/>
    <xf numFmtId="3" fontId="5" fillId="0" borderId="5" xfId="0" applyNumberFormat="1" applyFont="1" applyBorder="1"/>
    <xf numFmtId="3" fontId="7" fillId="2" borderId="2" xfId="0" applyNumberFormat="1" applyFont="1" applyFill="1" applyBorder="1"/>
    <xf numFmtId="3" fontId="7" fillId="0" borderId="2" xfId="0" applyNumberFormat="1" applyFont="1" applyBorder="1"/>
    <xf numFmtId="3" fontId="8" fillId="2" borderId="3" xfId="0" applyNumberFormat="1" applyFont="1" applyFill="1" applyBorder="1"/>
    <xf numFmtId="3" fontId="9" fillId="2" borderId="3" xfId="0" applyNumberFormat="1" applyFont="1" applyFill="1" applyBorder="1"/>
    <xf numFmtId="3" fontId="8" fillId="0" borderId="3" xfId="0" applyNumberFormat="1" applyFont="1" applyBorder="1"/>
    <xf numFmtId="3" fontId="8" fillId="2" borderId="4" xfId="0" applyNumberFormat="1" applyFont="1" applyFill="1" applyBorder="1"/>
    <xf numFmtId="3" fontId="9" fillId="2" borderId="4" xfId="0" applyNumberFormat="1" applyFont="1" applyFill="1" applyBorder="1"/>
    <xf numFmtId="3" fontId="8" fillId="0" borderId="4" xfId="0" applyNumberFormat="1" applyFont="1" applyBorder="1"/>
    <xf numFmtId="0" fontId="10" fillId="0" borderId="0" xfId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/>
    <xf numFmtId="2" fontId="5" fillId="0" borderId="1" xfId="0" applyNumberFormat="1" applyFont="1" applyBorder="1"/>
    <xf numFmtId="3" fontId="5" fillId="0" borderId="1" xfId="0" applyNumberFormat="1" applyFont="1" applyBorder="1"/>
    <xf numFmtId="0" fontId="7" fillId="0" borderId="0" xfId="0" applyFont="1"/>
    <xf numFmtId="0" fontId="5" fillId="0" borderId="6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4" xfId="0" applyFont="1" applyBorder="1"/>
    <xf numFmtId="0" fontId="5" fillId="0" borderId="11" xfId="0" applyFont="1" applyBorder="1"/>
    <xf numFmtId="0" fontId="13" fillId="0" borderId="0" xfId="0" applyFont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9" fontId="5" fillId="0" borderId="1" xfId="0" applyNumberFormat="1" applyFont="1" applyBorder="1"/>
    <xf numFmtId="2" fontId="7" fillId="0" borderId="0" xfId="0" applyNumberFormat="1" applyFont="1"/>
  </cellXfs>
  <cellStyles count="3">
    <cellStyle name="Prósent" xfId="2" builtinId="5"/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29</xdr:col>
      <xdr:colOff>1905</xdr:colOff>
      <xdr:row>74</xdr:row>
      <xdr:rowOff>182880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F220F14-F215-46DB-A4DC-8DCA4754A9D5}"/>
            </a:ext>
          </a:extLst>
        </xdr:cNvPr>
        <xdr:cNvCxnSpPr/>
      </xdr:nvCxnSpPr>
      <xdr:spPr>
        <a:xfrm>
          <a:off x="18836640" y="266700"/>
          <a:ext cx="1905" cy="1277112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</xdr:row>
      <xdr:rowOff>0</xdr:rowOff>
    </xdr:from>
    <xdr:to>
      <xdr:col>19</xdr:col>
      <xdr:colOff>3810</xdr:colOff>
      <xdr:row>75</xdr:row>
      <xdr:rowOff>3810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179F82A6-F8F0-4833-A9DC-094F44238622}"/>
            </a:ext>
          </a:extLst>
        </xdr:cNvPr>
        <xdr:cNvCxnSpPr/>
      </xdr:nvCxnSpPr>
      <xdr:spPr>
        <a:xfrm>
          <a:off x="13510260" y="266700"/>
          <a:ext cx="3810" cy="1303401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31"/>
  <sheetViews>
    <sheetView workbookViewId="0">
      <selection activeCell="G19" sqref="G19"/>
    </sheetView>
  </sheetViews>
  <sheetFormatPr defaultRowHeight="13.8" x14ac:dyDescent="0.25"/>
  <cols>
    <col min="1" max="1" width="7" style="14" customWidth="1"/>
    <col min="2" max="2" width="28" style="14" customWidth="1"/>
    <col min="3" max="3" width="10.5546875" style="14" customWidth="1"/>
    <col min="4" max="4" width="13.5546875" style="14" customWidth="1"/>
    <col min="5" max="5" width="16.33203125" style="14" customWidth="1"/>
    <col min="6" max="6" width="11.33203125" style="14" customWidth="1"/>
    <col min="7" max="8" width="8.88671875" style="14"/>
    <col min="9" max="9" width="15.21875" style="14" customWidth="1"/>
    <col min="10" max="11" width="8.88671875" style="14"/>
    <col min="12" max="12" width="13.88671875" style="14" customWidth="1"/>
    <col min="13" max="13" width="9.109375" style="14" customWidth="1"/>
    <col min="14" max="16384" width="8.88671875" style="14"/>
  </cols>
  <sheetData>
    <row r="1" spans="2:12" ht="21" x14ac:dyDescent="0.4">
      <c r="B1" s="41" t="s">
        <v>165</v>
      </c>
      <c r="K1" s="42" t="s">
        <v>24</v>
      </c>
      <c r="L1" s="42"/>
    </row>
    <row r="2" spans="2:12" ht="22.8" x14ac:dyDescent="0.25">
      <c r="B2" s="43" t="s">
        <v>23</v>
      </c>
      <c r="C2" s="43"/>
      <c r="D2" s="43"/>
      <c r="E2" s="43"/>
      <c r="F2" s="43"/>
      <c r="G2" s="43"/>
      <c r="H2" s="43"/>
      <c r="I2" s="43"/>
      <c r="K2" s="44" t="s">
        <v>0</v>
      </c>
      <c r="L2" s="45">
        <v>55.96</v>
      </c>
    </row>
    <row r="3" spans="2:12" x14ac:dyDescent="0.25">
      <c r="K3" s="44" t="s">
        <v>1</v>
      </c>
      <c r="L3" s="46">
        <v>45.634999999999998</v>
      </c>
    </row>
    <row r="4" spans="2:12" x14ac:dyDescent="0.25">
      <c r="B4" s="47" t="s">
        <v>57</v>
      </c>
      <c r="K4" s="44" t="s">
        <v>2</v>
      </c>
      <c r="L4" s="46">
        <f>L3*L2</f>
        <v>2553.7345999999998</v>
      </c>
    </row>
    <row r="5" spans="2:12" x14ac:dyDescent="0.25">
      <c r="K5" s="44" t="s">
        <v>3</v>
      </c>
      <c r="L5" s="46">
        <f>185.897+24.611</f>
        <v>210.50799999999998</v>
      </c>
    </row>
    <row r="6" spans="2:12" x14ac:dyDescent="0.25">
      <c r="B6" s="48" t="s">
        <v>91</v>
      </c>
      <c r="C6" s="49"/>
      <c r="D6" s="49"/>
      <c r="E6" s="49"/>
      <c r="F6" s="49"/>
      <c r="G6" s="49"/>
      <c r="H6" s="49"/>
      <c r="I6" s="50"/>
      <c r="K6" s="44" t="s">
        <v>4</v>
      </c>
      <c r="L6" s="46">
        <f>7.873-2.26+311.303+0.113</f>
        <v>317.029</v>
      </c>
    </row>
    <row r="7" spans="2:12" x14ac:dyDescent="0.25">
      <c r="B7" s="51" t="s">
        <v>92</v>
      </c>
      <c r="I7" s="52"/>
      <c r="K7" s="44" t="s">
        <v>5</v>
      </c>
      <c r="L7" s="46">
        <f>L4-L5+L6</f>
        <v>2660.2556</v>
      </c>
    </row>
    <row r="8" spans="2:12" x14ac:dyDescent="0.25">
      <c r="B8" s="53" t="s">
        <v>93</v>
      </c>
      <c r="C8" s="54"/>
      <c r="D8" s="54"/>
      <c r="E8" s="54"/>
      <c r="F8" s="54"/>
      <c r="G8" s="54"/>
      <c r="H8" s="54"/>
      <c r="I8" s="55"/>
      <c r="K8" s="44" t="s">
        <v>6</v>
      </c>
      <c r="L8" s="46">
        <f>L5-L6</f>
        <v>-106.52100000000002</v>
      </c>
    </row>
    <row r="9" spans="2:12" x14ac:dyDescent="0.25">
      <c r="K9" s="44"/>
      <c r="L9" s="44"/>
    </row>
    <row r="10" spans="2:12" x14ac:dyDescent="0.25">
      <c r="K10" s="44" t="s">
        <v>7</v>
      </c>
      <c r="L10" s="44" t="s">
        <v>25</v>
      </c>
    </row>
    <row r="11" spans="2:12" x14ac:dyDescent="0.25">
      <c r="B11" s="48" t="s">
        <v>88</v>
      </c>
      <c r="C11" s="49"/>
      <c r="D11" s="49"/>
      <c r="E11" s="49"/>
      <c r="F11" s="49"/>
      <c r="G11" s="49"/>
      <c r="H11" s="49"/>
      <c r="I11" s="50"/>
    </row>
    <row r="12" spans="2:12" x14ac:dyDescent="0.25">
      <c r="B12" s="51" t="s">
        <v>89</v>
      </c>
      <c r="I12" s="52"/>
    </row>
    <row r="13" spans="2:12" x14ac:dyDescent="0.25">
      <c r="B13" s="51" t="s">
        <v>90</v>
      </c>
      <c r="I13" s="52"/>
    </row>
    <row r="14" spans="2:12" x14ac:dyDescent="0.25">
      <c r="B14" s="53" t="s">
        <v>56</v>
      </c>
      <c r="C14" s="54"/>
      <c r="D14" s="54"/>
      <c r="E14" s="54"/>
      <c r="F14" s="54"/>
      <c r="G14" s="54"/>
      <c r="H14" s="54"/>
      <c r="I14" s="55"/>
    </row>
    <row r="17" spans="2:6" ht="15.6" x14ac:dyDescent="0.3">
      <c r="B17" s="56" t="s">
        <v>26</v>
      </c>
    </row>
    <row r="18" spans="2:6" x14ac:dyDescent="0.25">
      <c r="B18" s="57" t="s">
        <v>27</v>
      </c>
      <c r="C18" s="57" t="s">
        <v>28</v>
      </c>
      <c r="D18" s="57" t="s">
        <v>29</v>
      </c>
    </row>
    <row r="19" spans="2:6" x14ac:dyDescent="0.25">
      <c r="B19" s="58">
        <v>2023</v>
      </c>
      <c r="C19" s="58">
        <v>3123</v>
      </c>
      <c r="D19" s="59">
        <f>C19/C20-1</f>
        <v>7.0987654320987748E-2</v>
      </c>
    </row>
    <row r="20" spans="2:6" x14ac:dyDescent="0.25">
      <c r="B20" s="58">
        <v>2022</v>
      </c>
      <c r="C20" s="58">
        <v>2916</v>
      </c>
      <c r="D20" s="58"/>
    </row>
    <row r="23" spans="2:6" ht="15.6" x14ac:dyDescent="0.3">
      <c r="B23" s="56" t="s">
        <v>58</v>
      </c>
    </row>
    <row r="24" spans="2:6" x14ac:dyDescent="0.25">
      <c r="B24" s="57" t="s">
        <v>59</v>
      </c>
      <c r="C24" s="57" t="s">
        <v>67</v>
      </c>
      <c r="D24" s="57" t="s">
        <v>68</v>
      </c>
      <c r="E24" s="57" t="s">
        <v>69</v>
      </c>
      <c r="F24" s="57" t="s">
        <v>70</v>
      </c>
    </row>
    <row r="25" spans="2:6" x14ac:dyDescent="0.25">
      <c r="B25" s="44" t="s">
        <v>60</v>
      </c>
      <c r="C25" s="60">
        <v>1</v>
      </c>
      <c r="D25" s="44" t="s">
        <v>71</v>
      </c>
      <c r="E25" s="44" t="s">
        <v>75</v>
      </c>
      <c r="F25" s="44" t="s">
        <v>81</v>
      </c>
    </row>
    <row r="26" spans="2:6" x14ac:dyDescent="0.25">
      <c r="B26" s="44" t="s">
        <v>61</v>
      </c>
      <c r="C26" s="60">
        <v>1</v>
      </c>
      <c r="D26" s="44" t="s">
        <v>72</v>
      </c>
      <c r="E26" s="44" t="s">
        <v>76</v>
      </c>
      <c r="F26" s="44" t="s">
        <v>82</v>
      </c>
    </row>
    <row r="27" spans="2:6" x14ac:dyDescent="0.25">
      <c r="B27" s="44" t="s">
        <v>62</v>
      </c>
      <c r="C27" s="60">
        <v>1</v>
      </c>
      <c r="D27" s="44" t="s">
        <v>72</v>
      </c>
      <c r="E27" s="44" t="s">
        <v>75</v>
      </c>
      <c r="F27" s="44" t="s">
        <v>83</v>
      </c>
    </row>
    <row r="28" spans="2:6" x14ac:dyDescent="0.25">
      <c r="B28" s="44" t="s">
        <v>63</v>
      </c>
      <c r="C28" s="60">
        <v>1</v>
      </c>
      <c r="D28" s="44" t="s">
        <v>72</v>
      </c>
      <c r="E28" s="44" t="s">
        <v>77</v>
      </c>
      <c r="F28" s="44" t="s">
        <v>84</v>
      </c>
    </row>
    <row r="29" spans="2:6" x14ac:dyDescent="0.25">
      <c r="B29" s="44" t="s">
        <v>64</v>
      </c>
      <c r="C29" s="60">
        <v>0.9</v>
      </c>
      <c r="D29" s="44" t="s">
        <v>72</v>
      </c>
      <c r="E29" s="44" t="s">
        <v>78</v>
      </c>
      <c r="F29" s="44" t="s">
        <v>85</v>
      </c>
    </row>
    <row r="30" spans="2:6" x14ac:dyDescent="0.25">
      <c r="B30" s="44" t="s">
        <v>65</v>
      </c>
      <c r="C30" s="60">
        <v>0.5</v>
      </c>
      <c r="D30" s="44" t="s">
        <v>73</v>
      </c>
      <c r="E30" s="44" t="s">
        <v>79</v>
      </c>
      <c r="F30" s="44" t="s">
        <v>86</v>
      </c>
    </row>
    <row r="31" spans="2:6" x14ac:dyDescent="0.25">
      <c r="B31" s="44" t="s">
        <v>66</v>
      </c>
      <c r="C31" s="60">
        <v>0.8</v>
      </c>
      <c r="D31" s="44" t="s">
        <v>74</v>
      </c>
      <c r="E31" s="44" t="s">
        <v>80</v>
      </c>
      <c r="F31" s="44" t="s">
        <v>87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GK115"/>
  <sheetViews>
    <sheetView tabSelected="1" workbookViewId="0">
      <pane xSplit="1" ySplit="2" topLeftCell="X11" activePane="bottomRight" state="frozen"/>
      <selection pane="topRight" activeCell="C1" sqref="C1"/>
      <selection pane="bottomLeft" activeCell="A3" sqref="A3"/>
      <selection pane="bottomRight" activeCell="AH29" sqref="AH29"/>
    </sheetView>
  </sheetViews>
  <sheetFormatPr defaultRowHeight="13.8" x14ac:dyDescent="0.25"/>
  <cols>
    <col min="1" max="1" width="36" style="2" customWidth="1"/>
    <col min="2" max="2" width="9.109375" style="2"/>
    <col min="3" max="18" width="9" style="2" customWidth="1"/>
    <col min="19" max="19" width="9.33203125" style="2" bestFit="1" customWidth="1"/>
    <col min="20" max="22" width="9.88671875" style="2" bestFit="1" customWidth="1"/>
    <col min="23" max="26" width="9.109375" style="2"/>
    <col min="27" max="27" width="12" style="2" bestFit="1" customWidth="1"/>
    <col min="28" max="28" width="9.109375" style="2"/>
    <col min="29" max="29" width="11" style="2" bestFit="1" customWidth="1"/>
    <col min="30" max="42" width="8.88671875" style="14"/>
    <col min="43" max="43" width="12" style="14" bestFit="1" customWidth="1"/>
    <col min="44" max="16384" width="8.88671875" style="14"/>
  </cols>
  <sheetData>
    <row r="1" spans="1:48" s="2" customFormat="1" ht="21" x14ac:dyDescent="0.4">
      <c r="A1" s="1" t="s">
        <v>16</v>
      </c>
    </row>
    <row r="2" spans="1:48" s="3" customFormat="1" x14ac:dyDescent="0.25">
      <c r="C2" s="3" t="s">
        <v>48</v>
      </c>
      <c r="D2" s="3" t="s">
        <v>49</v>
      </c>
      <c r="E2" s="3" t="s">
        <v>21</v>
      </c>
      <c r="F2" s="3" t="s">
        <v>22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14</v>
      </c>
      <c r="L2" s="3" t="s">
        <v>15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8</v>
      </c>
      <c r="R2" s="3" t="s">
        <v>9</v>
      </c>
      <c r="S2" s="3" t="s">
        <v>119</v>
      </c>
      <c r="T2" s="3" t="s">
        <v>120</v>
      </c>
      <c r="U2" s="3" t="s">
        <v>121</v>
      </c>
      <c r="V2" s="3" t="s">
        <v>122</v>
      </c>
      <c r="X2" s="3">
        <v>2018</v>
      </c>
      <c r="Y2" s="3">
        <v>2019</v>
      </c>
      <c r="Z2" s="3">
        <v>2020</v>
      </c>
      <c r="AA2" s="3">
        <v>2021</v>
      </c>
      <c r="AB2" s="3">
        <v>2022</v>
      </c>
      <c r="AC2" s="3">
        <v>2023</v>
      </c>
      <c r="AD2" s="3">
        <v>2024</v>
      </c>
      <c r="AE2" s="3">
        <v>2025</v>
      </c>
      <c r="AF2" s="3">
        <v>2026</v>
      </c>
      <c r="AG2" s="3">
        <v>2027</v>
      </c>
      <c r="AH2" s="3">
        <v>2028</v>
      </c>
      <c r="AI2" s="3">
        <v>2029</v>
      </c>
      <c r="AJ2" s="3">
        <v>2030</v>
      </c>
      <c r="AK2" s="3">
        <v>2031</v>
      </c>
      <c r="AL2" s="3">
        <v>2032</v>
      </c>
      <c r="AM2" s="3">
        <v>2033</v>
      </c>
      <c r="AN2" s="3">
        <v>2034</v>
      </c>
      <c r="AO2" s="3">
        <v>2035</v>
      </c>
      <c r="AP2" s="3">
        <v>2036</v>
      </c>
      <c r="AQ2" s="3">
        <v>2037</v>
      </c>
      <c r="AR2" s="3">
        <v>2038</v>
      </c>
      <c r="AS2" s="3">
        <v>2039</v>
      </c>
      <c r="AT2" s="3">
        <v>2040</v>
      </c>
      <c r="AU2" s="3">
        <v>2041</v>
      </c>
      <c r="AV2" s="3">
        <v>2042</v>
      </c>
    </row>
    <row r="3" spans="1:48" s="3" customFormat="1" x14ac:dyDescent="0.25"/>
    <row r="4" spans="1:48" s="4" customFormat="1" x14ac:dyDescent="0.25">
      <c r="A4" s="4" t="s">
        <v>46</v>
      </c>
      <c r="C4" s="4">
        <v>448</v>
      </c>
      <c r="D4" s="4">
        <v>553</v>
      </c>
      <c r="E4" s="4">
        <v>622</v>
      </c>
      <c r="F4" s="4">
        <f>2208-C4-D4-E4</f>
        <v>585</v>
      </c>
      <c r="G4" s="4">
        <v>516</v>
      </c>
      <c r="H4" s="4">
        <v>757</v>
      </c>
      <c r="I4" s="4">
        <v>738</v>
      </c>
      <c r="J4" s="4">
        <v>823</v>
      </c>
      <c r="K4" s="4">
        <v>658</v>
      </c>
      <c r="L4" s="4">
        <v>881</v>
      </c>
      <c r="M4" s="4">
        <f>2189-K4-L4</f>
        <v>650</v>
      </c>
      <c r="N4" s="4">
        <f>2916-K4-L4-M4</f>
        <v>727</v>
      </c>
      <c r="O4" s="4">
        <v>761</v>
      </c>
      <c r="P4" s="4">
        <v>783</v>
      </c>
      <c r="Q4" s="4">
        <f>2298-O4-P4</f>
        <v>754</v>
      </c>
      <c r="R4" s="4">
        <f>3123-O4-P4-Q4</f>
        <v>825</v>
      </c>
      <c r="S4" s="4">
        <v>821</v>
      </c>
      <c r="X4" s="4">
        <v>1287</v>
      </c>
      <c r="Y4" s="4">
        <v>1719</v>
      </c>
      <c r="Z4" s="4">
        <v>2208</v>
      </c>
      <c r="AA4" s="4">
        <v>2834</v>
      </c>
      <c r="AB4" s="4">
        <f>SUM(K4:N4)</f>
        <v>2916</v>
      </c>
      <c r="AC4" s="4">
        <f>SUM(O4:R4)</f>
        <v>3123</v>
      </c>
    </row>
    <row r="5" spans="1:48" s="4" customFormat="1" x14ac:dyDescent="0.25">
      <c r="A5" s="4" t="s">
        <v>162</v>
      </c>
      <c r="X5" s="5">
        <f t="shared" ref="X5:AB5" si="0">X10/X4</f>
        <v>0.48457420357420361</v>
      </c>
      <c r="Y5" s="5">
        <f t="shared" si="0"/>
        <v>0.46053519488074468</v>
      </c>
      <c r="Z5" s="5">
        <f t="shared" si="0"/>
        <v>0.44203849637681164</v>
      </c>
      <c r="AA5" s="5">
        <f t="shared" si="0"/>
        <v>0.49501623147494705</v>
      </c>
      <c r="AB5" s="5">
        <f t="shared" si="0"/>
        <v>0.60280967078189307</v>
      </c>
      <c r="AC5" s="5">
        <f>AC10/AC4</f>
        <v>0.56923150816522572</v>
      </c>
    </row>
    <row r="6" spans="1:48" s="6" customFormat="1" ht="14.4" thickBot="1" x14ac:dyDescent="0.3">
      <c r="A6" s="6" t="s">
        <v>50</v>
      </c>
      <c r="E6" s="7"/>
      <c r="F6" s="7"/>
      <c r="G6" s="7">
        <f t="shared" ref="G6:S6" si="1">G4/C4-1</f>
        <v>0.15178571428571419</v>
      </c>
      <c r="H6" s="7">
        <f t="shared" si="1"/>
        <v>0.36889692585895117</v>
      </c>
      <c r="I6" s="7">
        <f t="shared" si="1"/>
        <v>0.18649517684887451</v>
      </c>
      <c r="J6" s="7">
        <f t="shared" si="1"/>
        <v>0.40683760683760695</v>
      </c>
      <c r="K6" s="7">
        <f t="shared" si="1"/>
        <v>0.27519379844961245</v>
      </c>
      <c r="L6" s="7">
        <f t="shared" si="1"/>
        <v>0.1638044914134742</v>
      </c>
      <c r="M6" s="7">
        <f t="shared" si="1"/>
        <v>-0.1192411924119241</v>
      </c>
      <c r="N6" s="7">
        <f t="shared" si="1"/>
        <v>-0.11664641555285538</v>
      </c>
      <c r="O6" s="7">
        <f t="shared" si="1"/>
        <v>0.15653495440729492</v>
      </c>
      <c r="P6" s="7">
        <f t="shared" si="1"/>
        <v>-0.11123723041997735</v>
      </c>
      <c r="Q6" s="7">
        <f t="shared" si="1"/>
        <v>0.15999999999999992</v>
      </c>
      <c r="R6" s="7">
        <f t="shared" si="1"/>
        <v>0.13480055020632742</v>
      </c>
      <c r="S6" s="7">
        <f t="shared" si="1"/>
        <v>7.88436268068331E-2</v>
      </c>
      <c r="Y6" s="7">
        <f>Y4/X4-1</f>
        <v>0.33566433566433562</v>
      </c>
      <c r="Z6" s="7">
        <f>Z4/Y4-1</f>
        <v>0.28446771378708546</v>
      </c>
      <c r="AA6" s="7">
        <f>AA4/Z4-1</f>
        <v>0.28351449275362328</v>
      </c>
      <c r="AB6" s="7">
        <f>AB4/AA4-1</f>
        <v>2.8934368383909614E-2</v>
      </c>
      <c r="AC6" s="7">
        <f>AC4/AB4-1</f>
        <v>7.0987654320987748E-2</v>
      </c>
    </row>
    <row r="7" spans="1:48" s="3" customFormat="1" x14ac:dyDescent="0.25"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AA7" s="8"/>
      <c r="AB7" s="8"/>
      <c r="AC7" s="8"/>
    </row>
    <row r="8" spans="1:48" s="10" customFormat="1" x14ac:dyDescent="0.25">
      <c r="A8" s="9" t="s">
        <v>30</v>
      </c>
      <c r="B8" s="9"/>
      <c r="C8" s="9"/>
      <c r="D8" s="9"/>
      <c r="E8" s="9"/>
      <c r="F8" s="9">
        <v>246.43700000000001</v>
      </c>
      <c r="G8" s="9">
        <v>217.23599999999999</v>
      </c>
      <c r="H8" s="9">
        <v>333.5</v>
      </c>
      <c r="I8" s="9">
        <v>338.9</v>
      </c>
      <c r="J8" s="9">
        <v>420.05099999999999</v>
      </c>
      <c r="K8" s="9">
        <v>364.661</v>
      </c>
      <c r="L8" s="9">
        <v>512.51499999999999</v>
      </c>
      <c r="M8" s="9">
        <v>396.74900000000002</v>
      </c>
      <c r="N8" s="9">
        <v>430.02600000000001</v>
      </c>
      <c r="O8" s="9">
        <v>450.36200000000002</v>
      </c>
      <c r="P8" s="9">
        <v>454.44499999999999</v>
      </c>
      <c r="Q8" s="9">
        <v>415.923</v>
      </c>
      <c r="R8" s="9">
        <v>448.52499999999998</v>
      </c>
      <c r="S8" s="9">
        <v>443.28399999999999</v>
      </c>
      <c r="T8" s="9">
        <f>P8*1.074</f>
        <v>488.07393000000002</v>
      </c>
      <c r="U8" s="9">
        <f>Q8*1.15</f>
        <v>478.31144999999998</v>
      </c>
      <c r="V8" s="9">
        <f>R8*1.15</f>
        <v>515.80374999999992</v>
      </c>
      <c r="W8" s="9"/>
      <c r="X8" s="9">
        <v>578.89300000000003</v>
      </c>
      <c r="Y8" s="9">
        <v>759.83</v>
      </c>
      <c r="Z8" s="9">
        <v>930.17600000000004</v>
      </c>
      <c r="AA8" s="9">
        <f>SUM(G8:J8)</f>
        <v>1309.6869999999999</v>
      </c>
      <c r="AB8" s="9">
        <f>SUM(K8:N8)</f>
        <v>1703.951</v>
      </c>
      <c r="AC8" s="9">
        <f>SUM(O8:R8)</f>
        <v>1769.2550000000001</v>
      </c>
      <c r="AD8" s="10">
        <f>SUM(S8:V8)</f>
        <v>1925.4731299999999</v>
      </c>
      <c r="AE8" s="10">
        <f>AD8*1.083</f>
        <v>2085.2873997899997</v>
      </c>
      <c r="AF8" s="10">
        <f>AE8*1.0172</f>
        <v>2121.1543430663878</v>
      </c>
      <c r="AG8" s="10">
        <f t="shared" ref="AG8:AL8" si="2">AF8*1.0172</f>
        <v>2157.6381977671299</v>
      </c>
      <c r="AH8" s="10">
        <f t="shared" si="2"/>
        <v>2194.7495747687249</v>
      </c>
      <c r="AI8" s="10">
        <f t="shared" si="2"/>
        <v>2232.499267454747</v>
      </c>
      <c r="AJ8" s="10">
        <f t="shared" si="2"/>
        <v>2270.8982548549689</v>
      </c>
      <c r="AK8" s="10">
        <f t="shared" si="2"/>
        <v>2309.9577048384745</v>
      </c>
      <c r="AL8" s="10">
        <f t="shared" si="2"/>
        <v>2349.6889773616963</v>
      </c>
      <c r="AM8" s="10">
        <f>AL8*1.025</f>
        <v>2408.4312017957386</v>
      </c>
      <c r="AN8" s="10">
        <f>AM8*1.025</f>
        <v>2468.6419818406321</v>
      </c>
    </row>
    <row r="9" spans="1:48" s="10" customFormat="1" x14ac:dyDescent="0.25">
      <c r="A9" s="9" t="s">
        <v>31</v>
      </c>
      <c r="B9" s="9"/>
      <c r="C9" s="9"/>
      <c r="D9" s="9"/>
      <c r="E9" s="9"/>
      <c r="F9" s="9">
        <v>7.6630000000000003</v>
      </c>
      <c r="G9" s="9">
        <v>17.242999999999999</v>
      </c>
      <c r="H9" s="9">
        <v>40.305999999999997</v>
      </c>
      <c r="I9" s="9">
        <v>3.44</v>
      </c>
      <c r="J9" s="9">
        <v>32.200000000000003</v>
      </c>
      <c r="K9" s="9">
        <v>28.954999999999998</v>
      </c>
      <c r="L9" s="9">
        <v>12.629</v>
      </c>
      <c r="M9" s="9">
        <v>11.195</v>
      </c>
      <c r="N9" s="9">
        <v>1.0629999999999999</v>
      </c>
      <c r="O9" s="9">
        <v>1.6990000000000001</v>
      </c>
      <c r="P9" s="9">
        <v>1.8440000000000001</v>
      </c>
      <c r="Q9" s="9">
        <v>3.0550000000000002</v>
      </c>
      <c r="R9" s="9">
        <v>1.857</v>
      </c>
      <c r="S9" s="9">
        <v>4.0540000000000003</v>
      </c>
      <c r="T9" s="9">
        <f>P9*1.074</f>
        <v>1.9804560000000002</v>
      </c>
      <c r="U9" s="9">
        <f>Q9*1.15</f>
        <v>3.5132499999999998</v>
      </c>
      <c r="V9" s="9">
        <f>R9*1.15</f>
        <v>2.1355499999999998</v>
      </c>
      <c r="W9" s="9"/>
      <c r="X9" s="9">
        <v>44.753999999999998</v>
      </c>
      <c r="Y9" s="9">
        <v>31.83</v>
      </c>
      <c r="Z9" s="9">
        <v>45.844999999999999</v>
      </c>
      <c r="AA9" s="9">
        <f t="shared" ref="AA9" si="3">SUM(G9:J9)</f>
        <v>93.188999999999993</v>
      </c>
      <c r="AB9" s="9">
        <f>SUM(K9:N9)</f>
        <v>53.841999999999999</v>
      </c>
      <c r="AC9" s="9">
        <f>SUM(O9:R9)</f>
        <v>8.4550000000000001</v>
      </c>
      <c r="AD9" s="10">
        <f>SUM(S9:V9)</f>
        <v>11.683256</v>
      </c>
      <c r="AE9" s="10">
        <f>AD9*1.083</f>
        <v>12.652966248</v>
      </c>
      <c r="AF9" s="10">
        <f>AE9*1.0172</f>
        <v>12.870597267465602</v>
      </c>
      <c r="AG9" s="10">
        <f t="shared" ref="AG9:AL9" si="4">AF9*1.0172</f>
        <v>13.091971540466011</v>
      </c>
      <c r="AH9" s="10">
        <f t="shared" si="4"/>
        <v>13.317153450962028</v>
      </c>
      <c r="AI9" s="10">
        <f t="shared" si="4"/>
        <v>13.546208490318577</v>
      </c>
      <c r="AJ9" s="10">
        <f t="shared" si="4"/>
        <v>13.779203276352058</v>
      </c>
      <c r="AK9" s="10">
        <f t="shared" si="4"/>
        <v>14.016205572705315</v>
      </c>
      <c r="AL9" s="10">
        <f t="shared" si="4"/>
        <v>14.257284308555848</v>
      </c>
      <c r="AM9" s="10">
        <f>AL9*1.025</f>
        <v>14.613716416269742</v>
      </c>
      <c r="AN9" s="10">
        <f>AM9*1.025</f>
        <v>14.979059326676484</v>
      </c>
    </row>
    <row r="10" spans="1:48" s="12" customFormat="1" x14ac:dyDescent="0.25">
      <c r="A10" s="11" t="s">
        <v>32</v>
      </c>
      <c r="B10" s="11"/>
      <c r="C10" s="11"/>
      <c r="D10" s="11"/>
      <c r="E10" s="11"/>
      <c r="F10" s="11">
        <f t="shared" ref="F10:R10" si="5">SUM(F8:F9)</f>
        <v>254.10000000000002</v>
      </c>
      <c r="G10" s="11">
        <f t="shared" si="5"/>
        <v>234.47899999999998</v>
      </c>
      <c r="H10" s="11">
        <f t="shared" si="5"/>
        <v>373.80599999999998</v>
      </c>
      <c r="I10" s="11">
        <f t="shared" si="5"/>
        <v>342.34</v>
      </c>
      <c r="J10" s="11">
        <f t="shared" si="5"/>
        <v>452.25099999999998</v>
      </c>
      <c r="K10" s="11">
        <f t="shared" si="5"/>
        <v>393.61599999999999</v>
      </c>
      <c r="L10" s="11">
        <f t="shared" si="5"/>
        <v>525.14400000000001</v>
      </c>
      <c r="M10" s="11">
        <f t="shared" si="5"/>
        <v>407.94400000000002</v>
      </c>
      <c r="N10" s="11">
        <f t="shared" si="5"/>
        <v>431.089</v>
      </c>
      <c r="O10" s="11">
        <f t="shared" si="5"/>
        <v>452.06100000000004</v>
      </c>
      <c r="P10" s="11">
        <f t="shared" si="5"/>
        <v>456.28899999999999</v>
      </c>
      <c r="Q10" s="11">
        <f t="shared" si="5"/>
        <v>418.97800000000001</v>
      </c>
      <c r="R10" s="11">
        <f t="shared" si="5"/>
        <v>450.38200000000001</v>
      </c>
      <c r="S10" s="11">
        <f t="shared" ref="S10:V10" si="6">SUM(S8:S9)</f>
        <v>447.33799999999997</v>
      </c>
      <c r="T10" s="11">
        <f t="shared" si="6"/>
        <v>490.05438600000002</v>
      </c>
      <c r="U10" s="11">
        <f t="shared" si="6"/>
        <v>481.82470000000001</v>
      </c>
      <c r="V10" s="11">
        <f t="shared" si="6"/>
        <v>517.93929999999989</v>
      </c>
      <c r="W10" s="11"/>
      <c r="X10" s="11">
        <f t="shared" ref="X10:AC10" si="7">SUM(X8:X9)</f>
        <v>623.64700000000005</v>
      </c>
      <c r="Y10" s="11">
        <f t="shared" si="7"/>
        <v>791.66000000000008</v>
      </c>
      <c r="Z10" s="11">
        <f t="shared" si="7"/>
        <v>976.02100000000007</v>
      </c>
      <c r="AA10" s="11">
        <f t="shared" si="7"/>
        <v>1402.876</v>
      </c>
      <c r="AB10" s="11">
        <f t="shared" si="7"/>
        <v>1757.7930000000001</v>
      </c>
      <c r="AC10" s="11">
        <f t="shared" si="7"/>
        <v>1777.71</v>
      </c>
      <c r="AD10" s="12">
        <f>SUM(AD8:AD9)</f>
        <v>1937.1563859999999</v>
      </c>
      <c r="AE10" s="12">
        <f>SUM(AE8:AE9)</f>
        <v>2097.9403660379999</v>
      </c>
      <c r="AF10" s="12">
        <f t="shared" ref="AF10:AN10" si="8">SUM(AF8:AF9)</f>
        <v>2134.0249403338535</v>
      </c>
      <c r="AG10" s="12">
        <f t="shared" si="8"/>
        <v>2170.730169307596</v>
      </c>
      <c r="AH10" s="12">
        <f t="shared" si="8"/>
        <v>2208.0667282196869</v>
      </c>
      <c r="AI10" s="12">
        <f t="shared" si="8"/>
        <v>2246.0454759450658</v>
      </c>
      <c r="AJ10" s="12">
        <f t="shared" si="8"/>
        <v>2284.6774581313207</v>
      </c>
      <c r="AK10" s="12">
        <f t="shared" si="8"/>
        <v>2323.97391041118</v>
      </c>
      <c r="AL10" s="12">
        <f t="shared" si="8"/>
        <v>2363.9462616702522</v>
      </c>
      <c r="AM10" s="12">
        <f t="shared" si="8"/>
        <v>2423.0449182120083</v>
      </c>
      <c r="AN10" s="12">
        <f t="shared" si="8"/>
        <v>2483.6210411673087</v>
      </c>
    </row>
    <row r="11" spans="1:48" s="10" customFormat="1" x14ac:dyDescent="0.25">
      <c r="A11" s="9" t="s">
        <v>33</v>
      </c>
      <c r="B11" s="9"/>
      <c r="C11" s="9"/>
      <c r="D11" s="9"/>
      <c r="E11" s="9"/>
      <c r="F11" s="9">
        <v>184.53399999999999</v>
      </c>
      <c r="G11" s="9">
        <v>162.072</v>
      </c>
      <c r="H11" s="9">
        <v>244.16499999999999</v>
      </c>
      <c r="I11" s="9">
        <v>247.899</v>
      </c>
      <c r="J11" s="9">
        <v>310.22800000000001</v>
      </c>
      <c r="K11" s="9">
        <v>263.43</v>
      </c>
      <c r="L11" s="9">
        <v>347.142</v>
      </c>
      <c r="M11" s="9">
        <v>268.536</v>
      </c>
      <c r="N11" s="9">
        <v>317.80599999999998</v>
      </c>
      <c r="O11" s="9">
        <v>326.12400000000002</v>
      </c>
      <c r="P11" s="9">
        <v>312.02999999999997</v>
      </c>
      <c r="Q11" s="9">
        <v>277.44600000000003</v>
      </c>
      <c r="R11" s="9">
        <v>307.47899999999998</v>
      </c>
      <c r="S11" s="9">
        <v>295.31299999999999</v>
      </c>
      <c r="T11" s="9">
        <f t="shared" ref="T11:V11" si="9">T10*0.69</f>
        <v>338.13752633999997</v>
      </c>
      <c r="U11" s="9">
        <f t="shared" si="9"/>
        <v>332.45904299999995</v>
      </c>
      <c r="V11" s="9">
        <f t="shared" si="9"/>
        <v>357.37811699999992</v>
      </c>
      <c r="W11" s="9"/>
      <c r="X11" s="9">
        <v>433.279</v>
      </c>
      <c r="Y11" s="9">
        <v>597.88400000000001</v>
      </c>
      <c r="Z11" s="9">
        <v>705.86599999999999</v>
      </c>
      <c r="AA11" s="9">
        <f>SUM(G11:J11)</f>
        <v>964.36400000000003</v>
      </c>
      <c r="AB11" s="9">
        <f t="shared" ref="AB11:AB13" si="10">SUM(K11:N11)</f>
        <v>1196.914</v>
      </c>
      <c r="AC11" s="9">
        <f t="shared" ref="AC11:AC13" si="11">SUM(O11:R11)</f>
        <v>1223.079</v>
      </c>
      <c r="AD11" s="10">
        <f t="shared" ref="AD11:AD13" si="12">SUM(S11:V11)</f>
        <v>1323.2876863399997</v>
      </c>
      <c r="AE11" s="10">
        <f>AE8*0.7</f>
        <v>1459.7011798529998</v>
      </c>
      <c r="AF11" s="10">
        <f t="shared" ref="AF11:AN11" si="13">AF8*0.7</f>
        <v>1484.8080401464713</v>
      </c>
      <c r="AG11" s="10">
        <f>AG8*0.69</f>
        <v>1488.7703564593196</v>
      </c>
      <c r="AH11" s="10">
        <f>AH8*0.69</f>
        <v>1514.37720659042</v>
      </c>
      <c r="AI11" s="10">
        <f>AI8*0.695</f>
        <v>1551.5869908810491</v>
      </c>
      <c r="AJ11" s="10">
        <f>AJ8*0.69</f>
        <v>1566.9197958499283</v>
      </c>
      <c r="AK11" s="10">
        <f t="shared" si="13"/>
        <v>1616.9703933869321</v>
      </c>
      <c r="AL11" s="10">
        <f t="shared" si="13"/>
        <v>1644.7822841531872</v>
      </c>
      <c r="AM11" s="10">
        <f t="shared" si="13"/>
        <v>1685.9018412570169</v>
      </c>
      <c r="AN11" s="10">
        <f t="shared" si="13"/>
        <v>1728.0493872884424</v>
      </c>
    </row>
    <row r="12" spans="1:48" s="10" customFormat="1" x14ac:dyDescent="0.25">
      <c r="A12" s="9" t="s">
        <v>34</v>
      </c>
      <c r="B12" s="9"/>
      <c r="C12" s="9"/>
      <c r="D12" s="9"/>
      <c r="E12" s="9"/>
      <c r="F12" s="9">
        <v>5.7119999999999997</v>
      </c>
      <c r="G12" s="9">
        <v>13.417999999999999</v>
      </c>
      <c r="H12" s="9">
        <v>28.664999999999999</v>
      </c>
      <c r="I12" s="9">
        <v>3.105</v>
      </c>
      <c r="J12" s="9">
        <v>31.265000000000001</v>
      </c>
      <c r="K12" s="9">
        <v>21.83</v>
      </c>
      <c r="L12" s="9">
        <v>9.1059999999999999</v>
      </c>
      <c r="M12" s="9">
        <v>6.0890000000000004</v>
      </c>
      <c r="N12" s="9">
        <v>0.82899999999999996</v>
      </c>
      <c r="O12" s="9">
        <v>1.331</v>
      </c>
      <c r="P12" s="9">
        <v>1.3240000000000001</v>
      </c>
      <c r="Q12" s="9">
        <v>2.5190000000000001</v>
      </c>
      <c r="R12" s="9">
        <v>1.2749999999999999</v>
      </c>
      <c r="S12" s="9">
        <v>3.7679999999999998</v>
      </c>
      <c r="T12" s="9">
        <f t="shared" ref="T12:V12" si="14">T9*0.69</f>
        <v>1.3665146400000001</v>
      </c>
      <c r="U12" s="9">
        <f t="shared" si="14"/>
        <v>2.4241424999999999</v>
      </c>
      <c r="V12" s="9">
        <f t="shared" si="14"/>
        <v>1.4735294999999997</v>
      </c>
      <c r="W12" s="9"/>
      <c r="X12" s="9">
        <v>36.165999999999997</v>
      </c>
      <c r="Y12" s="9">
        <v>24.693999999999999</v>
      </c>
      <c r="Z12" s="9">
        <v>35.551000000000002</v>
      </c>
      <c r="AA12" s="9">
        <f>SUM(G12:J12)</f>
        <v>76.453000000000003</v>
      </c>
      <c r="AB12" s="9">
        <f t="shared" si="10"/>
        <v>37.853999999999999</v>
      </c>
      <c r="AC12" s="9">
        <f t="shared" si="11"/>
        <v>6.4489999999999998</v>
      </c>
      <c r="AD12" s="10">
        <f t="shared" si="12"/>
        <v>9.032186639999999</v>
      </c>
      <c r="AE12" s="10">
        <f>AE9*0.7</f>
        <v>8.8570763736</v>
      </c>
      <c r="AF12" s="10">
        <f t="shared" ref="AF12:AN12" si="15">AF9*0.7</f>
        <v>9.0094180872259209</v>
      </c>
      <c r="AG12" s="10">
        <f t="shared" si="15"/>
        <v>9.1643800783262073</v>
      </c>
      <c r="AH12" s="10">
        <f t="shared" si="15"/>
        <v>9.3220074156734185</v>
      </c>
      <c r="AI12" s="10">
        <f t="shared" si="15"/>
        <v>9.4823459432230024</v>
      </c>
      <c r="AJ12" s="10">
        <f t="shared" si="15"/>
        <v>9.6454422934464397</v>
      </c>
      <c r="AK12" s="10">
        <f t="shared" si="15"/>
        <v>9.8113439008937195</v>
      </c>
      <c r="AL12" s="10">
        <f t="shared" si="15"/>
        <v>9.9800990159890937</v>
      </c>
      <c r="AM12" s="10">
        <f t="shared" si="15"/>
        <v>10.229601491388818</v>
      </c>
      <c r="AN12" s="10">
        <f t="shared" si="15"/>
        <v>10.485341528673539</v>
      </c>
    </row>
    <row r="13" spans="1:48" s="10" customFormat="1" x14ac:dyDescent="0.25">
      <c r="A13" s="9" t="s">
        <v>35</v>
      </c>
      <c r="B13" s="9"/>
      <c r="C13" s="9"/>
      <c r="D13" s="9"/>
      <c r="E13" s="9"/>
      <c r="F13" s="9">
        <f t="shared" ref="F13:R13" si="16">SUM(F11:F12)</f>
        <v>190.24599999999998</v>
      </c>
      <c r="G13" s="9">
        <f t="shared" si="16"/>
        <v>175.49</v>
      </c>
      <c r="H13" s="9">
        <f t="shared" si="16"/>
        <v>272.83</v>
      </c>
      <c r="I13" s="9">
        <f t="shared" si="16"/>
        <v>251.00399999999999</v>
      </c>
      <c r="J13" s="9">
        <f t="shared" si="16"/>
        <v>341.49299999999999</v>
      </c>
      <c r="K13" s="9">
        <f t="shared" si="16"/>
        <v>285.26</v>
      </c>
      <c r="L13" s="9">
        <f t="shared" si="16"/>
        <v>356.24799999999999</v>
      </c>
      <c r="M13" s="9">
        <f t="shared" si="16"/>
        <v>274.625</v>
      </c>
      <c r="N13" s="9">
        <f t="shared" si="16"/>
        <v>318.63499999999999</v>
      </c>
      <c r="O13" s="9">
        <f t="shared" si="16"/>
        <v>327.45500000000004</v>
      </c>
      <c r="P13" s="9">
        <f t="shared" si="16"/>
        <v>313.35399999999998</v>
      </c>
      <c r="Q13" s="9">
        <f t="shared" si="16"/>
        <v>279.96500000000003</v>
      </c>
      <c r="R13" s="9">
        <f t="shared" si="16"/>
        <v>308.75399999999996</v>
      </c>
      <c r="S13" s="9">
        <f t="shared" ref="S13:V13" si="17">SUM(S11:S12)</f>
        <v>299.08099999999996</v>
      </c>
      <c r="T13" s="9">
        <f t="shared" si="17"/>
        <v>339.50404097999996</v>
      </c>
      <c r="U13" s="9">
        <f t="shared" si="17"/>
        <v>334.88318549999997</v>
      </c>
      <c r="V13" s="9">
        <f t="shared" si="17"/>
        <v>358.8516464999999</v>
      </c>
      <c r="W13" s="9"/>
      <c r="X13" s="9">
        <f>SUM(X11:X12)</f>
        <v>469.44499999999999</v>
      </c>
      <c r="Y13" s="9">
        <f>SUM(Y11:Y12)</f>
        <v>622.57799999999997</v>
      </c>
      <c r="Z13" s="9">
        <f>SUM(Z11:Z12)</f>
        <v>741.41700000000003</v>
      </c>
      <c r="AA13" s="9">
        <f>SUM(G13:J13)</f>
        <v>1040.817</v>
      </c>
      <c r="AB13" s="9">
        <f t="shared" si="10"/>
        <v>1234.768</v>
      </c>
      <c r="AC13" s="9">
        <f t="shared" si="11"/>
        <v>1229.528</v>
      </c>
      <c r="AD13" s="10">
        <f t="shared" si="12"/>
        <v>1332.3198729799997</v>
      </c>
      <c r="AE13" s="10">
        <f>SUM(AE11:AE12)</f>
        <v>1468.5582562265997</v>
      </c>
      <c r="AF13" s="10">
        <f t="shared" ref="AF13:AN13" si="18">SUM(AF11:AF12)</f>
        <v>1493.8174582336972</v>
      </c>
      <c r="AG13" s="10">
        <f t="shared" si="18"/>
        <v>1497.9347365376459</v>
      </c>
      <c r="AH13" s="10">
        <f t="shared" si="18"/>
        <v>1523.6992140060934</v>
      </c>
      <c r="AI13" s="10">
        <f t="shared" si="18"/>
        <v>1561.0693368242721</v>
      </c>
      <c r="AJ13" s="10">
        <f t="shared" si="18"/>
        <v>1576.5652381433747</v>
      </c>
      <c r="AK13" s="10">
        <f t="shared" si="18"/>
        <v>1626.7817372878258</v>
      </c>
      <c r="AL13" s="10">
        <f t="shared" si="18"/>
        <v>1654.7623831691762</v>
      </c>
      <c r="AM13" s="10">
        <f t="shared" si="18"/>
        <v>1696.1314427484058</v>
      </c>
      <c r="AN13" s="10">
        <f t="shared" si="18"/>
        <v>1738.534728817116</v>
      </c>
    </row>
    <row r="14" spans="1:48" s="12" customFormat="1" x14ac:dyDescent="0.25">
      <c r="A14" s="11" t="s">
        <v>36</v>
      </c>
      <c r="B14" s="11"/>
      <c r="C14" s="11"/>
      <c r="D14" s="11"/>
      <c r="E14" s="11"/>
      <c r="F14" s="11">
        <f t="shared" ref="F14:R14" si="19">F10-F13</f>
        <v>63.854000000000042</v>
      </c>
      <c r="G14" s="11">
        <f t="shared" si="19"/>
        <v>58.988999999999976</v>
      </c>
      <c r="H14" s="11">
        <f t="shared" si="19"/>
        <v>100.976</v>
      </c>
      <c r="I14" s="11">
        <f t="shared" si="19"/>
        <v>91.335999999999984</v>
      </c>
      <c r="J14" s="11">
        <f t="shared" si="19"/>
        <v>110.75799999999998</v>
      </c>
      <c r="K14" s="11">
        <f t="shared" si="19"/>
        <v>108.35599999999999</v>
      </c>
      <c r="L14" s="11">
        <f t="shared" si="19"/>
        <v>168.89600000000002</v>
      </c>
      <c r="M14" s="11">
        <f t="shared" si="19"/>
        <v>133.31900000000002</v>
      </c>
      <c r="N14" s="11">
        <f t="shared" si="19"/>
        <v>112.45400000000001</v>
      </c>
      <c r="O14" s="11">
        <f t="shared" si="19"/>
        <v>124.60599999999999</v>
      </c>
      <c r="P14" s="11">
        <f t="shared" si="19"/>
        <v>142.935</v>
      </c>
      <c r="Q14" s="11">
        <f t="shared" si="19"/>
        <v>139.01299999999998</v>
      </c>
      <c r="R14" s="11">
        <f t="shared" si="19"/>
        <v>141.62800000000004</v>
      </c>
      <c r="S14" s="11">
        <f t="shared" ref="S14:V14" si="20">S10-S13</f>
        <v>148.25700000000001</v>
      </c>
      <c r="T14" s="11">
        <f t="shared" si="20"/>
        <v>150.55034502000007</v>
      </c>
      <c r="U14" s="11">
        <f t="shared" si="20"/>
        <v>146.94151450000004</v>
      </c>
      <c r="V14" s="11">
        <f t="shared" si="20"/>
        <v>159.08765349999999</v>
      </c>
      <c r="W14" s="11"/>
      <c r="X14" s="11">
        <f t="shared" ref="X14:AC14" si="21">X10-X13</f>
        <v>154.20200000000006</v>
      </c>
      <c r="Y14" s="11">
        <f t="shared" si="21"/>
        <v>169.08200000000011</v>
      </c>
      <c r="Z14" s="11">
        <f t="shared" si="21"/>
        <v>234.60400000000004</v>
      </c>
      <c r="AA14" s="11">
        <f t="shared" si="21"/>
        <v>362.05899999999997</v>
      </c>
      <c r="AB14" s="11">
        <f t="shared" si="21"/>
        <v>523.02500000000009</v>
      </c>
      <c r="AC14" s="11">
        <f t="shared" si="21"/>
        <v>548.18200000000002</v>
      </c>
      <c r="AD14" s="11">
        <f t="shared" ref="AD14:AE14" si="22">AD10-AD13</f>
        <v>604.83651302000021</v>
      </c>
      <c r="AE14" s="11">
        <f t="shared" si="22"/>
        <v>629.38210981140014</v>
      </c>
      <c r="AF14" s="11">
        <f t="shared" ref="AF14" si="23">AF10-AF13</f>
        <v>640.20748210015631</v>
      </c>
      <c r="AG14" s="11">
        <f t="shared" ref="AG14" si="24">AG10-AG13</f>
        <v>672.79543276995014</v>
      </c>
      <c r="AH14" s="11">
        <f t="shared" ref="AH14" si="25">AH10-AH13</f>
        <v>684.36751421359349</v>
      </c>
      <c r="AI14" s="11">
        <f t="shared" ref="AI14" si="26">AI10-AI13</f>
        <v>684.97613912079373</v>
      </c>
      <c r="AJ14" s="11">
        <f t="shared" ref="AJ14" si="27">AJ10-AJ13</f>
        <v>708.11221998794599</v>
      </c>
      <c r="AK14" s="11">
        <f t="shared" ref="AK14" si="28">AK10-AK13</f>
        <v>697.19217312335422</v>
      </c>
      <c r="AL14" s="11">
        <f t="shared" ref="AL14" si="29">AL10-AL13</f>
        <v>709.18387850107592</v>
      </c>
      <c r="AM14" s="11">
        <f t="shared" ref="AM14" si="30">AM10-AM13</f>
        <v>726.91347546360248</v>
      </c>
      <c r="AN14" s="11">
        <f t="shared" ref="AN14" si="31">AN10-AN13</f>
        <v>745.08631235019266</v>
      </c>
    </row>
    <row r="15" spans="1:48" s="10" customFormat="1" x14ac:dyDescent="0.25">
      <c r="A15" s="9" t="s">
        <v>37</v>
      </c>
      <c r="B15" s="9"/>
      <c r="C15" s="9"/>
      <c r="D15" s="9"/>
      <c r="E15" s="9"/>
      <c r="F15" s="9">
        <v>30.416</v>
      </c>
      <c r="G15" s="9">
        <v>29.488</v>
      </c>
      <c r="H15" s="9">
        <v>33.984999999999999</v>
      </c>
      <c r="I15" s="9">
        <v>33.709000000000003</v>
      </c>
      <c r="J15" s="9">
        <v>37.087000000000003</v>
      </c>
      <c r="K15" s="9">
        <v>34.265000000000001</v>
      </c>
      <c r="L15" s="9">
        <v>41.798000000000002</v>
      </c>
      <c r="M15" s="9">
        <v>43.250999999999998</v>
      </c>
      <c r="N15" s="9">
        <v>44.628999999999998</v>
      </c>
      <c r="O15" s="9">
        <v>45.945</v>
      </c>
      <c r="P15" s="9">
        <v>49.228999999999999</v>
      </c>
      <c r="Q15" s="9">
        <v>46.884</v>
      </c>
      <c r="R15" s="9">
        <v>50.918999999999997</v>
      </c>
      <c r="S15" s="9">
        <v>50.57</v>
      </c>
      <c r="T15" s="9">
        <f>AVERAGE(P15:S15)</f>
        <v>49.400499999999994</v>
      </c>
      <c r="U15" s="9">
        <f>AVERAGE(Q15:T15)</f>
        <v>49.443374999999996</v>
      </c>
      <c r="V15" s="9">
        <f>AVERAGE(R15:U15)</f>
        <v>50.08321875</v>
      </c>
      <c r="W15" s="9"/>
      <c r="X15" s="9">
        <v>80.039000000000001</v>
      </c>
      <c r="Y15" s="9">
        <v>97.775000000000006</v>
      </c>
      <c r="Z15" s="9">
        <v>112.134</v>
      </c>
      <c r="AA15" s="9">
        <f t="shared" ref="AA15:AA18" si="32">SUM(G15:J15)</f>
        <v>134.26900000000001</v>
      </c>
      <c r="AB15" s="9">
        <f t="shared" ref="AB15:AB18" si="33">SUM(K15:N15)</f>
        <v>163.94299999999998</v>
      </c>
      <c r="AC15" s="9">
        <f t="shared" ref="AC15:AC18" si="34">SUM(O15:R15)</f>
        <v>192.97699999999998</v>
      </c>
      <c r="AD15" s="10">
        <f t="shared" ref="AD15:AD18" si="35">SUM(S15:V15)</f>
        <v>199.49709374999998</v>
      </c>
      <c r="AE15" s="10">
        <f>AE10*0.1</f>
        <v>209.79403660380001</v>
      </c>
      <c r="AF15" s="10">
        <f t="shared" ref="AF15:AN15" si="36">AF10*0.1</f>
        <v>213.40249403338535</v>
      </c>
      <c r="AG15" s="10">
        <f t="shared" si="36"/>
        <v>217.07301693075962</v>
      </c>
      <c r="AH15" s="10">
        <f t="shared" si="36"/>
        <v>220.8066728219687</v>
      </c>
      <c r="AI15" s="10">
        <f t="shared" si="36"/>
        <v>224.60454759450658</v>
      </c>
      <c r="AJ15" s="10">
        <f t="shared" si="36"/>
        <v>228.46774581313207</v>
      </c>
      <c r="AK15" s="10">
        <f t="shared" si="36"/>
        <v>232.397391041118</v>
      </c>
      <c r="AL15" s="10">
        <f t="shared" si="36"/>
        <v>236.39462616702522</v>
      </c>
      <c r="AM15" s="10">
        <f t="shared" si="36"/>
        <v>242.30449182120083</v>
      </c>
      <c r="AN15" s="10">
        <f t="shared" si="36"/>
        <v>248.36210411673088</v>
      </c>
    </row>
    <row r="16" spans="1:48" s="10" customFormat="1" x14ac:dyDescent="0.25">
      <c r="A16" s="9" t="s">
        <v>38</v>
      </c>
      <c r="B16" s="9"/>
      <c r="C16" s="9"/>
      <c r="D16" s="9"/>
      <c r="E16" s="9"/>
      <c r="F16" s="9">
        <v>3.6160000000000001</v>
      </c>
      <c r="G16" s="9">
        <v>3.891</v>
      </c>
      <c r="H16" s="9">
        <v>4.593</v>
      </c>
      <c r="I16" s="9">
        <v>5.5549999999999997</v>
      </c>
      <c r="J16" s="9">
        <v>5.6740000000000004</v>
      </c>
      <c r="K16" s="9">
        <v>5.6870000000000003</v>
      </c>
      <c r="L16" s="9">
        <v>8.5229999999999997</v>
      </c>
      <c r="M16" s="9">
        <v>5.6970000000000001</v>
      </c>
      <c r="N16" s="9">
        <v>5.7190000000000003</v>
      </c>
      <c r="O16" s="9">
        <v>4.2210000000000001</v>
      </c>
      <c r="P16" s="9">
        <v>5.6989999999999998</v>
      </c>
      <c r="Q16" s="9">
        <v>1.345</v>
      </c>
      <c r="R16" s="9">
        <v>5.4770000000000003</v>
      </c>
      <c r="S16" s="9">
        <v>2.5920000000000001</v>
      </c>
      <c r="T16" s="9">
        <f t="shared" ref="T16:V16" si="37">AVERAGE(P16:S16)</f>
        <v>3.7782500000000003</v>
      </c>
      <c r="U16" s="9">
        <f t="shared" si="37"/>
        <v>3.2980624999999999</v>
      </c>
      <c r="V16" s="9">
        <f t="shared" si="37"/>
        <v>3.7863281250000003</v>
      </c>
      <c r="W16" s="9"/>
      <c r="X16" s="9">
        <v>7.2590000000000003</v>
      </c>
      <c r="Y16" s="9">
        <v>9.8089999999999993</v>
      </c>
      <c r="Z16" s="9">
        <v>16.654</v>
      </c>
      <c r="AA16" s="9">
        <f t="shared" si="32"/>
        <v>19.713000000000001</v>
      </c>
      <c r="AB16" s="9">
        <f t="shared" si="33"/>
        <v>25.626000000000001</v>
      </c>
      <c r="AC16" s="9">
        <f t="shared" si="34"/>
        <v>16.742000000000001</v>
      </c>
      <c r="AD16" s="10">
        <f t="shared" si="35"/>
        <v>13.454640625000001</v>
      </c>
      <c r="AE16" s="10">
        <f>AVERAGE(X16:AD16)</f>
        <v>15.608234374999999</v>
      </c>
      <c r="AF16" s="10">
        <f t="shared" ref="AF16:AN16" si="38">AVERAGE(Y16:AE16)</f>
        <v>16.800982142857144</v>
      </c>
      <c r="AG16" s="10">
        <f t="shared" si="38"/>
        <v>17.79983673469388</v>
      </c>
      <c r="AH16" s="10">
        <f t="shared" si="38"/>
        <v>17.963527696793001</v>
      </c>
      <c r="AI16" s="10">
        <f t="shared" si="38"/>
        <v>17.713603082049143</v>
      </c>
      <c r="AJ16" s="10">
        <f t="shared" si="38"/>
        <v>16.583260665199024</v>
      </c>
      <c r="AK16" s="10">
        <f t="shared" si="38"/>
        <v>16.560583617370312</v>
      </c>
      <c r="AL16" s="10">
        <f t="shared" si="38"/>
        <v>17.0042897591375</v>
      </c>
      <c r="AM16" s="10">
        <f t="shared" si="38"/>
        <v>17.203726242585713</v>
      </c>
      <c r="AN16" s="10">
        <f t="shared" si="38"/>
        <v>17.261261113975511</v>
      </c>
    </row>
    <row r="17" spans="1:193" s="10" customFormat="1" x14ac:dyDescent="0.25">
      <c r="A17" s="9" t="s">
        <v>47</v>
      </c>
      <c r="B17" s="9"/>
      <c r="C17" s="9"/>
      <c r="D17" s="9"/>
      <c r="E17" s="9"/>
      <c r="F17" s="9">
        <v>-0.158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ref="T17:V17" si="39">AVERAGE(P17:S17)</f>
        <v>0</v>
      </c>
      <c r="U17" s="9">
        <f t="shared" si="39"/>
        <v>0</v>
      </c>
      <c r="V17" s="9">
        <f t="shared" si="39"/>
        <v>0</v>
      </c>
      <c r="W17" s="9"/>
      <c r="X17" s="9">
        <v>-1.6930000000000001</v>
      </c>
      <c r="Y17" s="9">
        <v>-4.9059999999999997</v>
      </c>
      <c r="Z17" s="9">
        <v>-0.36799999999999999</v>
      </c>
      <c r="AA17" s="9">
        <f t="shared" si="32"/>
        <v>0</v>
      </c>
      <c r="AB17" s="9">
        <f t="shared" si="33"/>
        <v>0</v>
      </c>
      <c r="AC17" s="9">
        <f t="shared" si="34"/>
        <v>0</v>
      </c>
      <c r="AD17" s="10">
        <f t="shared" si="35"/>
        <v>0</v>
      </c>
      <c r="AE17" s="10">
        <f>AVERAGE(X17:AD17)</f>
        <v>-0.99528571428571433</v>
      </c>
      <c r="AF17" s="10">
        <f t="shared" ref="AF17:AN17" si="40">AVERAGE(Y17:AE17)</f>
        <v>-0.89561224489795921</v>
      </c>
      <c r="AG17" s="10">
        <f t="shared" si="40"/>
        <v>-0.3226997084548105</v>
      </c>
      <c r="AH17" s="10">
        <f t="shared" si="40"/>
        <v>-0.31622823823406915</v>
      </c>
      <c r="AI17" s="10">
        <f t="shared" si="40"/>
        <v>-0.36140370083893619</v>
      </c>
      <c r="AJ17" s="10">
        <f t="shared" si="40"/>
        <v>-0.4130328009587842</v>
      </c>
      <c r="AK17" s="10">
        <f t="shared" si="40"/>
        <v>-0.4720374868100391</v>
      </c>
      <c r="AL17" s="10">
        <f t="shared" si="40"/>
        <v>-0.53947141349718752</v>
      </c>
      <c r="AM17" s="10">
        <f t="shared" si="40"/>
        <v>-0.47435508481311223</v>
      </c>
      <c r="AN17" s="10">
        <f t="shared" si="40"/>
        <v>-0.41417549051527697</v>
      </c>
    </row>
    <row r="18" spans="1:193" s="10" customFormat="1" x14ac:dyDescent="0.25">
      <c r="A18" s="9" t="s">
        <v>39</v>
      </c>
      <c r="B18" s="9"/>
      <c r="C18" s="9"/>
      <c r="D18" s="9"/>
      <c r="E18" s="9"/>
      <c r="F18" s="9">
        <v>1.0529999999999999</v>
      </c>
      <c r="G18" s="9">
        <v>1.87</v>
      </c>
      <c r="H18" s="9">
        <v>2.3929999999999998</v>
      </c>
      <c r="I18" s="9">
        <v>1.976</v>
      </c>
      <c r="J18" s="9">
        <v>3.2440000000000002</v>
      </c>
      <c r="K18" s="9">
        <v>2.855</v>
      </c>
      <c r="L18" s="9">
        <v>2.661</v>
      </c>
      <c r="M18" s="9">
        <v>1.831</v>
      </c>
      <c r="N18" s="9">
        <v>4.41</v>
      </c>
      <c r="O18" s="9">
        <v>4.29</v>
      </c>
      <c r="P18" s="9">
        <v>4.8070000000000004</v>
      </c>
      <c r="Q18" s="9">
        <v>4.6120000000000001</v>
      </c>
      <c r="R18" s="9">
        <v>5.657</v>
      </c>
      <c r="S18" s="9">
        <v>15.353999999999999</v>
      </c>
      <c r="T18" s="9">
        <f t="shared" ref="T18:V18" si="41">AVERAGE(P18:S18)</f>
        <v>7.6074999999999999</v>
      </c>
      <c r="U18" s="9">
        <f t="shared" si="41"/>
        <v>8.3076249999999998</v>
      </c>
      <c r="V18" s="9">
        <f t="shared" si="41"/>
        <v>9.2315312499999997</v>
      </c>
      <c r="W18" s="9"/>
      <c r="X18" s="9">
        <v>1.9419999999999999</v>
      </c>
      <c r="Y18" s="9">
        <v>8.1189999999999998</v>
      </c>
      <c r="Z18" s="9">
        <v>4.0570000000000004</v>
      </c>
      <c r="AA18" s="9">
        <f t="shared" si="32"/>
        <v>9.4830000000000005</v>
      </c>
      <c r="AB18" s="9">
        <f t="shared" si="33"/>
        <v>11.757</v>
      </c>
      <c r="AC18" s="9">
        <f t="shared" si="34"/>
        <v>19.366</v>
      </c>
      <c r="AD18" s="10">
        <f t="shared" si="35"/>
        <v>40.500656250000006</v>
      </c>
      <c r="AE18" s="10">
        <f>AVERAGE(X18:AD18)</f>
        <v>13.603522321428573</v>
      </c>
      <c r="AF18" s="10">
        <f t="shared" ref="AF18:AN18" si="42">AVERAGE(Y18:AE18)</f>
        <v>15.269454081632654</v>
      </c>
      <c r="AG18" s="10">
        <f t="shared" si="42"/>
        <v>16.290947521865892</v>
      </c>
      <c r="AH18" s="10">
        <f t="shared" si="42"/>
        <v>18.038654310703876</v>
      </c>
      <c r="AI18" s="10">
        <f t="shared" si="42"/>
        <v>19.26089064080443</v>
      </c>
      <c r="AJ18" s="10">
        <f t="shared" si="42"/>
        <v>20.332875018062204</v>
      </c>
      <c r="AK18" s="10">
        <f t="shared" si="42"/>
        <v>20.471000020642521</v>
      </c>
      <c r="AL18" s="10">
        <f t="shared" si="42"/>
        <v>17.609620559305736</v>
      </c>
      <c r="AM18" s="10">
        <f t="shared" si="42"/>
        <v>18.181920307573904</v>
      </c>
      <c r="AN18" s="10">
        <f t="shared" si="42"/>
        <v>18.597986911279797</v>
      </c>
    </row>
    <row r="19" spans="1:193" s="12" customFormat="1" x14ac:dyDescent="0.25">
      <c r="A19" s="11" t="s">
        <v>40</v>
      </c>
      <c r="B19" s="11"/>
      <c r="C19" s="11"/>
      <c r="D19" s="11"/>
      <c r="E19" s="11"/>
      <c r="F19" s="11">
        <f>F14-F15+F16+F18+F17</f>
        <v>37.949000000000041</v>
      </c>
      <c r="G19" s="11">
        <f t="shared" ref="G19:R19" si="43">G14-G15+G16+G18</f>
        <v>35.261999999999972</v>
      </c>
      <c r="H19" s="11">
        <f t="shared" si="43"/>
        <v>73.977000000000004</v>
      </c>
      <c r="I19" s="11">
        <f t="shared" si="43"/>
        <v>65.157999999999987</v>
      </c>
      <c r="J19" s="11">
        <f t="shared" si="43"/>
        <v>82.588999999999984</v>
      </c>
      <c r="K19" s="11">
        <f t="shared" si="43"/>
        <v>82.632999999999996</v>
      </c>
      <c r="L19" s="11">
        <f t="shared" si="43"/>
        <v>138.28200000000001</v>
      </c>
      <c r="M19" s="11">
        <f t="shared" si="43"/>
        <v>97.596000000000018</v>
      </c>
      <c r="N19" s="11">
        <f t="shared" si="43"/>
        <v>77.954000000000008</v>
      </c>
      <c r="O19" s="11">
        <f t="shared" si="43"/>
        <v>87.172000000000011</v>
      </c>
      <c r="P19" s="11">
        <f t="shared" si="43"/>
        <v>104.212</v>
      </c>
      <c r="Q19" s="11">
        <f t="shared" si="43"/>
        <v>98.08599999999997</v>
      </c>
      <c r="R19" s="11">
        <f t="shared" si="43"/>
        <v>101.84300000000005</v>
      </c>
      <c r="S19" s="11">
        <f t="shared" ref="S19:V19" si="44">S14-S15+S16+S18</f>
        <v>115.63300000000001</v>
      </c>
      <c r="T19" s="11">
        <f t="shared" si="44"/>
        <v>112.53559502000007</v>
      </c>
      <c r="U19" s="11">
        <f t="shared" si="44"/>
        <v>109.10382700000004</v>
      </c>
      <c r="V19" s="11">
        <f t="shared" si="44"/>
        <v>122.02229412499999</v>
      </c>
      <c r="W19" s="11"/>
      <c r="X19" s="11">
        <f>X14-X15+X16+X18+X17</f>
        <v>81.671000000000049</v>
      </c>
      <c r="Y19" s="11">
        <f>Y14-Y15+Y16+Y18+Y17</f>
        <v>84.329000000000093</v>
      </c>
      <c r="Z19" s="11">
        <f t="shared" ref="Z19:AB19" si="45">Z14-Z15+Z16+Z18</f>
        <v>143.18100000000004</v>
      </c>
      <c r="AA19" s="11">
        <f t="shared" si="45"/>
        <v>256.98599999999993</v>
      </c>
      <c r="AB19" s="11">
        <f t="shared" si="45"/>
        <v>396.46500000000009</v>
      </c>
      <c r="AC19" s="11">
        <f>AC14-AC15+AC16+AC18</f>
        <v>391.31300000000005</v>
      </c>
      <c r="AD19" s="11">
        <f t="shared" ref="AD19:AE19" si="46">AD14-AD15+AD16+AD18</f>
        <v>459.29471614500028</v>
      </c>
      <c r="AE19" s="11">
        <f t="shared" si="46"/>
        <v>448.79982990402868</v>
      </c>
      <c r="AF19" s="11">
        <f t="shared" ref="AF19" si="47">AF14-AF15+AF16+AF18</f>
        <v>458.8754242912608</v>
      </c>
      <c r="AG19" s="11">
        <f t="shared" ref="AG19" si="48">AG14-AG15+AG16+AG18</f>
        <v>489.81320009575029</v>
      </c>
      <c r="AH19" s="11">
        <f t="shared" ref="AH19" si="49">AH14-AH15+AH16+AH18</f>
        <v>499.56302339912162</v>
      </c>
      <c r="AI19" s="11">
        <f t="shared" ref="AI19" si="50">AI14-AI15+AI16+AI18</f>
        <v>497.34608524914069</v>
      </c>
      <c r="AJ19" s="11">
        <f t="shared" ref="AJ19" si="51">AJ14-AJ15+AJ16+AJ18</f>
        <v>516.56060985807517</v>
      </c>
      <c r="AK19" s="11">
        <f t="shared" ref="AK19" si="52">AK14-AK15+AK16+AK18</f>
        <v>501.82636572024904</v>
      </c>
      <c r="AL19" s="11">
        <f t="shared" ref="AL19" si="53">AL14-AL15+AL16+AL18</f>
        <v>507.40316265249396</v>
      </c>
      <c r="AM19" s="11">
        <f t="shared" ref="AM19" si="54">AM14-AM15+AM16+AM18</f>
        <v>519.99463019256132</v>
      </c>
      <c r="AN19" s="11">
        <f t="shared" ref="AN19" si="55">AN14-AN15+AN16+AN18</f>
        <v>532.58345625871709</v>
      </c>
    </row>
    <row r="20" spans="1:193" s="10" customFormat="1" x14ac:dyDescent="0.25">
      <c r="A20" s="9" t="s">
        <v>41</v>
      </c>
      <c r="B20" s="9"/>
      <c r="C20" s="9"/>
      <c r="D20" s="9"/>
      <c r="E20" s="9"/>
      <c r="F20" s="9">
        <v>7.6589999999999998</v>
      </c>
      <c r="G20" s="9">
        <v>7.5010000000000003</v>
      </c>
      <c r="H20" s="9">
        <v>15.694000000000001</v>
      </c>
      <c r="I20" s="9">
        <v>13.898</v>
      </c>
      <c r="J20" s="9">
        <v>15.512</v>
      </c>
      <c r="K20" s="9">
        <v>18.437000000000001</v>
      </c>
      <c r="L20" s="9">
        <v>30.277999999999999</v>
      </c>
      <c r="M20" s="9">
        <v>16.963000000000001</v>
      </c>
      <c r="N20" s="9">
        <v>16.79</v>
      </c>
      <c r="O20" s="9">
        <v>19.030999999999999</v>
      </c>
      <c r="P20" s="9">
        <v>23.148</v>
      </c>
      <c r="Q20" s="9">
        <v>20.975000000000001</v>
      </c>
      <c r="R20" s="9">
        <v>21.484000000000002</v>
      </c>
      <c r="S20" s="9">
        <v>24.841999999999999</v>
      </c>
      <c r="T20" s="9">
        <f t="shared" ref="T20:V20" si="56">T19*0.22</f>
        <v>24.757830904400016</v>
      </c>
      <c r="U20" s="9">
        <f t="shared" si="56"/>
        <v>24.002841940000007</v>
      </c>
      <c r="V20" s="9">
        <f t="shared" si="56"/>
        <v>26.844904707499996</v>
      </c>
      <c r="W20" s="9"/>
      <c r="X20" s="9">
        <v>17.135999999999999</v>
      </c>
      <c r="Y20" s="9">
        <v>20.027000000000001</v>
      </c>
      <c r="Z20" s="9">
        <v>25.015999999999998</v>
      </c>
      <c r="AA20" s="9">
        <f t="shared" ref="AA20:AA24" si="57">SUM(G20:J20)</f>
        <v>52.605000000000004</v>
      </c>
      <c r="AB20" s="9">
        <f t="shared" ref="AB20:AB22" si="58">SUM(K20:N20)</f>
        <v>82.467999999999989</v>
      </c>
      <c r="AC20" s="9">
        <f t="shared" ref="AC20:AC22" si="59">SUM(O20:R20)</f>
        <v>84.638000000000005</v>
      </c>
      <c r="AD20" s="10">
        <f t="shared" ref="AD20:AD22" si="60">SUM(S20:V20)</f>
        <v>100.44757755190001</v>
      </c>
      <c r="AE20" s="10">
        <f>AE19*0.21</f>
        <v>94.247964279846016</v>
      </c>
      <c r="AF20" s="10">
        <f t="shared" ref="AF20:AN20" si="61">AF19*0.21</f>
        <v>96.363839101164771</v>
      </c>
      <c r="AG20" s="10">
        <f t="shared" si="61"/>
        <v>102.86077202010756</v>
      </c>
      <c r="AH20" s="10">
        <f t="shared" si="61"/>
        <v>104.90823491381553</v>
      </c>
      <c r="AI20" s="10">
        <f t="shared" si="61"/>
        <v>104.44267790231955</v>
      </c>
      <c r="AJ20" s="10">
        <f t="shared" si="61"/>
        <v>108.47772807019578</v>
      </c>
      <c r="AK20" s="10">
        <f t="shared" si="61"/>
        <v>105.38353680125229</v>
      </c>
      <c r="AL20" s="10">
        <f t="shared" si="61"/>
        <v>106.55466415702372</v>
      </c>
      <c r="AM20" s="10">
        <f t="shared" si="61"/>
        <v>109.19887234043787</v>
      </c>
      <c r="AN20" s="10">
        <f t="shared" si="61"/>
        <v>111.84252581433059</v>
      </c>
    </row>
    <row r="21" spans="1:193" s="10" customFormat="1" x14ac:dyDescent="0.25">
      <c r="A21" s="9" t="s">
        <v>42</v>
      </c>
      <c r="B21" s="9"/>
      <c r="C21" s="9"/>
      <c r="D21" s="9"/>
      <c r="E21" s="9"/>
      <c r="F21" s="9">
        <f t="shared" ref="F21:R21" si="62">F19-F20</f>
        <v>30.290000000000042</v>
      </c>
      <c r="G21" s="9">
        <f t="shared" si="62"/>
        <v>27.760999999999971</v>
      </c>
      <c r="H21" s="9">
        <f t="shared" si="62"/>
        <v>58.283000000000001</v>
      </c>
      <c r="I21" s="9">
        <f t="shared" si="62"/>
        <v>51.259999999999991</v>
      </c>
      <c r="J21" s="9">
        <f t="shared" si="62"/>
        <v>67.076999999999984</v>
      </c>
      <c r="K21" s="9">
        <f t="shared" si="62"/>
        <v>64.195999999999998</v>
      </c>
      <c r="L21" s="9">
        <f t="shared" si="62"/>
        <v>108.00400000000002</v>
      </c>
      <c r="M21" s="9">
        <f t="shared" si="62"/>
        <v>80.63300000000001</v>
      </c>
      <c r="N21" s="9">
        <f t="shared" si="62"/>
        <v>61.164000000000009</v>
      </c>
      <c r="O21" s="9">
        <f t="shared" si="62"/>
        <v>68.14100000000002</v>
      </c>
      <c r="P21" s="9">
        <f t="shared" si="62"/>
        <v>81.064000000000007</v>
      </c>
      <c r="Q21" s="9">
        <f t="shared" si="62"/>
        <v>77.110999999999962</v>
      </c>
      <c r="R21" s="9">
        <f t="shared" si="62"/>
        <v>80.359000000000037</v>
      </c>
      <c r="S21" s="9">
        <f t="shared" ref="S21:V21" si="63">S19-S20</f>
        <v>90.791000000000011</v>
      </c>
      <c r="T21" s="9">
        <f t="shared" si="63"/>
        <v>87.777764115600064</v>
      </c>
      <c r="U21" s="9">
        <f t="shared" si="63"/>
        <v>85.100985060000028</v>
      </c>
      <c r="V21" s="9">
        <f t="shared" si="63"/>
        <v>95.177389417499995</v>
      </c>
      <c r="W21" s="9"/>
      <c r="X21" s="9">
        <f>X19-X20</f>
        <v>64.535000000000053</v>
      </c>
      <c r="Y21" s="9">
        <f>Y19-Y20</f>
        <v>64.302000000000092</v>
      </c>
      <c r="Z21" s="9">
        <f>Z19-Z20</f>
        <v>118.16500000000005</v>
      </c>
      <c r="AA21" s="9">
        <f t="shared" si="57"/>
        <v>204.38099999999997</v>
      </c>
      <c r="AB21" s="9">
        <f t="shared" si="58"/>
        <v>313.99700000000001</v>
      </c>
      <c r="AC21" s="9">
        <f t="shared" si="59"/>
        <v>306.67500000000007</v>
      </c>
      <c r="AD21" s="10">
        <f t="shared" si="60"/>
        <v>358.84713859310011</v>
      </c>
      <c r="AE21" s="9">
        <f t="shared" ref="AE21" si="64">AE19-AE20</f>
        <v>354.55186562418265</v>
      </c>
      <c r="AF21" s="9">
        <f t="shared" ref="AF21" si="65">AF19-AF20</f>
        <v>362.51158519009601</v>
      </c>
      <c r="AG21" s="9">
        <f t="shared" ref="AG21" si="66">AG19-AG20</f>
        <v>386.95242807564273</v>
      </c>
      <c r="AH21" s="9">
        <f t="shared" ref="AH21" si="67">AH19-AH20</f>
        <v>394.65478848530609</v>
      </c>
      <c r="AI21" s="9">
        <f t="shared" ref="AI21" si="68">AI19-AI20</f>
        <v>392.90340734682115</v>
      </c>
      <c r="AJ21" s="9">
        <f t="shared" ref="AJ21" si="69">AJ19-AJ20</f>
        <v>408.08288178787939</v>
      </c>
      <c r="AK21" s="9">
        <f t="shared" ref="AK21" si="70">AK19-AK20</f>
        <v>396.44282891899672</v>
      </c>
      <c r="AL21" s="9">
        <f t="shared" ref="AL21" si="71">AL19-AL20</f>
        <v>400.84849849547027</v>
      </c>
      <c r="AM21" s="9">
        <f t="shared" ref="AM21" si="72">AM19-AM20</f>
        <v>410.79575785212342</v>
      </c>
      <c r="AN21" s="9">
        <f t="shared" ref="AN21" si="73">AN19-AN20</f>
        <v>420.74093044438649</v>
      </c>
    </row>
    <row r="22" spans="1:193" s="10" customFormat="1" x14ac:dyDescent="0.25">
      <c r="A22" s="9" t="s">
        <v>43</v>
      </c>
      <c r="B22" s="9"/>
      <c r="C22" s="9"/>
      <c r="D22" s="9"/>
      <c r="E22" s="9"/>
      <c r="F22" s="9">
        <v>0.98</v>
      </c>
      <c r="G22" s="9">
        <v>1.792</v>
      </c>
      <c r="H22" s="9">
        <v>6.02</v>
      </c>
      <c r="I22" s="9">
        <v>2.7530000000000001</v>
      </c>
      <c r="J22" s="9">
        <v>3.6059999999999999</v>
      </c>
      <c r="K22" s="9">
        <v>2.6190000000000002</v>
      </c>
      <c r="L22" s="9">
        <v>6.7480000000000002</v>
      </c>
      <c r="M22" s="9">
        <v>7.1130000000000004</v>
      </c>
      <c r="N22" s="9">
        <v>5.617</v>
      </c>
      <c r="O22" s="9">
        <v>3.9609999999999999</v>
      </c>
      <c r="P22" s="9">
        <v>5.7939999999999996</v>
      </c>
      <c r="Q22" s="9">
        <v>4.9550000000000001</v>
      </c>
      <c r="R22" s="9">
        <v>7.3390000000000004</v>
      </c>
      <c r="S22" s="9">
        <v>7.49</v>
      </c>
      <c r="T22" s="9">
        <f t="shared" ref="T22:V22" si="74">AVERAGE(P22:S22)</f>
        <v>6.3945000000000007</v>
      </c>
      <c r="U22" s="9">
        <f t="shared" si="74"/>
        <v>6.5446249999999999</v>
      </c>
      <c r="V22" s="9">
        <f t="shared" si="74"/>
        <v>6.9420312500000003</v>
      </c>
      <c r="W22" s="9"/>
      <c r="X22" s="9">
        <v>12.912000000000001</v>
      </c>
      <c r="Y22" s="9">
        <v>5.6459999999999999</v>
      </c>
      <c r="Z22" s="9">
        <v>4.1040000000000001</v>
      </c>
      <c r="AA22" s="9">
        <f t="shared" si="57"/>
        <v>14.170999999999999</v>
      </c>
      <c r="AB22" s="9">
        <f t="shared" si="58"/>
        <v>22.097000000000001</v>
      </c>
      <c r="AC22" s="9">
        <f t="shared" si="59"/>
        <v>22.048999999999999</v>
      </c>
      <c r="AD22" s="10">
        <f t="shared" si="60"/>
        <v>27.371156249999999</v>
      </c>
      <c r="AE22" s="9">
        <f t="shared" ref="AE22" si="75">AVERAGE(AA22:AD22)</f>
        <v>21.422039062499998</v>
      </c>
      <c r="AF22" s="9">
        <f t="shared" ref="AF22" si="76">AVERAGE(AB22:AE22)</f>
        <v>23.234798828125001</v>
      </c>
      <c r="AG22" s="9">
        <f t="shared" ref="AG22" si="77">AVERAGE(AC22:AF22)</f>
        <v>23.519248535156251</v>
      </c>
      <c r="AH22" s="9">
        <f t="shared" ref="AH22" si="78">AVERAGE(AD22:AG22)</f>
        <v>23.886810668945312</v>
      </c>
      <c r="AI22" s="9">
        <f t="shared" ref="AI22" si="79">AVERAGE(AE22:AH22)</f>
        <v>23.015724273681641</v>
      </c>
      <c r="AJ22" s="9">
        <f t="shared" ref="AJ22" si="80">AVERAGE(AF22:AI22)</f>
        <v>23.414145576477051</v>
      </c>
      <c r="AK22" s="9">
        <f t="shared" ref="AK22" si="81">AVERAGE(AG22:AJ22)</f>
        <v>23.458982263565066</v>
      </c>
      <c r="AL22" s="9">
        <f t="shared" ref="AL22" si="82">AVERAGE(AH22:AK22)</f>
        <v>23.443915695667268</v>
      </c>
      <c r="AM22" s="9">
        <f t="shared" ref="AM22" si="83">AVERAGE(AI22:AL22)</f>
        <v>23.333191952347757</v>
      </c>
      <c r="AN22" s="9">
        <f t="shared" ref="AN22" si="84">AVERAGE(AJ22:AM22)</f>
        <v>23.412558872014287</v>
      </c>
    </row>
    <row r="23" spans="1:193" s="12" customFormat="1" x14ac:dyDescent="0.25">
      <c r="A23" s="11" t="s">
        <v>44</v>
      </c>
      <c r="B23" s="11"/>
      <c r="C23" s="11"/>
      <c r="D23" s="11"/>
      <c r="E23" s="11"/>
      <c r="F23" s="11">
        <f t="shared" ref="F23:R23" si="85">F21-F22</f>
        <v>29.310000000000041</v>
      </c>
      <c r="G23" s="11">
        <f t="shared" si="85"/>
        <v>25.968999999999969</v>
      </c>
      <c r="H23" s="11">
        <f t="shared" si="85"/>
        <v>52.263000000000005</v>
      </c>
      <c r="I23" s="11">
        <f t="shared" si="85"/>
        <v>48.506999999999991</v>
      </c>
      <c r="J23" s="11">
        <f t="shared" si="85"/>
        <v>63.470999999999982</v>
      </c>
      <c r="K23" s="11">
        <f t="shared" si="85"/>
        <v>61.576999999999998</v>
      </c>
      <c r="L23" s="11">
        <f t="shared" si="85"/>
        <v>101.25600000000001</v>
      </c>
      <c r="M23" s="11">
        <f t="shared" si="85"/>
        <v>73.52000000000001</v>
      </c>
      <c r="N23" s="11">
        <f t="shared" si="85"/>
        <v>55.547000000000011</v>
      </c>
      <c r="O23" s="11">
        <f t="shared" si="85"/>
        <v>64.180000000000021</v>
      </c>
      <c r="P23" s="11">
        <f t="shared" si="85"/>
        <v>75.27000000000001</v>
      </c>
      <c r="Q23" s="11">
        <f t="shared" si="85"/>
        <v>72.155999999999963</v>
      </c>
      <c r="R23" s="11">
        <f t="shared" si="85"/>
        <v>73.020000000000039</v>
      </c>
      <c r="S23" s="11">
        <f t="shared" ref="S23:V23" si="86">S21-S22</f>
        <v>83.301000000000016</v>
      </c>
      <c r="T23" s="11">
        <f t="shared" si="86"/>
        <v>81.38326411560007</v>
      </c>
      <c r="U23" s="11">
        <f t="shared" si="86"/>
        <v>78.556360060000031</v>
      </c>
      <c r="V23" s="11">
        <f t="shared" si="86"/>
        <v>88.235358167499996</v>
      </c>
      <c r="W23" s="11"/>
      <c r="X23" s="11">
        <f t="shared" ref="X23:AB23" si="87">X21-X22</f>
        <v>51.623000000000054</v>
      </c>
      <c r="Y23" s="11">
        <f t="shared" si="87"/>
        <v>58.656000000000091</v>
      </c>
      <c r="Z23" s="11">
        <f t="shared" si="87"/>
        <v>114.06100000000005</v>
      </c>
      <c r="AA23" s="11">
        <f t="shared" si="87"/>
        <v>190.20999999999998</v>
      </c>
      <c r="AB23" s="11">
        <f t="shared" si="87"/>
        <v>291.90000000000003</v>
      </c>
      <c r="AC23" s="11">
        <f>AC21-AC22</f>
        <v>284.62600000000009</v>
      </c>
      <c r="AD23" s="11">
        <f t="shared" ref="AD23:AE23" si="88">AD21-AD22</f>
        <v>331.4759823431001</v>
      </c>
      <c r="AE23" s="11">
        <f t="shared" si="88"/>
        <v>333.12982656168265</v>
      </c>
      <c r="AF23" s="11">
        <f t="shared" ref="AF23" si="89">AF21-AF22</f>
        <v>339.27678636197101</v>
      </c>
      <c r="AG23" s="11">
        <f t="shared" ref="AG23" si="90">AG21-AG22</f>
        <v>363.43317954048649</v>
      </c>
      <c r="AH23" s="11">
        <f t="shared" ref="AH23" si="91">AH21-AH22</f>
        <v>370.76797781636077</v>
      </c>
      <c r="AI23" s="11">
        <f t="shared" ref="AI23" si="92">AI21-AI22</f>
        <v>369.8876830731395</v>
      </c>
      <c r="AJ23" s="11">
        <f t="shared" ref="AJ23" si="93">AJ21-AJ22</f>
        <v>384.66873621140235</v>
      </c>
      <c r="AK23" s="11">
        <f t="shared" ref="AK23" si="94">AK21-AK22</f>
        <v>372.98384665543165</v>
      </c>
      <c r="AL23" s="11">
        <f t="shared" ref="AL23" si="95">AL21-AL22</f>
        <v>377.40458279980299</v>
      </c>
      <c r="AM23" s="11">
        <f t="shared" ref="AM23" si="96">AM21-AM22</f>
        <v>387.46256589977565</v>
      </c>
      <c r="AN23" s="11">
        <f t="shared" ref="AN23" si="97">AN21-AN22</f>
        <v>397.32837157237219</v>
      </c>
      <c r="AO23" s="12">
        <f>AN23*(1+$AQ$24)</f>
        <v>393.35508785664848</v>
      </c>
      <c r="AP23" s="12">
        <f t="shared" ref="AP23:DA23" si="98">AO23*(1+$AQ$24)</f>
        <v>389.42153697808197</v>
      </c>
      <c r="AQ23" s="12">
        <f t="shared" si="98"/>
        <v>385.52732160830118</v>
      </c>
      <c r="AR23" s="12">
        <f t="shared" si="98"/>
        <v>381.67204839221819</v>
      </c>
      <c r="AS23" s="12">
        <f t="shared" si="98"/>
        <v>377.85532790829598</v>
      </c>
      <c r="AT23" s="12">
        <f t="shared" si="98"/>
        <v>374.07677462921299</v>
      </c>
      <c r="AU23" s="12">
        <f t="shared" si="98"/>
        <v>370.33600688292086</v>
      </c>
      <c r="AV23" s="12">
        <f t="shared" si="98"/>
        <v>366.63264681409163</v>
      </c>
      <c r="AW23" s="12">
        <f t="shared" si="98"/>
        <v>362.96632034595069</v>
      </c>
      <c r="AX23" s="12">
        <f t="shared" si="98"/>
        <v>359.33665714249116</v>
      </c>
      <c r="AY23" s="12">
        <f t="shared" si="98"/>
        <v>355.74329057106627</v>
      </c>
      <c r="AZ23" s="12">
        <f t="shared" si="98"/>
        <v>352.18585766535563</v>
      </c>
      <c r="BA23" s="12">
        <f t="shared" si="98"/>
        <v>348.66399908870204</v>
      </c>
      <c r="BB23" s="12">
        <f t="shared" si="98"/>
        <v>345.17735909781504</v>
      </c>
      <c r="BC23" s="12">
        <f t="shared" si="98"/>
        <v>341.72558550683686</v>
      </c>
      <c r="BD23" s="12">
        <f t="shared" si="98"/>
        <v>338.30832965176847</v>
      </c>
      <c r="BE23" s="12">
        <f t="shared" si="98"/>
        <v>334.92524635525081</v>
      </c>
      <c r="BF23" s="12">
        <f t="shared" si="98"/>
        <v>331.57599389169832</v>
      </c>
      <c r="BG23" s="12">
        <f t="shared" si="98"/>
        <v>328.26023395278133</v>
      </c>
      <c r="BH23" s="12">
        <f t="shared" si="98"/>
        <v>324.97763161325349</v>
      </c>
      <c r="BI23" s="12">
        <f t="shared" si="98"/>
        <v>321.72785529712098</v>
      </c>
      <c r="BJ23" s="12">
        <f t="shared" si="98"/>
        <v>318.51057674414977</v>
      </c>
      <c r="BK23" s="12">
        <f t="shared" si="98"/>
        <v>315.32547097670829</v>
      </c>
      <c r="BL23" s="12">
        <f t="shared" si="98"/>
        <v>312.17221626694118</v>
      </c>
      <c r="BM23" s="12">
        <f t="shared" si="98"/>
        <v>309.05049410427176</v>
      </c>
      <c r="BN23" s="12">
        <f t="shared" si="98"/>
        <v>305.95998916322907</v>
      </c>
      <c r="BO23" s="12">
        <f t="shared" si="98"/>
        <v>302.90038927159679</v>
      </c>
      <c r="BP23" s="12">
        <f t="shared" si="98"/>
        <v>299.8713853788808</v>
      </c>
      <c r="BQ23" s="12">
        <f t="shared" si="98"/>
        <v>296.87267152509202</v>
      </c>
      <c r="BR23" s="12">
        <f t="shared" si="98"/>
        <v>293.90394480984111</v>
      </c>
      <c r="BS23" s="12">
        <f t="shared" si="98"/>
        <v>290.96490536174269</v>
      </c>
      <c r="BT23" s="12">
        <f t="shared" si="98"/>
        <v>288.05525630812525</v>
      </c>
      <c r="BU23" s="12">
        <f t="shared" si="98"/>
        <v>285.17470374504398</v>
      </c>
      <c r="BV23" s="12">
        <f t="shared" si="98"/>
        <v>282.32295670759356</v>
      </c>
      <c r="BW23" s="12">
        <f t="shared" si="98"/>
        <v>279.49972714051762</v>
      </c>
      <c r="BX23" s="12">
        <f t="shared" si="98"/>
        <v>276.70472986911244</v>
      </c>
      <c r="BY23" s="12">
        <f t="shared" si="98"/>
        <v>273.93768257042132</v>
      </c>
      <c r="BZ23" s="12">
        <f t="shared" si="98"/>
        <v>271.19830574471712</v>
      </c>
      <c r="CA23" s="12">
        <f t="shared" si="98"/>
        <v>268.48632268726993</v>
      </c>
      <c r="CB23" s="12">
        <f t="shared" si="98"/>
        <v>265.80145946039721</v>
      </c>
      <c r="CC23" s="12">
        <f t="shared" si="98"/>
        <v>263.14344486579324</v>
      </c>
      <c r="CD23" s="12">
        <f t="shared" si="98"/>
        <v>260.51201041713529</v>
      </c>
      <c r="CE23" s="12">
        <f t="shared" si="98"/>
        <v>257.90689031296392</v>
      </c>
      <c r="CF23" s="12">
        <f t="shared" si="98"/>
        <v>255.32782140983429</v>
      </c>
      <c r="CG23" s="12">
        <f t="shared" si="98"/>
        <v>252.77454319573593</v>
      </c>
      <c r="CH23" s="12">
        <f t="shared" si="98"/>
        <v>250.24679776377857</v>
      </c>
      <c r="CI23" s="12">
        <f t="shared" si="98"/>
        <v>247.74432978614078</v>
      </c>
      <c r="CJ23" s="12">
        <f t="shared" si="98"/>
        <v>245.26688648827937</v>
      </c>
      <c r="CK23" s="12">
        <f t="shared" si="98"/>
        <v>242.81421762339656</v>
      </c>
      <c r="CL23" s="12">
        <f t="shared" si="98"/>
        <v>240.3860754471626</v>
      </c>
      <c r="CM23" s="12">
        <f t="shared" si="98"/>
        <v>237.98221469269097</v>
      </c>
      <c r="CN23" s="12">
        <f t="shared" si="98"/>
        <v>235.60239254576408</v>
      </c>
      <c r="CO23" s="12">
        <f t="shared" si="98"/>
        <v>233.24636862030644</v>
      </c>
      <c r="CP23" s="12">
        <f t="shared" si="98"/>
        <v>230.91390493410339</v>
      </c>
      <c r="CQ23" s="12">
        <f t="shared" si="98"/>
        <v>228.60476588476234</v>
      </c>
      <c r="CR23" s="12">
        <f t="shared" si="98"/>
        <v>226.31871822591472</v>
      </c>
      <c r="CS23" s="12">
        <f t="shared" si="98"/>
        <v>224.05553104365558</v>
      </c>
      <c r="CT23" s="12">
        <f t="shared" si="98"/>
        <v>221.81497573321903</v>
      </c>
      <c r="CU23" s="12">
        <f t="shared" si="98"/>
        <v>219.59682597588684</v>
      </c>
      <c r="CV23" s="12">
        <f t="shared" si="98"/>
        <v>217.40085771612797</v>
      </c>
      <c r="CW23" s="12">
        <f t="shared" si="98"/>
        <v>215.22684913896668</v>
      </c>
      <c r="CX23" s="12">
        <f t="shared" si="98"/>
        <v>213.07458064757702</v>
      </c>
      <c r="CY23" s="12">
        <f t="shared" si="98"/>
        <v>210.94383484110125</v>
      </c>
      <c r="CZ23" s="12">
        <f t="shared" si="98"/>
        <v>208.83439649269025</v>
      </c>
      <c r="DA23" s="12">
        <f t="shared" si="98"/>
        <v>206.74605252776334</v>
      </c>
      <c r="DB23" s="12">
        <f t="shared" ref="DB23:FM23" si="99">DA23*(1+$AQ$24)</f>
        <v>204.67859200248571</v>
      </c>
      <c r="DC23" s="12">
        <f t="shared" si="99"/>
        <v>202.63180608246086</v>
      </c>
      <c r="DD23" s="12">
        <f t="shared" si="99"/>
        <v>200.60548802163623</v>
      </c>
      <c r="DE23" s="12">
        <f t="shared" si="99"/>
        <v>198.59943314141987</v>
      </c>
      <c r="DF23" s="12">
        <f t="shared" si="99"/>
        <v>196.61343881000568</v>
      </c>
      <c r="DG23" s="12">
        <f t="shared" si="99"/>
        <v>194.64730442190563</v>
      </c>
      <c r="DH23" s="12">
        <f t="shared" si="99"/>
        <v>192.70083137768657</v>
      </c>
      <c r="DI23" s="12">
        <f t="shared" si="99"/>
        <v>190.7738230639097</v>
      </c>
      <c r="DJ23" s="12">
        <f t="shared" si="99"/>
        <v>188.86608483327061</v>
      </c>
      <c r="DK23" s="12">
        <f t="shared" si="99"/>
        <v>186.9774239849379</v>
      </c>
      <c r="DL23" s="12">
        <f t="shared" si="99"/>
        <v>185.10764974508851</v>
      </c>
      <c r="DM23" s="12">
        <f t="shared" si="99"/>
        <v>183.25657324763762</v>
      </c>
      <c r="DN23" s="12">
        <f t="shared" si="99"/>
        <v>181.42400751516124</v>
      </c>
      <c r="DO23" s="12">
        <f t="shared" si="99"/>
        <v>179.60976744000962</v>
      </c>
      <c r="DP23" s="12">
        <f t="shared" si="99"/>
        <v>177.81366976560952</v>
      </c>
      <c r="DQ23" s="12">
        <f t="shared" si="99"/>
        <v>176.03553306795342</v>
      </c>
      <c r="DR23" s="12">
        <f t="shared" si="99"/>
        <v>174.27517773727388</v>
      </c>
      <c r="DS23" s="12">
        <f t="shared" si="99"/>
        <v>172.53242595990113</v>
      </c>
      <c r="DT23" s="12">
        <f t="shared" si="99"/>
        <v>170.80710170030213</v>
      </c>
      <c r="DU23" s="12">
        <f t="shared" si="99"/>
        <v>169.09903068329911</v>
      </c>
      <c r="DV23" s="12">
        <f t="shared" si="99"/>
        <v>167.40804037646612</v>
      </c>
      <c r="DW23" s="12">
        <f t="shared" si="99"/>
        <v>165.73395997270146</v>
      </c>
      <c r="DX23" s="12">
        <f t="shared" si="99"/>
        <v>164.07662037297445</v>
      </c>
      <c r="DY23" s="12">
        <f t="shared" si="99"/>
        <v>162.43585416924469</v>
      </c>
      <c r="DZ23" s="12">
        <f t="shared" si="99"/>
        <v>160.81149562755223</v>
      </c>
      <c r="EA23" s="12">
        <f t="shared" si="99"/>
        <v>159.2033806712767</v>
      </c>
      <c r="EB23" s="12">
        <f t="shared" si="99"/>
        <v>157.61134686456393</v>
      </c>
      <c r="EC23" s="12">
        <f t="shared" si="99"/>
        <v>156.03523339591828</v>
      </c>
      <c r="ED23" s="12">
        <f t="shared" si="99"/>
        <v>154.47488106195911</v>
      </c>
      <c r="EE23" s="12">
        <f t="shared" si="99"/>
        <v>152.93013225133953</v>
      </c>
      <c r="EF23" s="12">
        <f t="shared" si="99"/>
        <v>151.40083092882614</v>
      </c>
      <c r="EG23" s="12">
        <f t="shared" si="99"/>
        <v>149.88682261953787</v>
      </c>
      <c r="EH23" s="12">
        <f t="shared" si="99"/>
        <v>148.38795439334248</v>
      </c>
      <c r="EI23" s="12">
        <f t="shared" si="99"/>
        <v>146.90407484940906</v>
      </c>
      <c r="EJ23" s="12">
        <f t="shared" si="99"/>
        <v>145.43503410091498</v>
      </c>
      <c r="EK23" s="12">
        <f t="shared" si="99"/>
        <v>143.98068375990582</v>
      </c>
      <c r="EL23" s="12">
        <f t="shared" si="99"/>
        <v>142.54087692230675</v>
      </c>
      <c r="EM23" s="12">
        <f t="shared" si="99"/>
        <v>141.11546815308367</v>
      </c>
      <c r="EN23" s="12">
        <f t="shared" si="99"/>
        <v>139.70431347155284</v>
      </c>
      <c r="EO23" s="12">
        <f t="shared" si="99"/>
        <v>138.30727033683732</v>
      </c>
      <c r="EP23" s="12">
        <f t="shared" si="99"/>
        <v>136.92419763346894</v>
      </c>
      <c r="EQ23" s="12">
        <f t="shared" si="99"/>
        <v>135.55495565713426</v>
      </c>
      <c r="ER23" s="12">
        <f t="shared" si="99"/>
        <v>134.19940610056292</v>
      </c>
      <c r="ES23" s="12">
        <f t="shared" si="99"/>
        <v>132.85741203955729</v>
      </c>
      <c r="ET23" s="12">
        <f t="shared" si="99"/>
        <v>131.5288379191617</v>
      </c>
      <c r="EU23" s="12">
        <f t="shared" si="99"/>
        <v>130.21354953997007</v>
      </c>
      <c r="EV23" s="12">
        <f t="shared" si="99"/>
        <v>128.91141404457036</v>
      </c>
      <c r="EW23" s="12">
        <f t="shared" si="99"/>
        <v>127.62229990412466</v>
      </c>
      <c r="EX23" s="12">
        <f t="shared" si="99"/>
        <v>126.34607690508341</v>
      </c>
      <c r="EY23" s="12">
        <f t="shared" si="99"/>
        <v>125.08261613603257</v>
      </c>
      <c r="EZ23" s="12">
        <f t="shared" si="99"/>
        <v>123.83178997467225</v>
      </c>
      <c r="FA23" s="12">
        <f t="shared" si="99"/>
        <v>122.59347207492553</v>
      </c>
      <c r="FB23" s="12">
        <f t="shared" si="99"/>
        <v>121.36753735417628</v>
      </c>
      <c r="FC23" s="12">
        <f t="shared" si="99"/>
        <v>120.15386198063452</v>
      </c>
      <c r="FD23" s="12">
        <f t="shared" si="99"/>
        <v>118.95232336082817</v>
      </c>
      <c r="FE23" s="12">
        <f t="shared" si="99"/>
        <v>117.76280012721989</v>
      </c>
      <c r="FF23" s="12">
        <f t="shared" si="99"/>
        <v>116.58517212594769</v>
      </c>
      <c r="FG23" s="12">
        <f t="shared" si="99"/>
        <v>115.41932040468822</v>
      </c>
      <c r="FH23" s="12">
        <f t="shared" si="99"/>
        <v>114.26512720064134</v>
      </c>
      <c r="FI23" s="12">
        <f t="shared" si="99"/>
        <v>113.12247592863493</v>
      </c>
      <c r="FJ23" s="12">
        <f t="shared" si="99"/>
        <v>111.99125116934857</v>
      </c>
      <c r="FK23" s="12">
        <f t="shared" si="99"/>
        <v>110.87133865765509</v>
      </c>
      <c r="FL23" s="12">
        <f t="shared" si="99"/>
        <v>109.76262527107853</v>
      </c>
      <c r="FM23" s="12">
        <f t="shared" si="99"/>
        <v>108.66499901836775</v>
      </c>
      <c r="FN23" s="12">
        <f t="shared" ref="FN23:GK23" si="100">FM23*(1+$AQ$24)</f>
        <v>107.57834902818408</v>
      </c>
      <c r="FO23" s="12">
        <f t="shared" si="100"/>
        <v>106.50256553790224</v>
      </c>
      <c r="FP23" s="12">
        <f t="shared" si="100"/>
        <v>105.43753988252323</v>
      </c>
      <c r="FQ23" s="12">
        <f t="shared" si="100"/>
        <v>104.383164483698</v>
      </c>
      <c r="FR23" s="12">
        <f t="shared" si="100"/>
        <v>103.33933283886101</v>
      </c>
      <c r="FS23" s="12">
        <f t="shared" si="100"/>
        <v>102.3059395104724</v>
      </c>
      <c r="FT23" s="12">
        <f t="shared" si="100"/>
        <v>101.28288011536767</v>
      </c>
      <c r="FU23" s="12">
        <f t="shared" si="100"/>
        <v>100.270051314214</v>
      </c>
      <c r="FV23" s="12">
        <f t="shared" si="100"/>
        <v>99.267350801071856</v>
      </c>
      <c r="FW23" s="12">
        <f t="shared" si="100"/>
        <v>98.274677293061131</v>
      </c>
      <c r="FX23" s="12">
        <f t="shared" si="100"/>
        <v>97.291930520130521</v>
      </c>
      <c r="FY23" s="12">
        <f t="shared" si="100"/>
        <v>96.319011214929219</v>
      </c>
      <c r="FZ23" s="12">
        <f t="shared" si="100"/>
        <v>95.355821102779927</v>
      </c>
      <c r="GA23" s="12">
        <f t="shared" si="100"/>
        <v>94.40226289175213</v>
      </c>
      <c r="GB23" s="12">
        <f t="shared" si="100"/>
        <v>93.458240262834607</v>
      </c>
      <c r="GC23" s="12">
        <f t="shared" si="100"/>
        <v>92.523657860206256</v>
      </c>
      <c r="GD23" s="12">
        <f t="shared" si="100"/>
        <v>91.598421281604189</v>
      </c>
      <c r="GE23" s="12">
        <f t="shared" si="100"/>
        <v>90.682437068788147</v>
      </c>
      <c r="GF23" s="12">
        <f t="shared" si="100"/>
        <v>89.775612698100261</v>
      </c>
      <c r="GG23" s="12">
        <f t="shared" si="100"/>
        <v>88.877856571119253</v>
      </c>
      <c r="GH23" s="12">
        <f t="shared" si="100"/>
        <v>87.989078005408061</v>
      </c>
      <c r="GI23" s="12">
        <f t="shared" si="100"/>
        <v>87.109187225353978</v>
      </c>
      <c r="GJ23" s="12">
        <f t="shared" si="100"/>
        <v>86.238095353100434</v>
      </c>
      <c r="GK23" s="12">
        <f t="shared" si="100"/>
        <v>85.375714399569432</v>
      </c>
    </row>
    <row r="24" spans="1:193" x14ac:dyDescent="0.25">
      <c r="A24" s="2" t="s">
        <v>45</v>
      </c>
      <c r="F24" s="13">
        <f t="shared" ref="F24:R24" si="101">F23/F25</f>
        <v>0.5750779916416513</v>
      </c>
      <c r="G24" s="13">
        <f t="shared" si="101"/>
        <v>0.5092659776832108</v>
      </c>
      <c r="H24" s="13">
        <f t="shared" si="101"/>
        <v>1.0234803383988722</v>
      </c>
      <c r="I24" s="13">
        <f t="shared" si="101"/>
        <v>0.94964662581491399</v>
      </c>
      <c r="J24" s="13">
        <f t="shared" si="101"/>
        <v>1.2419967125860987</v>
      </c>
      <c r="K24" s="13">
        <f t="shared" si="101"/>
        <v>1.2091940931584322</v>
      </c>
      <c r="L24" s="13">
        <f t="shared" si="101"/>
        <v>2.0927579365079367</v>
      </c>
      <c r="M24" s="13">
        <f t="shared" si="101"/>
        <v>1.5848243155852557</v>
      </c>
      <c r="N24" s="13">
        <f t="shared" si="101"/>
        <v>1.1988906155572825</v>
      </c>
      <c r="O24" s="13">
        <f t="shared" si="101"/>
        <v>1.3846518953204898</v>
      </c>
      <c r="P24" s="13">
        <f t="shared" si="101"/>
        <v>1.6450661129931157</v>
      </c>
      <c r="Q24" s="13">
        <f t="shared" si="101"/>
        <v>1.5757337526205442</v>
      </c>
      <c r="R24" s="13">
        <f t="shared" si="101"/>
        <v>1.6000876520214757</v>
      </c>
      <c r="S24" s="13">
        <f t="shared" ref="S24:V24" si="102">S23/S25</f>
        <v>1.8336121505613034</v>
      </c>
      <c r="T24" s="13">
        <f t="shared" si="102"/>
        <v>1.7833519034863607</v>
      </c>
      <c r="U24" s="13">
        <f t="shared" si="102"/>
        <v>1.7214059397392361</v>
      </c>
      <c r="V24" s="13">
        <f t="shared" si="102"/>
        <v>1.9335018772323873</v>
      </c>
      <c r="X24" s="13">
        <f>X23/X25</f>
        <v>1.0000000000000011</v>
      </c>
      <c r="Y24" s="13">
        <f>Y23/Y25</f>
        <v>1.1583853384943537</v>
      </c>
      <c r="Z24" s="13">
        <f>Z23/Z25</f>
        <v>2.245516290973522</v>
      </c>
      <c r="AA24" s="9">
        <f t="shared" si="57"/>
        <v>3.7243896544830957</v>
      </c>
      <c r="AB24" s="9">
        <f>SUM(K24:N24)</f>
        <v>6.0856669608089078</v>
      </c>
      <c r="AC24" s="9">
        <f>SUM(O24:R24)</f>
        <v>6.2055394129556252</v>
      </c>
      <c r="AD24" s="10">
        <f t="shared" ref="AD24" si="103">SUM(S24:V24)</f>
        <v>7.2718718710192878</v>
      </c>
      <c r="AE24" s="10">
        <f t="shared" ref="AE24" si="104">SUM(T24:W24)</f>
        <v>5.4382597204579834</v>
      </c>
      <c r="AF24" s="10">
        <f t="shared" ref="AF24" si="105">SUM(U24:X24)</f>
        <v>4.6549078169716243</v>
      </c>
      <c r="AG24" s="10">
        <f t="shared" ref="AG24" si="106">SUM(V24:Y24)</f>
        <v>4.0918872157267421</v>
      </c>
      <c r="AH24" s="10">
        <f t="shared" ref="AH24" si="107">SUM(W24:Z24)</f>
        <v>4.4039016294678763</v>
      </c>
      <c r="AI24" s="10">
        <f t="shared" ref="AI24" si="108">SUM(X24:AA24)</f>
        <v>8.128291283950972</v>
      </c>
      <c r="AJ24" s="10">
        <f t="shared" ref="AJ24" si="109">SUM(Y24:AB24)</f>
        <v>13.21395824475988</v>
      </c>
      <c r="AK24" s="10">
        <f t="shared" ref="AK24" si="110">SUM(Z24:AC24)</f>
        <v>18.261112319221148</v>
      </c>
      <c r="AL24" s="10">
        <f t="shared" ref="AL24" si="111">SUM(AA24:AD24)</f>
        <v>23.287467899266915</v>
      </c>
      <c r="AM24" s="10">
        <f t="shared" ref="AM24" si="112">SUM(AB24:AE24)</f>
        <v>25.001337965241802</v>
      </c>
      <c r="AN24" s="10">
        <f t="shared" ref="AN24" si="113">SUM(AC24:AF24)</f>
        <v>23.570578821404517</v>
      </c>
      <c r="AP24" s="14" t="s">
        <v>169</v>
      </c>
      <c r="AQ24" s="15">
        <v>-0.01</v>
      </c>
    </row>
    <row r="25" spans="1:193" x14ac:dyDescent="0.25">
      <c r="A25" s="2" t="s">
        <v>1</v>
      </c>
      <c r="E25" s="16"/>
      <c r="F25" s="16">
        <v>50.966999999999999</v>
      </c>
      <c r="G25" s="16">
        <v>50.993000000000002</v>
      </c>
      <c r="H25" s="16">
        <v>51.064</v>
      </c>
      <c r="I25" s="16">
        <v>51.079000000000001</v>
      </c>
      <c r="J25" s="16">
        <v>51.103999999999999</v>
      </c>
      <c r="K25" s="16">
        <v>50.923999999999999</v>
      </c>
      <c r="L25" s="16">
        <v>48.384</v>
      </c>
      <c r="M25" s="16">
        <v>46.39</v>
      </c>
      <c r="N25" s="16">
        <v>46.332000000000001</v>
      </c>
      <c r="O25" s="16">
        <v>46.350999999999999</v>
      </c>
      <c r="P25" s="16">
        <v>45.755000000000003</v>
      </c>
      <c r="Q25" s="16">
        <v>45.792000000000002</v>
      </c>
      <c r="R25" s="16">
        <v>45.634999999999998</v>
      </c>
      <c r="S25" s="16">
        <v>45.43</v>
      </c>
      <c r="T25" s="16">
        <v>45.634999999999998</v>
      </c>
      <c r="U25" s="16">
        <v>45.634999999999998</v>
      </c>
      <c r="V25" s="16">
        <v>45.634999999999998</v>
      </c>
      <c r="X25" s="16">
        <v>51.622999999999998</v>
      </c>
      <c r="Y25" s="16">
        <v>50.636000000000003</v>
      </c>
      <c r="Z25" s="16">
        <v>50.795000000000002</v>
      </c>
      <c r="AA25" s="16">
        <f>AVERAGE(G25:J25)</f>
        <v>51.06</v>
      </c>
      <c r="AB25" s="16">
        <f>AVERAGE(K25:N25)</f>
        <v>48.007499999999993</v>
      </c>
      <c r="AC25" s="16">
        <f>AVERAGE(O25:R25)</f>
        <v>45.883249999999997</v>
      </c>
      <c r="AD25" s="10">
        <f>AVERAGE(S25:V25)</f>
        <v>45.583749999999995</v>
      </c>
      <c r="AE25" s="10">
        <f t="shared" ref="AE25:AN25" si="114">AVERAGE(T25:W25)</f>
        <v>45.634999999999998</v>
      </c>
      <c r="AF25" s="10">
        <f t="shared" si="114"/>
        <v>47.631</v>
      </c>
      <c r="AG25" s="10">
        <f t="shared" si="114"/>
        <v>49.298000000000002</v>
      </c>
      <c r="AH25" s="10">
        <f t="shared" si="114"/>
        <v>51.018000000000001</v>
      </c>
      <c r="AI25" s="10">
        <f t="shared" si="114"/>
        <v>51.028500000000001</v>
      </c>
      <c r="AJ25" s="10">
        <f t="shared" si="114"/>
        <v>50.124625000000002</v>
      </c>
      <c r="AK25" s="10">
        <f t="shared" si="114"/>
        <v>48.936437500000004</v>
      </c>
      <c r="AL25" s="10">
        <f t="shared" si="114"/>
        <v>47.633624999999995</v>
      </c>
      <c r="AM25" s="10">
        <f t="shared" si="114"/>
        <v>46.277374999999992</v>
      </c>
      <c r="AN25" s="10">
        <f t="shared" si="114"/>
        <v>46.183249999999994</v>
      </c>
      <c r="AP25" s="14" t="s">
        <v>170</v>
      </c>
      <c r="AQ25" s="15">
        <v>7.0000000000000007E-2</v>
      </c>
    </row>
    <row r="26" spans="1:193" x14ac:dyDescent="0.25"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X26" s="16"/>
      <c r="Y26" s="16"/>
      <c r="Z26" s="16"/>
      <c r="AA26" s="16"/>
      <c r="AB26" s="16"/>
      <c r="AC26" s="16"/>
      <c r="AP26" s="14" t="s">
        <v>171</v>
      </c>
      <c r="AQ26" s="10">
        <f>NPV(AQ25,AD23:GK23)</f>
        <v>5049.4313922753454</v>
      </c>
    </row>
    <row r="27" spans="1:193" x14ac:dyDescent="0.25">
      <c r="A27" s="2" t="s">
        <v>166</v>
      </c>
      <c r="E27" s="16"/>
      <c r="F27" s="16"/>
      <c r="G27" s="17">
        <f t="shared" ref="G27:Q27" si="115">G11/G8</f>
        <v>0.74606418825609022</v>
      </c>
      <c r="H27" s="17">
        <f t="shared" si="115"/>
        <v>0.7321289355322339</v>
      </c>
      <c r="I27" s="17">
        <f t="shared" si="115"/>
        <v>0.73148126290941284</v>
      </c>
      <c r="J27" s="17">
        <f t="shared" si="115"/>
        <v>0.73854841435920882</v>
      </c>
      <c r="K27" s="17">
        <f t="shared" si="115"/>
        <v>0.72239696594919667</v>
      </c>
      <c r="L27" s="17">
        <f t="shared" si="115"/>
        <v>0.6773304195974752</v>
      </c>
      <c r="M27" s="17">
        <f t="shared" si="115"/>
        <v>0.67684102543421654</v>
      </c>
      <c r="N27" s="17">
        <f t="shared" si="115"/>
        <v>0.73903903484905553</v>
      </c>
      <c r="O27" s="17">
        <f t="shared" si="115"/>
        <v>0.72413747163393005</v>
      </c>
      <c r="P27" s="17">
        <f t="shared" si="115"/>
        <v>0.68661774252109709</v>
      </c>
      <c r="Q27" s="17">
        <f t="shared" si="115"/>
        <v>0.66706097042000567</v>
      </c>
      <c r="R27" s="17">
        <f t="shared" ref="R27:V28" si="116">R11/R8</f>
        <v>0.68553369377403717</v>
      </c>
      <c r="S27" s="17">
        <f t="shared" si="116"/>
        <v>0.66619368170292637</v>
      </c>
      <c r="T27" s="17">
        <f t="shared" si="116"/>
        <v>0.69279981075817743</v>
      </c>
      <c r="U27" s="17">
        <f t="shared" si="116"/>
        <v>0.69506812559055398</v>
      </c>
      <c r="V27" s="17">
        <f t="shared" si="116"/>
        <v>0.69285676383702133</v>
      </c>
      <c r="X27" s="16"/>
      <c r="Y27" s="16"/>
      <c r="Z27" s="16"/>
      <c r="AA27" s="16"/>
      <c r="AB27" s="16"/>
      <c r="AC27" s="16"/>
      <c r="AP27" s="14" t="s">
        <v>3</v>
      </c>
      <c r="AQ27" s="10">
        <f>AC39</f>
        <v>-155.29899999999998</v>
      </c>
    </row>
    <row r="28" spans="1:193" x14ac:dyDescent="0.25">
      <c r="A28" s="2" t="s">
        <v>167</v>
      </c>
      <c r="E28" s="16"/>
      <c r="F28" s="16"/>
      <c r="G28" s="17">
        <f t="shared" ref="G28:Q28" si="117">G12/G9</f>
        <v>0.77817085193991764</v>
      </c>
      <c r="H28" s="17">
        <f t="shared" si="117"/>
        <v>0.71118443904133377</v>
      </c>
      <c r="I28" s="17">
        <f t="shared" si="117"/>
        <v>0.90261627906976749</v>
      </c>
      <c r="J28" s="17">
        <f t="shared" si="117"/>
        <v>0.97096273291925461</v>
      </c>
      <c r="K28" s="17">
        <f t="shared" si="117"/>
        <v>0.75392850975651871</v>
      </c>
      <c r="L28" s="17">
        <f t="shared" si="117"/>
        <v>0.72103887877108241</v>
      </c>
      <c r="M28" s="17">
        <f t="shared" si="117"/>
        <v>0.54390352836087541</v>
      </c>
      <c r="N28" s="17">
        <f t="shared" si="117"/>
        <v>0.77986829727187201</v>
      </c>
      <c r="O28" s="17">
        <f t="shared" si="117"/>
        <v>0.78340200117716297</v>
      </c>
      <c r="P28" s="17">
        <f t="shared" si="117"/>
        <v>0.71800433839479394</v>
      </c>
      <c r="Q28" s="17">
        <f t="shared" si="117"/>
        <v>0.82454991816693946</v>
      </c>
      <c r="R28" s="17">
        <f t="shared" si="116"/>
        <v>0.68659127625201932</v>
      </c>
      <c r="S28" s="17">
        <f t="shared" si="116"/>
        <v>0.92945239269856916</v>
      </c>
      <c r="T28" s="17">
        <f t="shared" si="116"/>
        <v>0.69</v>
      </c>
      <c r="U28" s="17">
        <f t="shared" si="116"/>
        <v>0.69000000000000006</v>
      </c>
      <c r="V28" s="17">
        <f t="shared" si="116"/>
        <v>0.69</v>
      </c>
      <c r="X28" s="16"/>
      <c r="Y28" s="16"/>
      <c r="Z28" s="16"/>
      <c r="AA28" s="16"/>
      <c r="AB28" s="16"/>
      <c r="AC28" s="16"/>
      <c r="AP28" s="14" t="s">
        <v>172</v>
      </c>
      <c r="AQ28" s="10">
        <f>AQ26+AQ27</f>
        <v>4894.1323922753454</v>
      </c>
    </row>
    <row r="29" spans="1:193" x14ac:dyDescent="0.25">
      <c r="A29" s="2" t="s">
        <v>168</v>
      </c>
      <c r="E29" s="16"/>
      <c r="F29" s="17">
        <f t="shared" ref="F29:Q29" si="118">F15/F10</f>
        <v>0.11970090515545061</v>
      </c>
      <c r="G29" s="17">
        <f t="shared" si="118"/>
        <v>0.12575966291224375</v>
      </c>
      <c r="H29" s="17">
        <f t="shared" si="118"/>
        <v>9.0916143668105923E-2</v>
      </c>
      <c r="I29" s="17">
        <f t="shared" si="118"/>
        <v>9.8466436875620747E-2</v>
      </c>
      <c r="J29" s="17">
        <f t="shared" si="118"/>
        <v>8.2005346588509484E-2</v>
      </c>
      <c r="K29" s="17">
        <f t="shared" si="118"/>
        <v>8.7051847485874564E-2</v>
      </c>
      <c r="L29" s="17">
        <f t="shared" si="118"/>
        <v>7.959340676081228E-2</v>
      </c>
      <c r="M29" s="17">
        <f t="shared" si="118"/>
        <v>0.10602190496734845</v>
      </c>
      <c r="N29" s="17">
        <f t="shared" si="118"/>
        <v>0.10352618600799371</v>
      </c>
      <c r="O29" s="17">
        <f t="shared" si="118"/>
        <v>0.10163451392621792</v>
      </c>
      <c r="P29" s="17">
        <f t="shared" si="118"/>
        <v>0.10788995570789565</v>
      </c>
      <c r="Q29" s="17">
        <f t="shared" si="118"/>
        <v>0.11190086352982734</v>
      </c>
      <c r="R29" s="17">
        <f>R15/R10</f>
        <v>0.11305736019645544</v>
      </c>
      <c r="S29" s="17">
        <f>S15/S10</f>
        <v>0.11304651069213884</v>
      </c>
      <c r="T29" s="17">
        <f>T15/T10</f>
        <v>0.10080615827811404</v>
      </c>
      <c r="U29" s="17">
        <f>U15/U10</f>
        <v>0.10261693723879244</v>
      </c>
      <c r="V29" s="17">
        <f>V15/V10</f>
        <v>9.6697081588518211E-2</v>
      </c>
      <c r="X29" s="16"/>
      <c r="Y29" s="16"/>
      <c r="Z29" s="16"/>
      <c r="AA29" s="16"/>
      <c r="AB29" s="16"/>
      <c r="AC29" s="16"/>
      <c r="AP29" s="14" t="s">
        <v>173</v>
      </c>
      <c r="AQ29" s="61">
        <f>AQ28/Main!L3</f>
        <v>107.24514938699124</v>
      </c>
    </row>
    <row r="30" spans="1:193" x14ac:dyDescent="0.25">
      <c r="AP30" s="14" t="s">
        <v>174</v>
      </c>
      <c r="AQ30" s="18">
        <f>AQ29/Main!L2-1</f>
        <v>0.91646085394909305</v>
      </c>
    </row>
    <row r="31" spans="1:193" s="23" customFormat="1" ht="14.4" x14ac:dyDescent="0.3">
      <c r="A31" s="19" t="s">
        <v>51</v>
      </c>
      <c r="B31" s="19"/>
      <c r="C31" s="19"/>
      <c r="D31" s="19"/>
      <c r="E31" s="19"/>
      <c r="F31" s="20"/>
      <c r="G31" s="20"/>
      <c r="H31" s="20"/>
      <c r="I31" s="20"/>
      <c r="J31" s="20">
        <f t="shared" ref="J31:Q31" si="119">J10/F10-1</f>
        <v>0.77981503345139691</v>
      </c>
      <c r="K31" s="20">
        <f t="shared" si="119"/>
        <v>0.67868337889533814</v>
      </c>
      <c r="L31" s="20">
        <f t="shared" si="119"/>
        <v>0.40485706489462459</v>
      </c>
      <c r="M31" s="20">
        <f t="shared" si="119"/>
        <v>0.19163404802243389</v>
      </c>
      <c r="N31" s="20">
        <f t="shared" si="119"/>
        <v>-4.6792599684688296E-2</v>
      </c>
      <c r="O31" s="20">
        <f t="shared" si="119"/>
        <v>0.14848227714320572</v>
      </c>
      <c r="P31" s="20">
        <f t="shared" si="119"/>
        <v>-0.13111641759212711</v>
      </c>
      <c r="Q31" s="20">
        <f t="shared" si="119"/>
        <v>2.7047830094326653E-2</v>
      </c>
      <c r="R31" s="20">
        <f>R10/N10-1</f>
        <v>4.4754099501495004E-2</v>
      </c>
      <c r="S31" s="20">
        <f>S10/O10-1</f>
        <v>-1.0447705066351842E-2</v>
      </c>
      <c r="T31" s="21">
        <f t="shared" ref="T31:V31" si="120">T10/P10-1</f>
        <v>7.4000000000000066E-2</v>
      </c>
      <c r="U31" s="21">
        <f t="shared" si="120"/>
        <v>0.14999999999999991</v>
      </c>
      <c r="V31" s="21">
        <f t="shared" si="120"/>
        <v>0.14999999999999969</v>
      </c>
      <c r="W31" s="19"/>
      <c r="X31" s="19"/>
      <c r="Y31" s="20">
        <f t="shared" ref="Y31:AA31" si="121">Y10/X10-1</f>
        <v>0.26940400579173795</v>
      </c>
      <c r="Z31" s="20">
        <f t="shared" si="121"/>
        <v>0.23287901371801012</v>
      </c>
      <c r="AA31" s="20">
        <f t="shared" si="121"/>
        <v>0.43734202440316339</v>
      </c>
      <c r="AB31" s="20">
        <f t="shared" ref="AB31:AI31" si="122">AB10/AA10-1</f>
        <v>0.25299242413442102</v>
      </c>
      <c r="AC31" s="20">
        <f t="shared" si="122"/>
        <v>1.1330685695073228E-2</v>
      </c>
      <c r="AD31" s="22">
        <f t="shared" si="122"/>
        <v>8.969201163294338E-2</v>
      </c>
      <c r="AE31" s="22">
        <f t="shared" si="122"/>
        <v>8.2999999999999963E-2</v>
      </c>
      <c r="AF31" s="22">
        <f t="shared" si="122"/>
        <v>1.7200000000000104E-2</v>
      </c>
      <c r="AG31" s="22">
        <f t="shared" si="122"/>
        <v>1.7200000000000104E-2</v>
      </c>
      <c r="AH31" s="22">
        <f t="shared" si="122"/>
        <v>1.7200000000000104E-2</v>
      </c>
      <c r="AI31" s="22">
        <f t="shared" si="122"/>
        <v>1.7200000000000104E-2</v>
      </c>
      <c r="AJ31" s="22">
        <f t="shared" ref="AJ31:AN31" si="123">AJ10/AI10-1</f>
        <v>1.7199999999999882E-2</v>
      </c>
      <c r="AK31" s="22">
        <f t="shared" si="123"/>
        <v>1.7200000000000326E-2</v>
      </c>
      <c r="AL31" s="22">
        <f t="shared" si="123"/>
        <v>1.7199999999999882E-2</v>
      </c>
      <c r="AM31" s="22">
        <f t="shared" si="123"/>
        <v>2.4999999999999911E-2</v>
      </c>
      <c r="AN31" s="22">
        <f t="shared" si="123"/>
        <v>2.5000000000000133E-2</v>
      </c>
    </row>
    <row r="32" spans="1:193" s="27" customFormat="1" ht="14.4" x14ac:dyDescent="0.3">
      <c r="A32" s="24" t="s">
        <v>52</v>
      </c>
      <c r="B32" s="24"/>
      <c r="C32" s="24"/>
      <c r="D32" s="24"/>
      <c r="E32" s="24"/>
      <c r="F32" s="25"/>
      <c r="G32" s="25">
        <f t="shared" ref="G32:Q32" si="124">G10/F10-1</f>
        <v>-7.7217630853994579E-2</v>
      </c>
      <c r="H32" s="25">
        <f t="shared" si="124"/>
        <v>0.59419820111822386</v>
      </c>
      <c r="I32" s="25">
        <f t="shared" si="124"/>
        <v>-8.4177354028560303E-2</v>
      </c>
      <c r="J32" s="25">
        <f t="shared" si="124"/>
        <v>0.3210580125021909</v>
      </c>
      <c r="K32" s="25">
        <f t="shared" si="124"/>
        <v>-0.12965145461259342</v>
      </c>
      <c r="L32" s="25">
        <f t="shared" si="124"/>
        <v>0.33415308320799975</v>
      </c>
      <c r="M32" s="25">
        <f t="shared" si="124"/>
        <v>-0.22317688100787592</v>
      </c>
      <c r="N32" s="25">
        <f t="shared" si="124"/>
        <v>5.6735728433314314E-2</v>
      </c>
      <c r="O32" s="25">
        <f t="shared" si="124"/>
        <v>4.8648886888786436E-2</v>
      </c>
      <c r="P32" s="25">
        <f t="shared" si="124"/>
        <v>9.3527200975087599E-3</v>
      </c>
      <c r="Q32" s="25">
        <f t="shared" si="124"/>
        <v>-8.1770544545233359E-2</v>
      </c>
      <c r="R32" s="25">
        <f>R10/Q10-1</f>
        <v>7.4953816190826306E-2</v>
      </c>
      <c r="S32" s="25">
        <f>S10/R10-1</f>
        <v>-6.7587070531238691E-3</v>
      </c>
      <c r="T32" s="26">
        <f t="shared" ref="T32:V32" si="125">T10/S10-1</f>
        <v>9.5490179685159937E-2</v>
      </c>
      <c r="U32" s="26">
        <f t="shared" si="125"/>
        <v>-1.6793413619197839E-2</v>
      </c>
      <c r="V32" s="26">
        <f t="shared" si="125"/>
        <v>7.4953816190826084E-2</v>
      </c>
      <c r="W32" s="24"/>
      <c r="X32" s="24"/>
      <c r="Y32" s="24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1:40" x14ac:dyDescent="0.25"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s="23" customFormat="1" ht="14.4" x14ac:dyDescent="0.3">
      <c r="A34" s="19" t="s">
        <v>53</v>
      </c>
      <c r="B34" s="19"/>
      <c r="C34" s="19"/>
      <c r="D34" s="19"/>
      <c r="E34" s="19"/>
      <c r="F34" s="20">
        <f t="shared" ref="F34:Q34" si="126">F14/F10</f>
        <v>0.25129476584022054</v>
      </c>
      <c r="G34" s="20">
        <f t="shared" si="126"/>
        <v>0.25157476788966165</v>
      </c>
      <c r="H34" s="20">
        <f t="shared" si="126"/>
        <v>0.27012942542388296</v>
      </c>
      <c r="I34" s="20">
        <f t="shared" si="126"/>
        <v>0.26679908862534318</v>
      </c>
      <c r="J34" s="20">
        <f t="shared" si="126"/>
        <v>0.2449038255305129</v>
      </c>
      <c r="K34" s="20">
        <f t="shared" si="126"/>
        <v>0.2752835250599569</v>
      </c>
      <c r="L34" s="20">
        <f t="shared" si="126"/>
        <v>0.32161845132001893</v>
      </c>
      <c r="M34" s="20">
        <f t="shared" si="126"/>
        <v>0.32680711077991098</v>
      </c>
      <c r="N34" s="20">
        <f t="shared" si="126"/>
        <v>0.2608602863909773</v>
      </c>
      <c r="O34" s="20">
        <f t="shared" si="126"/>
        <v>0.27563979197497679</v>
      </c>
      <c r="P34" s="20">
        <f t="shared" si="126"/>
        <v>0.31325541487960484</v>
      </c>
      <c r="Q34" s="20">
        <f t="shared" si="126"/>
        <v>0.3317906906806562</v>
      </c>
      <c r="R34" s="20">
        <f>R14/R10</f>
        <v>0.31446194563725915</v>
      </c>
      <c r="S34" s="20">
        <f>S14/S10</f>
        <v>0.33142053659648862</v>
      </c>
      <c r="T34" s="20">
        <f t="shared" ref="T34:V34" si="127">T14/T10</f>
        <v>0.30721150411252529</v>
      </c>
      <c r="U34" s="20">
        <f t="shared" si="127"/>
        <v>0.30496882891225802</v>
      </c>
      <c r="V34" s="20">
        <f t="shared" si="127"/>
        <v>0.307155015076091</v>
      </c>
      <c r="W34" s="19"/>
      <c r="X34" s="20">
        <f t="shared" ref="X34:Z34" si="128">X14/X10</f>
        <v>0.24725846512530333</v>
      </c>
      <c r="Y34" s="20">
        <f t="shared" si="128"/>
        <v>0.21357906171841459</v>
      </c>
      <c r="Z34" s="20">
        <f t="shared" si="128"/>
        <v>0.24036777897196887</v>
      </c>
      <c r="AA34" s="20">
        <f t="shared" ref="AA34:AI34" si="129">AA14/AA10</f>
        <v>0.25808339439836447</v>
      </c>
      <c r="AB34" s="20">
        <f t="shared" si="129"/>
        <v>0.29754641189264042</v>
      </c>
      <c r="AC34" s="20">
        <f t="shared" si="129"/>
        <v>0.30836413138250895</v>
      </c>
      <c r="AD34" s="20">
        <f t="shared" si="129"/>
        <v>0.31222905770086867</v>
      </c>
      <c r="AE34" s="20">
        <f t="shared" si="129"/>
        <v>0.3000000000000001</v>
      </c>
      <c r="AF34" s="20">
        <f t="shared" si="129"/>
        <v>0.30000000000000016</v>
      </c>
      <c r="AG34" s="20">
        <f t="shared" si="129"/>
        <v>0.30993968862769966</v>
      </c>
      <c r="AH34" s="20">
        <f t="shared" si="129"/>
        <v>0.30993968862769977</v>
      </c>
      <c r="AI34" s="20">
        <f t="shared" si="129"/>
        <v>0.30496984431384994</v>
      </c>
      <c r="AJ34" s="20">
        <f t="shared" ref="AJ34:AN34" si="130">AJ14/AJ10</f>
        <v>0.30993968862769972</v>
      </c>
      <c r="AK34" s="20">
        <f t="shared" si="130"/>
        <v>0.3000000000000001</v>
      </c>
      <c r="AL34" s="20">
        <f t="shared" si="130"/>
        <v>0.3000000000000001</v>
      </c>
      <c r="AM34" s="20">
        <f t="shared" si="130"/>
        <v>0.3</v>
      </c>
      <c r="AN34" s="20">
        <f t="shared" si="130"/>
        <v>0.30000000000000004</v>
      </c>
    </row>
    <row r="35" spans="1:40" s="30" customFormat="1" ht="14.4" x14ac:dyDescent="0.3">
      <c r="A35" s="28" t="s">
        <v>54</v>
      </c>
      <c r="B35" s="28"/>
      <c r="C35" s="28"/>
      <c r="D35" s="28"/>
      <c r="E35" s="28"/>
      <c r="F35" s="29">
        <f t="shared" ref="F35:Q35" si="131">F19/F10</f>
        <v>0.14934671389216858</v>
      </c>
      <c r="G35" s="29">
        <f t="shared" si="131"/>
        <v>0.15038446939811231</v>
      </c>
      <c r="H35" s="29">
        <f t="shared" si="131"/>
        <v>0.19790212035119822</v>
      </c>
      <c r="I35" s="29">
        <f t="shared" si="131"/>
        <v>0.19033124963486589</v>
      </c>
      <c r="J35" s="29">
        <f t="shared" si="131"/>
        <v>0.18261761720814323</v>
      </c>
      <c r="K35" s="29">
        <f t="shared" si="131"/>
        <v>0.2099330311775944</v>
      </c>
      <c r="L35" s="29">
        <f t="shared" si="131"/>
        <v>0.26332206023490701</v>
      </c>
      <c r="M35" s="29">
        <f t="shared" si="131"/>
        <v>0.23923871903986826</v>
      </c>
      <c r="N35" s="29">
        <f t="shared" si="131"/>
        <v>0.18083040856992411</v>
      </c>
      <c r="O35" s="29">
        <f t="shared" si="131"/>
        <v>0.19283238324031493</v>
      </c>
      <c r="P35" s="29">
        <f t="shared" si="131"/>
        <v>0.2283903403325524</v>
      </c>
      <c r="Q35" s="29">
        <f t="shared" si="131"/>
        <v>0.23410775744788501</v>
      </c>
      <c r="R35" s="29">
        <f>R19/R10</f>
        <v>0.22612582207992338</v>
      </c>
      <c r="S35" s="29">
        <f>S19/S10</f>
        <v>0.25849134211714636</v>
      </c>
      <c r="T35" s="29">
        <f t="shared" ref="T35:V35" si="132">T19/T10</f>
        <v>0.22963899157919193</v>
      </c>
      <c r="U35" s="29">
        <f t="shared" si="132"/>
        <v>0.22643884176132945</v>
      </c>
      <c r="V35" s="29">
        <f t="shared" si="132"/>
        <v>0.23559188137490245</v>
      </c>
      <c r="W35" s="28"/>
      <c r="X35" s="29">
        <f t="shared" ref="X35:Z35" si="133">X19/X10</f>
        <v>0.1309570959212504</v>
      </c>
      <c r="Y35" s="29">
        <f t="shared" si="133"/>
        <v>0.10652173913043489</v>
      </c>
      <c r="Z35" s="29">
        <f t="shared" si="133"/>
        <v>0.14669868783561013</v>
      </c>
      <c r="AA35" s="29">
        <f t="shared" ref="AA35:AI35" si="134">AA19/AA10</f>
        <v>0.18318511400865076</v>
      </c>
      <c r="AB35" s="29">
        <f t="shared" si="134"/>
        <v>0.22554703540177942</v>
      </c>
      <c r="AC35" s="29">
        <f t="shared" si="134"/>
        <v>0.22012195464952103</v>
      </c>
      <c r="AD35" s="29">
        <f t="shared" si="134"/>
        <v>0.23709738638778144</v>
      </c>
      <c r="AE35" s="29">
        <f t="shared" si="134"/>
        <v>0.21392401670195976</v>
      </c>
      <c r="AF35" s="29">
        <f t="shared" si="134"/>
        <v>0.21502814499415968</v>
      </c>
      <c r="AG35" s="29">
        <f t="shared" si="134"/>
        <v>0.22564444306405315</v>
      </c>
      <c r="AH35" s="29">
        <f t="shared" si="134"/>
        <v>0.22624453193129165</v>
      </c>
      <c r="AI35" s="29">
        <f t="shared" si="134"/>
        <v>0.22143188576352088</v>
      </c>
      <c r="AJ35" s="29">
        <f t="shared" ref="AJ35:AN35" si="135">AJ19/AJ10</f>
        <v>0.22609782751591531</v>
      </c>
      <c r="AK35" s="29">
        <f t="shared" si="135"/>
        <v>0.21593459525174319</v>
      </c>
      <c r="AL35" s="29">
        <f t="shared" si="135"/>
        <v>0.21464242689425053</v>
      </c>
      <c r="AM35" s="29">
        <f t="shared" si="135"/>
        <v>0.21460379305566946</v>
      </c>
      <c r="AN35" s="29">
        <f t="shared" si="135"/>
        <v>0.21443829289205948</v>
      </c>
    </row>
    <row r="36" spans="1:40" s="30" customFormat="1" ht="14.4" x14ac:dyDescent="0.3">
      <c r="A36" s="28" t="s">
        <v>55</v>
      </c>
      <c r="B36" s="28"/>
      <c r="C36" s="28"/>
      <c r="D36" s="28"/>
      <c r="E36" s="28"/>
      <c r="F36" s="29">
        <f t="shared" ref="F36:Q36" si="136">F23/F10</f>
        <v>0.11534828807556095</v>
      </c>
      <c r="G36" s="29">
        <f t="shared" si="136"/>
        <v>0.11075192234699044</v>
      </c>
      <c r="H36" s="29">
        <f t="shared" si="136"/>
        <v>0.13981316511773489</v>
      </c>
      <c r="I36" s="29">
        <f t="shared" si="136"/>
        <v>0.14169246947479114</v>
      </c>
      <c r="J36" s="29">
        <f t="shared" si="136"/>
        <v>0.1403446316315497</v>
      </c>
      <c r="K36" s="29">
        <f t="shared" si="136"/>
        <v>0.15643927076135117</v>
      </c>
      <c r="L36" s="29">
        <f t="shared" si="136"/>
        <v>0.19281568484072942</v>
      </c>
      <c r="M36" s="29">
        <f t="shared" si="136"/>
        <v>0.18022081462161474</v>
      </c>
      <c r="N36" s="29">
        <f t="shared" si="136"/>
        <v>0.12885274270510269</v>
      </c>
      <c r="O36" s="29">
        <f t="shared" si="136"/>
        <v>0.14197199050570614</v>
      </c>
      <c r="P36" s="29">
        <f t="shared" si="136"/>
        <v>0.16496124166920528</v>
      </c>
      <c r="Q36" s="29">
        <f t="shared" si="136"/>
        <v>0.17221906639489415</v>
      </c>
      <c r="R36" s="29">
        <f>R23/R10</f>
        <v>0.16212903712848212</v>
      </c>
      <c r="S36" s="29">
        <f>S23/S10</f>
        <v>0.18621489790717538</v>
      </c>
      <c r="T36" s="29">
        <f t="shared" ref="T36:V36" si="137">T23/T10</f>
        <v>0.16606986171449156</v>
      </c>
      <c r="U36" s="29">
        <f t="shared" si="137"/>
        <v>0.16303929636650016</v>
      </c>
      <c r="V36" s="29">
        <f t="shared" si="137"/>
        <v>0.17035849213894372</v>
      </c>
      <c r="W36" s="28"/>
      <c r="X36" s="29">
        <f t="shared" ref="X36:Z36" si="138">X23/X10</f>
        <v>8.2775993470665374E-2</v>
      </c>
      <c r="Y36" s="29">
        <f t="shared" si="138"/>
        <v>7.4092413409797248E-2</v>
      </c>
      <c r="Z36" s="29">
        <f t="shared" si="138"/>
        <v>0.11686326421255284</v>
      </c>
      <c r="AA36" s="29">
        <f t="shared" ref="AA36:AI36" si="139">AA23/AA10</f>
        <v>0.13558575383711746</v>
      </c>
      <c r="AB36" s="29">
        <f t="shared" si="139"/>
        <v>0.16606050883124465</v>
      </c>
      <c r="AC36" s="29">
        <f t="shared" si="139"/>
        <v>0.16010822912623549</v>
      </c>
      <c r="AD36" s="29">
        <f t="shared" si="139"/>
        <v>0.17111472503650518</v>
      </c>
      <c r="AE36" s="29">
        <f t="shared" si="139"/>
        <v>0.15878898750149159</v>
      </c>
      <c r="AF36" s="29">
        <f t="shared" si="139"/>
        <v>0.15898445231333308</v>
      </c>
      <c r="AG36" s="29">
        <f t="shared" si="139"/>
        <v>0.16742439234463297</v>
      </c>
      <c r="AH36" s="29">
        <f t="shared" si="139"/>
        <v>0.16791520522357692</v>
      </c>
      <c r="AI36" s="29">
        <f t="shared" si="139"/>
        <v>0.16468396879520095</v>
      </c>
      <c r="AJ36" s="29">
        <f t="shared" ref="AJ36:AN36" si="140">AJ23/AJ10</f>
        <v>0.16836894627832058</v>
      </c>
      <c r="AK36" s="29">
        <f t="shared" si="140"/>
        <v>0.16049399048091711</v>
      </c>
      <c r="AL36" s="29">
        <f t="shared" si="140"/>
        <v>0.15965023779057771</v>
      </c>
      <c r="AM36" s="29">
        <f t="shared" si="140"/>
        <v>0.1599072980395628</v>
      </c>
      <c r="AN36" s="29">
        <f t="shared" si="140"/>
        <v>0.15997946747367978</v>
      </c>
    </row>
    <row r="37" spans="1:40" s="27" customFormat="1" ht="14.4" x14ac:dyDescent="0.3">
      <c r="A37" s="24" t="s">
        <v>123</v>
      </c>
      <c r="B37" s="24"/>
      <c r="C37" s="24"/>
      <c r="D37" s="24"/>
      <c r="E37" s="24"/>
      <c r="F37" s="25">
        <f t="shared" ref="F37:Q37" si="141">F20/F19</f>
        <v>0.20182349996047305</v>
      </c>
      <c r="G37" s="25">
        <f t="shared" si="141"/>
        <v>0.21272191027168075</v>
      </c>
      <c r="H37" s="25">
        <f t="shared" si="141"/>
        <v>0.21214701866796437</v>
      </c>
      <c r="I37" s="25">
        <f t="shared" si="141"/>
        <v>0.21329690905184326</v>
      </c>
      <c r="J37" s="25">
        <f t="shared" si="141"/>
        <v>0.18782162273426248</v>
      </c>
      <c r="K37" s="25">
        <f t="shared" si="141"/>
        <v>0.22311909285636491</v>
      </c>
      <c r="L37" s="25">
        <f t="shared" si="141"/>
        <v>0.21895836045183029</v>
      </c>
      <c r="M37" s="25">
        <f t="shared" si="141"/>
        <v>0.1738083528013443</v>
      </c>
      <c r="N37" s="25">
        <f t="shared" si="141"/>
        <v>0.21538343125432943</v>
      </c>
      <c r="O37" s="25">
        <f t="shared" si="141"/>
        <v>0.2183155141559216</v>
      </c>
      <c r="P37" s="25">
        <f t="shared" si="141"/>
        <v>0.22212413157793728</v>
      </c>
      <c r="Q37" s="25">
        <f t="shared" si="141"/>
        <v>0.21384295414228338</v>
      </c>
      <c r="R37" s="25">
        <f>R20/R19</f>
        <v>0.21095215184155997</v>
      </c>
      <c r="S37" s="25">
        <f>S20/S19</f>
        <v>0.21483486547957761</v>
      </c>
      <c r="T37" s="25">
        <f t="shared" ref="T37:V37" si="142">T20/T19</f>
        <v>0.22</v>
      </c>
      <c r="U37" s="25">
        <f t="shared" si="142"/>
        <v>0.21999999999999997</v>
      </c>
      <c r="V37" s="25">
        <f t="shared" si="142"/>
        <v>0.22</v>
      </c>
      <c r="W37" s="24"/>
      <c r="X37" s="25">
        <f t="shared" ref="X37:Z37" si="143">X20/X19</f>
        <v>0.20981743825837798</v>
      </c>
      <c r="Y37" s="25">
        <f t="shared" si="143"/>
        <v>0.23748651116460504</v>
      </c>
      <c r="Z37" s="25">
        <f t="shared" si="143"/>
        <v>0.17471591901160063</v>
      </c>
      <c r="AA37" s="25">
        <f t="shared" ref="AA37:AI37" si="144">AA20/AA19</f>
        <v>0.20469986691882056</v>
      </c>
      <c r="AB37" s="25">
        <f t="shared" si="144"/>
        <v>0.20800827311364173</v>
      </c>
      <c r="AC37" s="25">
        <f t="shared" si="144"/>
        <v>0.21629232864739989</v>
      </c>
      <c r="AD37" s="25">
        <f t="shared" si="144"/>
        <v>0.21869961491172152</v>
      </c>
      <c r="AE37" s="25">
        <f t="shared" si="144"/>
        <v>0.21</v>
      </c>
      <c r="AF37" s="25">
        <f t="shared" si="144"/>
        <v>0.21000000000000002</v>
      </c>
      <c r="AG37" s="25">
        <f t="shared" si="144"/>
        <v>0.21</v>
      </c>
      <c r="AH37" s="25">
        <f t="shared" si="144"/>
        <v>0.21</v>
      </c>
      <c r="AI37" s="25">
        <f t="shared" si="144"/>
        <v>0.21</v>
      </c>
      <c r="AJ37" s="25">
        <f t="shared" ref="AJ37:AN37" si="145">AJ20/AJ19</f>
        <v>0.21</v>
      </c>
      <c r="AK37" s="25">
        <f t="shared" si="145"/>
        <v>0.21</v>
      </c>
      <c r="AL37" s="25">
        <f t="shared" si="145"/>
        <v>0.21</v>
      </c>
      <c r="AM37" s="25">
        <f t="shared" si="145"/>
        <v>0.21</v>
      </c>
      <c r="AN37" s="25">
        <f t="shared" si="145"/>
        <v>0.21</v>
      </c>
    </row>
    <row r="39" spans="1:40" s="10" customFormat="1" x14ac:dyDescent="0.25">
      <c r="A39" s="9" t="s">
        <v>115</v>
      </c>
      <c r="B39" s="9"/>
      <c r="C39" s="9"/>
      <c r="D39" s="9"/>
      <c r="E39" s="9"/>
      <c r="F39" s="9">
        <f t="shared" ref="F39:Q39" si="146">F40-F41</f>
        <v>-188.82400000000001</v>
      </c>
      <c r="G39" s="9">
        <f t="shared" si="146"/>
        <v>0</v>
      </c>
      <c r="H39" s="9">
        <f t="shared" si="146"/>
        <v>0</v>
      </c>
      <c r="I39" s="9">
        <f t="shared" si="146"/>
        <v>0</v>
      </c>
      <c r="J39" s="9">
        <f t="shared" si="146"/>
        <v>-246.10900000000001</v>
      </c>
      <c r="K39" s="9">
        <f t="shared" si="146"/>
        <v>0</v>
      </c>
      <c r="L39" s="9">
        <f t="shared" si="146"/>
        <v>0</v>
      </c>
      <c r="M39" s="9">
        <f t="shared" si="146"/>
        <v>0</v>
      </c>
      <c r="N39" s="9">
        <f t="shared" si="146"/>
        <v>-278.154</v>
      </c>
      <c r="O39" s="9">
        <f t="shared" si="146"/>
        <v>-155.57399999999998</v>
      </c>
      <c r="P39" s="9">
        <f t="shared" si="146"/>
        <v>-119.971</v>
      </c>
      <c r="Q39" s="9">
        <f t="shared" si="146"/>
        <v>-108.88900000000001</v>
      </c>
      <c r="R39" s="9">
        <f>R40-R41</f>
        <v>-155.29899999999998</v>
      </c>
      <c r="S39" s="9">
        <f>S40-S41</f>
        <v>-106.52100000000002</v>
      </c>
      <c r="T39" s="9">
        <f>T40-T41</f>
        <v>0</v>
      </c>
      <c r="U39" s="9">
        <f>U40-U41</f>
        <v>0</v>
      </c>
      <c r="V39" s="9">
        <f>V40-V41</f>
        <v>0</v>
      </c>
      <c r="W39" s="9"/>
      <c r="X39" s="9"/>
      <c r="Y39" s="9"/>
      <c r="Z39" s="9">
        <f>Z40-Z41</f>
        <v>-188.82400000000001</v>
      </c>
      <c r="AA39" s="9">
        <f>AA40-AA41</f>
        <v>-246.10900000000001</v>
      </c>
      <c r="AB39" s="9">
        <f>AB40-AB41</f>
        <v>-278.154</v>
      </c>
      <c r="AC39" s="9">
        <f>AC40-AC41</f>
        <v>-155.29899999999998</v>
      </c>
    </row>
    <row r="40" spans="1:40" s="10" customFormat="1" x14ac:dyDescent="0.25">
      <c r="A40" s="9" t="s">
        <v>3</v>
      </c>
      <c r="B40" s="9"/>
      <c r="C40" s="9"/>
      <c r="D40" s="9"/>
      <c r="E40" s="9"/>
      <c r="F40" s="9">
        <f t="shared" ref="F40:Q40" si="147">F42+F43</f>
        <v>33.634999999999998</v>
      </c>
      <c r="G40" s="9">
        <f t="shared" si="147"/>
        <v>0</v>
      </c>
      <c r="H40" s="9">
        <f t="shared" si="147"/>
        <v>0</v>
      </c>
      <c r="I40" s="9">
        <f t="shared" si="147"/>
        <v>0</v>
      </c>
      <c r="J40" s="9">
        <f t="shared" si="147"/>
        <v>93.554000000000002</v>
      </c>
      <c r="K40" s="9">
        <f t="shared" si="147"/>
        <v>0</v>
      </c>
      <c r="L40" s="9">
        <f t="shared" si="147"/>
        <v>0</v>
      </c>
      <c r="M40" s="9">
        <f t="shared" si="147"/>
        <v>0</v>
      </c>
      <c r="N40" s="9">
        <f t="shared" si="147"/>
        <v>93.27</v>
      </c>
      <c r="O40" s="9">
        <f t="shared" si="147"/>
        <v>195.68699999999998</v>
      </c>
      <c r="P40" s="9">
        <f t="shared" si="147"/>
        <v>231.202</v>
      </c>
      <c r="Q40" s="9">
        <f t="shared" si="147"/>
        <v>246.161</v>
      </c>
      <c r="R40" s="9">
        <f>R42+R43</f>
        <v>199.459</v>
      </c>
      <c r="S40" s="9">
        <f>S42+S43</f>
        <v>210.50799999999998</v>
      </c>
      <c r="T40" s="9">
        <f>T42+T43</f>
        <v>0</v>
      </c>
      <c r="U40" s="9">
        <f>U42+U43</f>
        <v>0</v>
      </c>
      <c r="V40" s="9">
        <f>V42+V43</f>
        <v>0</v>
      </c>
      <c r="W40" s="9"/>
      <c r="X40" s="9"/>
      <c r="Y40" s="9"/>
      <c r="Z40" s="9">
        <f>Z42+Z43</f>
        <v>33.634999999999998</v>
      </c>
      <c r="AA40" s="9">
        <f>AA42+AA43</f>
        <v>93.554000000000002</v>
      </c>
      <c r="AB40" s="9">
        <f>AB42+AB43</f>
        <v>93.27</v>
      </c>
      <c r="AC40" s="9">
        <f>AC42+AC43</f>
        <v>199.459</v>
      </c>
    </row>
    <row r="41" spans="1:40" s="32" customFormat="1" ht="14.4" thickBot="1" x14ac:dyDescent="0.3">
      <c r="A41" s="31" t="s">
        <v>4</v>
      </c>
      <c r="B41" s="31"/>
      <c r="C41" s="31"/>
      <c r="D41" s="31"/>
      <c r="E41" s="31"/>
      <c r="F41" s="31">
        <f t="shared" ref="F41:Q41" si="148">F57+F58+F59+F60</f>
        <v>222.459</v>
      </c>
      <c r="G41" s="31">
        <f t="shared" si="148"/>
        <v>0</v>
      </c>
      <c r="H41" s="31">
        <f t="shared" si="148"/>
        <v>0</v>
      </c>
      <c r="I41" s="31">
        <f t="shared" si="148"/>
        <v>0</v>
      </c>
      <c r="J41" s="31">
        <f t="shared" si="148"/>
        <v>339.66300000000001</v>
      </c>
      <c r="K41" s="31">
        <f t="shared" si="148"/>
        <v>0</v>
      </c>
      <c r="L41" s="31">
        <f t="shared" si="148"/>
        <v>0</v>
      </c>
      <c r="M41" s="31">
        <f t="shared" si="148"/>
        <v>0</v>
      </c>
      <c r="N41" s="31">
        <f t="shared" si="148"/>
        <v>371.42399999999998</v>
      </c>
      <c r="O41" s="31">
        <f t="shared" si="148"/>
        <v>351.26099999999997</v>
      </c>
      <c r="P41" s="31">
        <f t="shared" si="148"/>
        <v>351.173</v>
      </c>
      <c r="Q41" s="31">
        <f t="shared" si="148"/>
        <v>355.05</v>
      </c>
      <c r="R41" s="31">
        <f>R57+R58+R59+R60</f>
        <v>354.75799999999998</v>
      </c>
      <c r="S41" s="31">
        <f>S57+S58+S59+S60</f>
        <v>317.029</v>
      </c>
      <c r="T41" s="31">
        <f>T57+T58+T59+T60</f>
        <v>0</v>
      </c>
      <c r="U41" s="31">
        <f>U57+U58+U59+U60</f>
        <v>0</v>
      </c>
      <c r="V41" s="31">
        <f>V57+V58+V59+V60</f>
        <v>0</v>
      </c>
      <c r="W41" s="31"/>
      <c r="X41" s="31"/>
      <c r="Y41" s="31"/>
      <c r="Z41" s="31">
        <f>Z57+Z58+Z59+Z60</f>
        <v>222.459</v>
      </c>
      <c r="AA41" s="31">
        <f>AA57+AA58+AA59+AA60</f>
        <v>339.66300000000001</v>
      </c>
      <c r="AB41" s="31">
        <f>AB57+AB58+AB59+AB60</f>
        <v>371.42399999999998</v>
      </c>
      <c r="AC41" s="31">
        <f>AC57+AC58+AC59+AC60</f>
        <v>354.75799999999998</v>
      </c>
    </row>
    <row r="42" spans="1:40" s="10" customFormat="1" x14ac:dyDescent="0.25">
      <c r="A42" s="9" t="s">
        <v>3</v>
      </c>
      <c r="B42" s="9"/>
      <c r="C42" s="9"/>
      <c r="D42" s="9"/>
      <c r="E42" s="9"/>
      <c r="F42" s="9">
        <v>19.478999999999999</v>
      </c>
      <c r="G42" s="9"/>
      <c r="H42" s="9"/>
      <c r="I42" s="9"/>
      <c r="J42" s="9">
        <v>78.695999999999998</v>
      </c>
      <c r="K42" s="9"/>
      <c r="L42" s="9"/>
      <c r="M42" s="9"/>
      <c r="N42" s="9">
        <v>76.587999999999994</v>
      </c>
      <c r="O42" s="9">
        <v>177.27099999999999</v>
      </c>
      <c r="P42" s="9">
        <v>209.595</v>
      </c>
      <c r="Q42" s="9">
        <v>223.453</v>
      </c>
      <c r="R42" s="9">
        <v>179.756</v>
      </c>
      <c r="S42" s="9">
        <v>185.89699999999999</v>
      </c>
      <c r="T42" s="9"/>
      <c r="U42" s="9"/>
      <c r="V42" s="9"/>
      <c r="W42" s="9"/>
      <c r="X42" s="9"/>
      <c r="Y42" s="9"/>
      <c r="Z42" s="9">
        <f>F42</f>
        <v>19.478999999999999</v>
      </c>
      <c r="AA42" s="9">
        <f>J42</f>
        <v>78.695999999999998</v>
      </c>
      <c r="AB42" s="9">
        <f>N42</f>
        <v>76.587999999999994</v>
      </c>
      <c r="AC42" s="9">
        <f>R42</f>
        <v>179.756</v>
      </c>
    </row>
    <row r="43" spans="1:40" s="10" customFormat="1" x14ac:dyDescent="0.25">
      <c r="A43" s="9" t="s">
        <v>94</v>
      </c>
      <c r="B43" s="9"/>
      <c r="C43" s="9"/>
      <c r="D43" s="9"/>
      <c r="E43" s="9"/>
      <c r="F43" s="9">
        <v>14.156000000000001</v>
      </c>
      <c r="G43" s="9"/>
      <c r="H43" s="9"/>
      <c r="I43" s="9"/>
      <c r="J43" s="9">
        <v>14.858000000000001</v>
      </c>
      <c r="K43" s="9"/>
      <c r="L43" s="9"/>
      <c r="M43" s="9"/>
      <c r="N43" s="9">
        <v>16.681999999999999</v>
      </c>
      <c r="O43" s="9">
        <v>18.416</v>
      </c>
      <c r="P43" s="9">
        <v>21.606999999999999</v>
      </c>
      <c r="Q43" s="9">
        <v>22.707999999999998</v>
      </c>
      <c r="R43" s="9">
        <v>19.702999999999999</v>
      </c>
      <c r="S43" s="9">
        <v>24.611000000000001</v>
      </c>
      <c r="T43" s="9"/>
      <c r="U43" s="9"/>
      <c r="V43" s="9"/>
      <c r="W43" s="9"/>
      <c r="X43" s="9"/>
      <c r="Y43" s="9"/>
      <c r="Z43" s="9">
        <f t="shared" ref="Z43:Z52" si="149">F43</f>
        <v>14.156000000000001</v>
      </c>
      <c r="AA43" s="9">
        <f t="shared" ref="AA43:AA52" si="150">J43</f>
        <v>14.858000000000001</v>
      </c>
      <c r="AB43" s="9">
        <f t="shared" ref="AB43:AB52" si="151">N43</f>
        <v>16.681999999999999</v>
      </c>
      <c r="AC43" s="9">
        <f t="shared" ref="AC43:AC52" si="152">R43</f>
        <v>19.702999999999999</v>
      </c>
    </row>
    <row r="44" spans="1:40" s="10" customFormat="1" x14ac:dyDescent="0.25">
      <c r="A44" s="9" t="s">
        <v>95</v>
      </c>
      <c r="B44" s="9"/>
      <c r="C44" s="9"/>
      <c r="D44" s="9"/>
      <c r="E44" s="9"/>
      <c r="F44" s="9">
        <v>5.2240000000000002</v>
      </c>
      <c r="G44" s="9"/>
      <c r="H44" s="9"/>
      <c r="I44" s="9"/>
      <c r="J44" s="9">
        <v>6.8710000000000004</v>
      </c>
      <c r="K44" s="9"/>
      <c r="L44" s="9"/>
      <c r="M44" s="9"/>
      <c r="N44" s="9">
        <v>5.2880000000000003</v>
      </c>
      <c r="O44" s="9">
        <v>7.2560000000000002</v>
      </c>
      <c r="P44" s="9">
        <v>7.0570000000000004</v>
      </c>
      <c r="Q44" s="9">
        <v>9.9550000000000001</v>
      </c>
      <c r="R44" s="9">
        <v>10.632</v>
      </c>
      <c r="S44" s="9">
        <v>8.6300000000000008</v>
      </c>
      <c r="T44" s="9"/>
      <c r="U44" s="9"/>
      <c r="V44" s="9"/>
      <c r="W44" s="9"/>
      <c r="X44" s="9"/>
      <c r="Y44" s="9"/>
      <c r="Z44" s="9">
        <f t="shared" si="149"/>
        <v>5.2240000000000002</v>
      </c>
      <c r="AA44" s="9">
        <f t="shared" si="150"/>
        <v>6.8710000000000004</v>
      </c>
      <c r="AB44" s="9">
        <f t="shared" si="151"/>
        <v>5.2880000000000003</v>
      </c>
      <c r="AC44" s="9">
        <f t="shared" si="152"/>
        <v>10.632</v>
      </c>
    </row>
    <row r="45" spans="1:40" s="10" customFormat="1" x14ac:dyDescent="0.25">
      <c r="A45" s="9" t="s">
        <v>96</v>
      </c>
      <c r="B45" s="9"/>
      <c r="C45" s="9"/>
      <c r="D45" s="9"/>
      <c r="E45" s="9"/>
      <c r="F45" s="9">
        <v>844.63499999999999</v>
      </c>
      <c r="G45" s="9"/>
      <c r="H45" s="9"/>
      <c r="I45" s="9"/>
      <c r="J45" s="9">
        <v>1203.7429999999999</v>
      </c>
      <c r="K45" s="9"/>
      <c r="L45" s="9"/>
      <c r="M45" s="9"/>
      <c r="N45" s="9">
        <v>1422.68</v>
      </c>
      <c r="O45" s="9">
        <v>1373.0139999999999</v>
      </c>
      <c r="P45" s="9">
        <v>1404.3979999999999</v>
      </c>
      <c r="Q45" s="9">
        <v>1462.2639999999999</v>
      </c>
      <c r="R45" s="9">
        <v>1533.223</v>
      </c>
      <c r="S45" s="9">
        <v>1655.4939999999999</v>
      </c>
      <c r="T45" s="9"/>
      <c r="U45" s="9"/>
      <c r="V45" s="9"/>
      <c r="W45" s="9"/>
      <c r="X45" s="9"/>
      <c r="Y45" s="9"/>
      <c r="Z45" s="9">
        <f t="shared" si="149"/>
        <v>844.63499999999999</v>
      </c>
      <c r="AA45" s="9">
        <f t="shared" si="150"/>
        <v>1203.7429999999999</v>
      </c>
      <c r="AB45" s="9">
        <f t="shared" si="151"/>
        <v>1422.68</v>
      </c>
      <c r="AC45" s="9">
        <f t="shared" si="152"/>
        <v>1533.223</v>
      </c>
    </row>
    <row r="46" spans="1:40" s="10" customFormat="1" x14ac:dyDescent="0.25">
      <c r="A46" s="9" t="s">
        <v>97</v>
      </c>
      <c r="B46" s="9"/>
      <c r="C46" s="9"/>
      <c r="D46" s="9"/>
      <c r="E46" s="9"/>
      <c r="F46" s="9">
        <v>46.442999999999998</v>
      </c>
      <c r="G46" s="9"/>
      <c r="H46" s="9"/>
      <c r="I46" s="9"/>
      <c r="J46" s="9">
        <v>55.616</v>
      </c>
      <c r="K46" s="9"/>
      <c r="L46" s="9"/>
      <c r="M46" s="9"/>
      <c r="N46" s="9">
        <v>74.224000000000004</v>
      </c>
      <c r="O46" s="9">
        <v>77.058999999999997</v>
      </c>
      <c r="P46" s="9">
        <v>81.8</v>
      </c>
      <c r="Q46" s="9">
        <v>80.209999999999994</v>
      </c>
      <c r="R46" s="9">
        <v>84.644999999999996</v>
      </c>
      <c r="S46" s="9">
        <v>34.701000000000001</v>
      </c>
      <c r="T46" s="9"/>
      <c r="U46" s="9"/>
      <c r="V46" s="9"/>
      <c r="W46" s="9"/>
      <c r="X46" s="9"/>
      <c r="Y46" s="9"/>
      <c r="Z46" s="9">
        <f t="shared" si="149"/>
        <v>46.442999999999998</v>
      </c>
      <c r="AA46" s="9">
        <f t="shared" si="150"/>
        <v>55.616</v>
      </c>
      <c r="AB46" s="9">
        <f t="shared" si="151"/>
        <v>74.224000000000004</v>
      </c>
      <c r="AC46" s="9">
        <f t="shared" si="152"/>
        <v>84.644999999999996</v>
      </c>
    </row>
    <row r="47" spans="1:40" s="10" customFormat="1" x14ac:dyDescent="0.25">
      <c r="A47" s="9" t="s">
        <v>98</v>
      </c>
      <c r="B47" s="9"/>
      <c r="C47" s="9"/>
      <c r="D47" s="9"/>
      <c r="E47" s="9"/>
      <c r="F47" s="9">
        <v>2.5379999999999998</v>
      </c>
      <c r="G47" s="9"/>
      <c r="H47" s="9"/>
      <c r="I47" s="9"/>
      <c r="J47" s="9">
        <v>4.5960000000000001</v>
      </c>
      <c r="K47" s="9"/>
      <c r="L47" s="9"/>
      <c r="M47" s="9"/>
      <c r="N47" s="9">
        <v>3.4580000000000002</v>
      </c>
      <c r="O47" s="9">
        <v>3.0760000000000001</v>
      </c>
      <c r="P47" s="9">
        <v>2.6890000000000001</v>
      </c>
      <c r="Q47" s="9">
        <v>7.8769999999999998</v>
      </c>
      <c r="R47" s="9">
        <v>7.2549999999999999</v>
      </c>
      <c r="S47" s="9">
        <v>6.9969999999999999</v>
      </c>
      <c r="T47" s="9"/>
      <c r="U47" s="9"/>
      <c r="V47" s="9"/>
      <c r="W47" s="9"/>
      <c r="X47" s="9"/>
      <c r="Y47" s="9"/>
      <c r="Z47" s="9">
        <f t="shared" si="149"/>
        <v>2.5379999999999998</v>
      </c>
      <c r="AA47" s="9">
        <f t="shared" si="150"/>
        <v>4.5960000000000001</v>
      </c>
      <c r="AB47" s="9">
        <f t="shared" si="151"/>
        <v>3.4580000000000002</v>
      </c>
      <c r="AC47" s="9">
        <f t="shared" si="152"/>
        <v>7.2549999999999999</v>
      </c>
    </row>
    <row r="48" spans="1:40" s="10" customFormat="1" x14ac:dyDescent="0.25">
      <c r="A48" s="9" t="s">
        <v>99</v>
      </c>
      <c r="B48" s="9"/>
      <c r="C48" s="9"/>
      <c r="D48" s="9"/>
      <c r="E48" s="9"/>
      <c r="F48" s="9">
        <v>3.5950000000000002</v>
      </c>
      <c r="G48" s="9"/>
      <c r="H48" s="9"/>
      <c r="I48" s="9"/>
      <c r="J48" s="9">
        <v>2.8119999999999998</v>
      </c>
      <c r="K48" s="9"/>
      <c r="L48" s="9"/>
      <c r="M48" s="9"/>
      <c r="N48" s="9">
        <v>2.919</v>
      </c>
      <c r="O48" s="9">
        <v>3.9129999999999998</v>
      </c>
      <c r="P48" s="9">
        <v>4.375</v>
      </c>
      <c r="Q48" s="9">
        <v>5.4020000000000001</v>
      </c>
      <c r="R48" s="9">
        <v>7.0540000000000003</v>
      </c>
      <c r="S48" s="9">
        <v>6.8259999999999996</v>
      </c>
      <c r="T48" s="9"/>
      <c r="U48" s="9"/>
      <c r="V48" s="9"/>
      <c r="W48" s="9"/>
      <c r="X48" s="9"/>
      <c r="Y48" s="9"/>
      <c r="Z48" s="9">
        <f t="shared" si="149"/>
        <v>3.5950000000000002</v>
      </c>
      <c r="AA48" s="9">
        <f t="shared" si="150"/>
        <v>2.8119999999999998</v>
      </c>
      <c r="AB48" s="9">
        <f t="shared" si="151"/>
        <v>2.919</v>
      </c>
      <c r="AC48" s="9">
        <f t="shared" si="152"/>
        <v>7.0540000000000003</v>
      </c>
    </row>
    <row r="49" spans="1:29" s="10" customFormat="1" x14ac:dyDescent="0.25">
      <c r="A49" s="9" t="s">
        <v>100</v>
      </c>
      <c r="B49" s="9"/>
      <c r="C49" s="9"/>
      <c r="D49" s="9"/>
      <c r="E49" s="9"/>
      <c r="F49" s="9">
        <v>22.242000000000001</v>
      </c>
      <c r="G49" s="9"/>
      <c r="H49" s="9"/>
      <c r="I49" s="9"/>
      <c r="J49" s="9">
        <v>26.007999999999999</v>
      </c>
      <c r="K49" s="9"/>
      <c r="L49" s="9"/>
      <c r="M49" s="9"/>
      <c r="N49" s="9">
        <v>23.919</v>
      </c>
      <c r="O49" s="9">
        <v>19.53</v>
      </c>
      <c r="P49" s="9">
        <v>16.135999999999999</v>
      </c>
      <c r="Q49" s="9">
        <v>18.212</v>
      </c>
      <c r="R49" s="9">
        <v>16.619</v>
      </c>
      <c r="S49" s="9">
        <v>16.463999999999999</v>
      </c>
      <c r="T49" s="9"/>
      <c r="U49" s="9"/>
      <c r="V49" s="9"/>
      <c r="W49" s="9"/>
      <c r="X49" s="9"/>
      <c r="Y49" s="9"/>
      <c r="Z49" s="9">
        <f t="shared" si="149"/>
        <v>22.242000000000001</v>
      </c>
      <c r="AA49" s="9">
        <f t="shared" si="150"/>
        <v>26.007999999999999</v>
      </c>
      <c r="AB49" s="9">
        <f t="shared" si="151"/>
        <v>23.919</v>
      </c>
      <c r="AC49" s="9">
        <f t="shared" si="152"/>
        <v>16.619</v>
      </c>
    </row>
    <row r="50" spans="1:29" s="10" customFormat="1" x14ac:dyDescent="0.25">
      <c r="A50" s="9" t="s">
        <v>101</v>
      </c>
      <c r="B50" s="9"/>
      <c r="C50" s="9"/>
      <c r="D50" s="9"/>
      <c r="E50" s="9"/>
      <c r="F50" s="9">
        <v>15.375999999999999</v>
      </c>
      <c r="G50" s="9"/>
      <c r="H50" s="9"/>
      <c r="I50" s="9"/>
      <c r="J50" s="9">
        <v>15.741</v>
      </c>
      <c r="K50" s="9"/>
      <c r="L50" s="9"/>
      <c r="M50" s="9"/>
      <c r="N50" s="9">
        <v>16.448</v>
      </c>
      <c r="O50" s="9">
        <v>16.448</v>
      </c>
      <c r="P50" s="9">
        <v>16.448</v>
      </c>
      <c r="Q50" s="9">
        <v>16.448</v>
      </c>
      <c r="R50" s="9">
        <v>15.305999999999999</v>
      </c>
      <c r="S50" s="9">
        <v>15.305999999999999</v>
      </c>
      <c r="T50" s="9"/>
      <c r="U50" s="9"/>
      <c r="V50" s="9"/>
      <c r="W50" s="9"/>
      <c r="X50" s="9"/>
      <c r="Y50" s="9"/>
      <c r="Z50" s="9">
        <f t="shared" si="149"/>
        <v>15.375999999999999</v>
      </c>
      <c r="AA50" s="9">
        <f t="shared" si="150"/>
        <v>15.741</v>
      </c>
      <c r="AB50" s="9">
        <f t="shared" si="151"/>
        <v>16.448</v>
      </c>
      <c r="AC50" s="9">
        <f t="shared" si="152"/>
        <v>15.305999999999999</v>
      </c>
    </row>
    <row r="51" spans="1:29" s="10" customFormat="1" x14ac:dyDescent="0.25">
      <c r="A51" s="9" t="s">
        <v>102</v>
      </c>
      <c r="B51" s="9"/>
      <c r="C51" s="9"/>
      <c r="D51" s="9"/>
      <c r="E51" s="9"/>
      <c r="F51" s="9">
        <f>0.622+0.68</f>
        <v>1.302</v>
      </c>
      <c r="G51" s="9"/>
      <c r="H51" s="9"/>
      <c r="I51" s="9"/>
      <c r="J51" s="9">
        <f>0.537+0.68</f>
        <v>1.2170000000000001</v>
      </c>
      <c r="K51" s="9"/>
      <c r="L51" s="9"/>
      <c r="M51" s="9"/>
      <c r="N51" s="9">
        <f>0.452+0.68</f>
        <v>1.1320000000000001</v>
      </c>
      <c r="O51" s="9">
        <f>0.429+0.68</f>
        <v>1.109</v>
      </c>
      <c r="P51" s="9">
        <f>0.409+0.68</f>
        <v>1.089</v>
      </c>
      <c r="Q51" s="9">
        <f>0.388+0.68</f>
        <v>1.0680000000000001</v>
      </c>
      <c r="R51" s="9">
        <f>0.367+0.68</f>
        <v>1.0470000000000002</v>
      </c>
      <c r="S51" s="9">
        <f>0.345+0.68</f>
        <v>1.0249999999999999</v>
      </c>
      <c r="T51" s="9"/>
      <c r="U51" s="9"/>
      <c r="V51" s="9"/>
      <c r="W51" s="9"/>
      <c r="X51" s="9"/>
      <c r="Y51" s="9"/>
      <c r="Z51" s="9">
        <f t="shared" si="149"/>
        <v>1.302</v>
      </c>
      <c r="AA51" s="9">
        <f t="shared" si="150"/>
        <v>1.2170000000000001</v>
      </c>
      <c r="AB51" s="9">
        <f t="shared" si="151"/>
        <v>1.1320000000000001</v>
      </c>
      <c r="AC51" s="9">
        <f t="shared" si="152"/>
        <v>1.0470000000000002</v>
      </c>
    </row>
    <row r="52" spans="1:29" s="10" customFormat="1" x14ac:dyDescent="0.25">
      <c r="A52" s="9" t="s">
        <v>103</v>
      </c>
      <c r="B52" s="9"/>
      <c r="C52" s="9"/>
      <c r="D52" s="9"/>
      <c r="E52" s="9"/>
      <c r="F52" s="9">
        <v>13.856999999999999</v>
      </c>
      <c r="G52" s="9"/>
      <c r="H52" s="9"/>
      <c r="I52" s="9"/>
      <c r="J52" s="9">
        <v>11.709</v>
      </c>
      <c r="K52" s="9"/>
      <c r="L52" s="9"/>
      <c r="M52" s="9"/>
      <c r="N52" s="9">
        <v>12.346</v>
      </c>
      <c r="O52" s="9">
        <v>9.3640000000000008</v>
      </c>
      <c r="P52" s="9">
        <v>11.379</v>
      </c>
      <c r="Q52" s="9">
        <v>19.048999999999999</v>
      </c>
      <c r="R52" s="9">
        <v>27.582999999999998</v>
      </c>
      <c r="S52" s="9">
        <v>20.623000000000001</v>
      </c>
      <c r="T52" s="9"/>
      <c r="U52" s="9"/>
      <c r="V52" s="9"/>
      <c r="W52" s="9"/>
      <c r="X52" s="9"/>
      <c r="Y52" s="9"/>
      <c r="Z52" s="9">
        <f t="shared" si="149"/>
        <v>13.856999999999999</v>
      </c>
      <c r="AA52" s="9">
        <f t="shared" si="150"/>
        <v>11.709</v>
      </c>
      <c r="AB52" s="9">
        <f t="shared" si="151"/>
        <v>12.346</v>
      </c>
      <c r="AC52" s="9">
        <f t="shared" si="152"/>
        <v>27.582999999999998</v>
      </c>
    </row>
    <row r="53" spans="1:29" s="34" customFormat="1" x14ac:dyDescent="0.25">
      <c r="A53" s="33" t="s">
        <v>104</v>
      </c>
      <c r="B53" s="33"/>
      <c r="C53" s="33"/>
      <c r="D53" s="33"/>
      <c r="E53" s="33"/>
      <c r="F53" s="33">
        <f t="shared" ref="F53:G53" si="153">SUM(F42:F52)</f>
        <v>988.84699999999998</v>
      </c>
      <c r="G53" s="33">
        <f t="shared" si="153"/>
        <v>0</v>
      </c>
      <c r="H53" s="33">
        <f t="shared" ref="H53" si="154">SUM(H42:H52)</f>
        <v>0</v>
      </c>
      <c r="I53" s="33">
        <f t="shared" ref="I53:Q53" si="155">SUM(I42:I52)</f>
        <v>0</v>
      </c>
      <c r="J53" s="33">
        <f t="shared" si="155"/>
        <v>1421.867</v>
      </c>
      <c r="K53" s="33">
        <f t="shared" si="155"/>
        <v>0</v>
      </c>
      <c r="L53" s="33">
        <f t="shared" si="155"/>
        <v>0</v>
      </c>
      <c r="M53" s="33">
        <f t="shared" si="155"/>
        <v>0</v>
      </c>
      <c r="N53" s="33">
        <f t="shared" si="155"/>
        <v>1655.6840000000004</v>
      </c>
      <c r="O53" s="33">
        <f t="shared" si="155"/>
        <v>1706.4559999999999</v>
      </c>
      <c r="P53" s="33">
        <f t="shared" si="155"/>
        <v>1776.5729999999999</v>
      </c>
      <c r="Q53" s="33">
        <f t="shared" si="155"/>
        <v>1866.646</v>
      </c>
      <c r="R53" s="33">
        <f>SUM(R42:R52)</f>
        <v>1902.8230000000001</v>
      </c>
      <c r="S53" s="33">
        <f>SUM(S42:S52)</f>
        <v>1976.5740000000001</v>
      </c>
      <c r="T53" s="33">
        <f t="shared" ref="T53:V53" si="156">SUM(T42:T52)</f>
        <v>0</v>
      </c>
      <c r="U53" s="33">
        <f t="shared" si="156"/>
        <v>0</v>
      </c>
      <c r="V53" s="33">
        <f t="shared" si="156"/>
        <v>0</v>
      </c>
      <c r="W53" s="33"/>
      <c r="X53" s="33"/>
      <c r="Y53" s="33"/>
      <c r="Z53" s="33">
        <f t="shared" ref="Z53" si="157">SUM(Z42:Z52)</f>
        <v>988.84699999999998</v>
      </c>
      <c r="AA53" s="33">
        <f t="shared" ref="AA53:AC53" si="158">SUM(AA42:AA52)</f>
        <v>1421.867</v>
      </c>
      <c r="AB53" s="33">
        <f t="shared" si="158"/>
        <v>1655.6840000000004</v>
      </c>
      <c r="AC53" s="33">
        <f t="shared" si="158"/>
        <v>1902.8230000000001</v>
      </c>
    </row>
    <row r="54" spans="1:29" s="10" customFormat="1" x14ac:dyDescent="0.25">
      <c r="A54" s="9" t="s">
        <v>105</v>
      </c>
      <c r="B54" s="9"/>
      <c r="C54" s="9"/>
      <c r="D54" s="9"/>
      <c r="E54" s="9"/>
      <c r="F54" s="9">
        <v>24.521000000000001</v>
      </c>
      <c r="G54" s="9"/>
      <c r="H54" s="9"/>
      <c r="I54" s="9"/>
      <c r="J54" s="9">
        <v>45.682000000000002</v>
      </c>
      <c r="K54" s="9"/>
      <c r="L54" s="9"/>
      <c r="M54" s="9"/>
      <c r="N54" s="9">
        <v>51.804000000000002</v>
      </c>
      <c r="O54" s="9">
        <v>52.862000000000002</v>
      </c>
      <c r="P54" s="9">
        <v>57.463999999999999</v>
      </c>
      <c r="Q54" s="9">
        <v>56.564999999999998</v>
      </c>
      <c r="R54" s="9">
        <v>54.320999999999998</v>
      </c>
      <c r="S54" s="9">
        <v>53.33</v>
      </c>
      <c r="T54" s="9"/>
      <c r="U54" s="9"/>
      <c r="V54" s="9"/>
      <c r="W54" s="9"/>
      <c r="X54" s="9"/>
      <c r="Y54" s="9"/>
      <c r="Z54" s="9">
        <f t="shared" ref="Z54:Z61" si="159">F54</f>
        <v>24.521000000000001</v>
      </c>
      <c r="AA54" s="9">
        <f t="shared" ref="AA54:AA61" si="160">J54</f>
        <v>45.682000000000002</v>
      </c>
      <c r="AB54" s="9">
        <f t="shared" ref="AB54:AB61" si="161">N54</f>
        <v>51.804000000000002</v>
      </c>
      <c r="AC54" s="9">
        <f t="shared" ref="AC54:AC61" si="162">R54</f>
        <v>54.320999999999998</v>
      </c>
    </row>
    <row r="55" spans="1:29" s="10" customFormat="1" x14ac:dyDescent="0.25">
      <c r="A55" s="9" t="s">
        <v>106</v>
      </c>
      <c r="B55" s="9"/>
      <c r="C55" s="9"/>
      <c r="D55" s="9"/>
      <c r="E55" s="9"/>
      <c r="F55" s="9">
        <v>40.415999999999997</v>
      </c>
      <c r="G55" s="9"/>
      <c r="H55" s="9"/>
      <c r="I55" s="9"/>
      <c r="J55" s="9">
        <v>61.350999999999999</v>
      </c>
      <c r="K55" s="9"/>
      <c r="L55" s="9"/>
      <c r="M55" s="9"/>
      <c r="N55" s="9">
        <v>91.281000000000006</v>
      </c>
      <c r="O55" s="9">
        <v>108.492</v>
      </c>
      <c r="P55" s="9">
        <v>101.464</v>
      </c>
      <c r="Q55" s="9">
        <v>110.90900000000001</v>
      </c>
      <c r="R55" s="9">
        <v>96.456999999999994</v>
      </c>
      <c r="S55" s="9">
        <v>114.218</v>
      </c>
      <c r="T55" s="9"/>
      <c r="U55" s="9"/>
      <c r="V55" s="9"/>
      <c r="W55" s="9"/>
      <c r="X55" s="9"/>
      <c r="Y55" s="9"/>
      <c r="Z55" s="9">
        <f t="shared" si="159"/>
        <v>40.415999999999997</v>
      </c>
      <c r="AA55" s="9">
        <f t="shared" si="160"/>
        <v>61.350999999999999</v>
      </c>
      <c r="AB55" s="9">
        <f t="shared" si="161"/>
        <v>91.281000000000006</v>
      </c>
      <c r="AC55" s="9">
        <f t="shared" si="162"/>
        <v>96.456999999999994</v>
      </c>
    </row>
    <row r="56" spans="1:29" s="10" customFormat="1" x14ac:dyDescent="0.25">
      <c r="A56" s="9" t="s">
        <v>107</v>
      </c>
      <c r="B56" s="9"/>
      <c r="C56" s="9"/>
      <c r="D56" s="9"/>
      <c r="E56" s="9"/>
      <c r="F56" s="9">
        <v>38.131</v>
      </c>
      <c r="G56" s="9"/>
      <c r="H56" s="9"/>
      <c r="I56" s="9"/>
      <c r="J56" s="9">
        <v>64.61</v>
      </c>
      <c r="K56" s="9"/>
      <c r="L56" s="9"/>
      <c r="M56" s="9"/>
      <c r="N56" s="9">
        <v>29.111999999999998</v>
      </c>
      <c r="O56" s="9">
        <v>36.948</v>
      </c>
      <c r="P56" s="9">
        <v>43.252000000000002</v>
      </c>
      <c r="Q56" s="9">
        <v>47.238999999999997</v>
      </c>
      <c r="R56" s="9">
        <v>43.148000000000003</v>
      </c>
      <c r="S56" s="9">
        <v>54.12</v>
      </c>
      <c r="T56" s="9"/>
      <c r="U56" s="9"/>
      <c r="V56" s="9"/>
      <c r="W56" s="9"/>
      <c r="X56" s="9"/>
      <c r="Y56" s="9"/>
      <c r="Z56" s="9">
        <f t="shared" si="159"/>
        <v>38.131</v>
      </c>
      <c r="AA56" s="9">
        <f t="shared" si="160"/>
        <v>64.61</v>
      </c>
      <c r="AB56" s="9">
        <f t="shared" si="161"/>
        <v>29.111999999999998</v>
      </c>
      <c r="AC56" s="9">
        <f t="shared" si="162"/>
        <v>43.148000000000003</v>
      </c>
    </row>
    <row r="57" spans="1:29" s="10" customFormat="1" x14ac:dyDescent="0.25">
      <c r="A57" s="9" t="s">
        <v>108</v>
      </c>
      <c r="B57" s="9"/>
      <c r="C57" s="9"/>
      <c r="D57" s="9"/>
      <c r="E57" s="9"/>
      <c r="F57" s="9">
        <v>2.5910000000000002</v>
      </c>
      <c r="G57" s="9"/>
      <c r="H57" s="9"/>
      <c r="I57" s="9"/>
      <c r="J57" s="9">
        <v>4.7450000000000001</v>
      </c>
      <c r="K57" s="9"/>
      <c r="L57" s="9"/>
      <c r="M57" s="9"/>
      <c r="N57" s="9">
        <v>3.5819999999999999</v>
      </c>
      <c r="O57" s="9">
        <v>3.1869999999999998</v>
      </c>
      <c r="P57" s="9">
        <v>2.78</v>
      </c>
      <c r="Q57" s="9">
        <v>7.923</v>
      </c>
      <c r="R57" s="9">
        <v>7.8979999999999997</v>
      </c>
      <c r="S57" s="9">
        <v>7.8730000000000002</v>
      </c>
      <c r="T57" s="9"/>
      <c r="U57" s="9"/>
      <c r="V57" s="9"/>
      <c r="W57" s="9"/>
      <c r="X57" s="9"/>
      <c r="Y57" s="9"/>
      <c r="Z57" s="9">
        <f t="shared" si="159"/>
        <v>2.5910000000000002</v>
      </c>
      <c r="AA57" s="9">
        <f t="shared" si="160"/>
        <v>4.7450000000000001</v>
      </c>
      <c r="AB57" s="9">
        <f t="shared" si="161"/>
        <v>3.5819999999999999</v>
      </c>
      <c r="AC57" s="9">
        <f t="shared" si="162"/>
        <v>7.8979999999999997</v>
      </c>
    </row>
    <row r="58" spans="1:29" s="10" customFormat="1" x14ac:dyDescent="0.25">
      <c r="A58" s="9" t="s">
        <v>109</v>
      </c>
      <c r="B58" s="9"/>
      <c r="C58" s="9"/>
      <c r="D58" s="9"/>
      <c r="E58" s="9"/>
      <c r="F58" s="9">
        <v>106.687</v>
      </c>
      <c r="G58" s="9"/>
      <c r="H58" s="9"/>
      <c r="I58" s="9"/>
      <c r="J58" s="9">
        <v>-0.73799999999999999</v>
      </c>
      <c r="K58" s="9"/>
      <c r="L58" s="9"/>
      <c r="M58" s="9"/>
      <c r="N58" s="9">
        <v>17.395</v>
      </c>
      <c r="O58" s="9">
        <v>-2.4529999999999998</v>
      </c>
      <c r="P58" s="9">
        <v>-2.214</v>
      </c>
      <c r="Q58" s="9">
        <v>-1.9830000000000001</v>
      </c>
      <c r="R58" s="9">
        <v>-2.3279999999999998</v>
      </c>
      <c r="S58" s="9">
        <v>-2.2599999999999998</v>
      </c>
      <c r="T58" s="9"/>
      <c r="U58" s="9"/>
      <c r="V58" s="9"/>
      <c r="W58" s="9"/>
      <c r="X58" s="9"/>
      <c r="Y58" s="9"/>
      <c r="Z58" s="9">
        <f t="shared" si="159"/>
        <v>106.687</v>
      </c>
      <c r="AA58" s="9">
        <f t="shared" si="160"/>
        <v>-0.73799999999999999</v>
      </c>
      <c r="AB58" s="9">
        <f t="shared" si="161"/>
        <v>17.395</v>
      </c>
      <c r="AC58" s="9">
        <f t="shared" si="162"/>
        <v>-2.3279999999999998</v>
      </c>
    </row>
    <row r="59" spans="1:29" s="10" customFormat="1" x14ac:dyDescent="0.25">
      <c r="A59" s="9" t="s">
        <v>110</v>
      </c>
      <c r="B59" s="9"/>
      <c r="C59" s="9"/>
      <c r="D59" s="9"/>
      <c r="E59" s="9"/>
      <c r="F59" s="9">
        <v>111.056</v>
      </c>
      <c r="G59" s="9"/>
      <c r="H59" s="9"/>
      <c r="I59" s="9"/>
      <c r="J59" s="9">
        <v>335.44600000000003</v>
      </c>
      <c r="K59" s="9"/>
      <c r="L59" s="9"/>
      <c r="M59" s="9"/>
      <c r="N59" s="9">
        <v>335.82499999999999</v>
      </c>
      <c r="O59" s="9">
        <v>335.92</v>
      </c>
      <c r="P59" s="9">
        <v>336.01600000000002</v>
      </c>
      <c r="Q59" s="9">
        <v>336.11200000000002</v>
      </c>
      <c r="R59" s="9">
        <v>336.20699999999999</v>
      </c>
      <c r="S59" s="9">
        <v>311.303</v>
      </c>
      <c r="T59" s="9"/>
      <c r="U59" s="9"/>
      <c r="V59" s="9"/>
      <c r="W59" s="9"/>
      <c r="X59" s="9"/>
      <c r="Y59" s="9"/>
      <c r="Z59" s="9">
        <f t="shared" si="159"/>
        <v>111.056</v>
      </c>
      <c r="AA59" s="9">
        <f t="shared" si="160"/>
        <v>335.44600000000003</v>
      </c>
      <c r="AB59" s="9">
        <f t="shared" si="161"/>
        <v>335.82499999999999</v>
      </c>
      <c r="AC59" s="9">
        <f t="shared" si="162"/>
        <v>336.20699999999999</v>
      </c>
    </row>
    <row r="60" spans="1:29" s="10" customFormat="1" x14ac:dyDescent="0.25">
      <c r="A60" s="9" t="s">
        <v>111</v>
      </c>
      <c r="B60" s="9"/>
      <c r="C60" s="9"/>
      <c r="D60" s="9"/>
      <c r="E60" s="9"/>
      <c r="F60" s="9">
        <v>2.125</v>
      </c>
      <c r="G60" s="9"/>
      <c r="H60" s="9"/>
      <c r="I60" s="9"/>
      <c r="J60" s="9">
        <v>0.21</v>
      </c>
      <c r="K60" s="9"/>
      <c r="L60" s="9"/>
      <c r="M60" s="9"/>
      <c r="N60" s="9">
        <v>14.622</v>
      </c>
      <c r="O60" s="9">
        <v>14.606999999999999</v>
      </c>
      <c r="P60" s="9">
        <v>14.590999999999999</v>
      </c>
      <c r="Q60" s="9">
        <v>12.997999999999999</v>
      </c>
      <c r="R60" s="9">
        <v>12.981</v>
      </c>
      <c r="S60" s="9">
        <v>0.113</v>
      </c>
      <c r="T60" s="9"/>
      <c r="U60" s="9"/>
      <c r="V60" s="9"/>
      <c r="W60" s="9"/>
      <c r="X60" s="9"/>
      <c r="Y60" s="9"/>
      <c r="Z60" s="9">
        <f t="shared" si="159"/>
        <v>2.125</v>
      </c>
      <c r="AA60" s="9">
        <f t="shared" si="160"/>
        <v>0.21</v>
      </c>
      <c r="AB60" s="9">
        <f t="shared" si="161"/>
        <v>14.622</v>
      </c>
      <c r="AC60" s="9">
        <f t="shared" si="162"/>
        <v>12.981</v>
      </c>
    </row>
    <row r="61" spans="1:29" s="10" customFormat="1" x14ac:dyDescent="0.25">
      <c r="A61" s="9" t="s">
        <v>161</v>
      </c>
      <c r="B61" s="9"/>
      <c r="C61" s="9"/>
      <c r="D61" s="9"/>
      <c r="E61" s="9"/>
      <c r="F61" s="9">
        <v>0.36799999999999999</v>
      </c>
      <c r="G61" s="9"/>
      <c r="H61" s="9"/>
      <c r="I61" s="9"/>
      <c r="J61" s="9"/>
      <c r="K61" s="9"/>
      <c r="L61" s="9"/>
      <c r="M61" s="9"/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/>
      <c r="U61" s="9"/>
      <c r="V61" s="9"/>
      <c r="W61" s="9"/>
      <c r="X61" s="9"/>
      <c r="Y61" s="9"/>
      <c r="Z61" s="9">
        <f t="shared" si="159"/>
        <v>0.36799999999999999</v>
      </c>
      <c r="AA61" s="9">
        <f t="shared" si="160"/>
        <v>0</v>
      </c>
      <c r="AB61" s="9">
        <f t="shared" si="161"/>
        <v>0</v>
      </c>
      <c r="AC61" s="9">
        <f t="shared" si="162"/>
        <v>0</v>
      </c>
    </row>
    <row r="62" spans="1:29" s="34" customFormat="1" x14ac:dyDescent="0.25">
      <c r="A62" s="33" t="s">
        <v>112</v>
      </c>
      <c r="B62" s="33"/>
      <c r="C62" s="33"/>
      <c r="D62" s="33"/>
      <c r="E62" s="33"/>
      <c r="F62" s="33">
        <f>SUM(F54:F61)</f>
        <v>325.89499999999998</v>
      </c>
      <c r="G62" s="33">
        <f t="shared" ref="G62:M62" si="163">SUM(G54:G60)</f>
        <v>0</v>
      </c>
      <c r="H62" s="33">
        <f t="shared" si="163"/>
        <v>0</v>
      </c>
      <c r="I62" s="33">
        <f t="shared" si="163"/>
        <v>0</v>
      </c>
      <c r="J62" s="33">
        <f t="shared" si="163"/>
        <v>511.30599999999998</v>
      </c>
      <c r="K62" s="33">
        <f t="shared" si="163"/>
        <v>0</v>
      </c>
      <c r="L62" s="33">
        <f t="shared" si="163"/>
        <v>0</v>
      </c>
      <c r="M62" s="33">
        <f t="shared" si="163"/>
        <v>0</v>
      </c>
      <c r="N62" s="33">
        <f>SUM(N54:N61)</f>
        <v>543.62099999999998</v>
      </c>
      <c r="O62" s="33">
        <f>SUM(O54:O61)</f>
        <v>549.56299999999999</v>
      </c>
      <c r="P62" s="33">
        <f>SUM(P54:P61)</f>
        <v>553.35300000000007</v>
      </c>
      <c r="Q62" s="33">
        <f>SUM(Q54:Q61)</f>
        <v>569.76300000000003</v>
      </c>
      <c r="R62" s="33">
        <f>SUM(R54:R61)</f>
        <v>548.68399999999997</v>
      </c>
      <c r="S62" s="33">
        <f t="shared" ref="S62:V62" si="164">SUM(S54:S61)</f>
        <v>538.69700000000012</v>
      </c>
      <c r="T62" s="33">
        <f t="shared" si="164"/>
        <v>0</v>
      </c>
      <c r="U62" s="33">
        <f t="shared" si="164"/>
        <v>0</v>
      </c>
      <c r="V62" s="33">
        <f t="shared" si="164"/>
        <v>0</v>
      </c>
      <c r="W62" s="33"/>
      <c r="X62" s="33"/>
      <c r="Y62" s="33"/>
      <c r="Z62" s="33">
        <f>SUM(Z54:Z61)</f>
        <v>325.89499999999998</v>
      </c>
      <c r="AA62" s="33">
        <f t="shared" ref="AA62:AC62" si="165">SUM(AA54:AA60)</f>
        <v>511.30599999999998</v>
      </c>
      <c r="AB62" s="33">
        <f t="shared" si="165"/>
        <v>543.62099999999998</v>
      </c>
      <c r="AC62" s="33">
        <f t="shared" si="165"/>
        <v>548.68399999999997</v>
      </c>
    </row>
    <row r="63" spans="1:29" s="12" customFormat="1" x14ac:dyDescent="0.25">
      <c r="A63" s="11" t="s">
        <v>118</v>
      </c>
      <c r="B63" s="11"/>
      <c r="C63" s="11"/>
      <c r="D63" s="11"/>
      <c r="E63" s="11"/>
      <c r="F63" s="11">
        <v>13.542999999999999</v>
      </c>
      <c r="G63" s="11"/>
      <c r="H63" s="11"/>
      <c r="I63" s="11"/>
      <c r="J63" s="11">
        <v>21.867000000000001</v>
      </c>
      <c r="K63" s="11"/>
      <c r="L63" s="11"/>
      <c r="M63" s="11"/>
      <c r="N63" s="11">
        <v>29.239000000000001</v>
      </c>
      <c r="O63" s="11">
        <v>30.291</v>
      </c>
      <c r="P63" s="11">
        <v>32.994999999999997</v>
      </c>
      <c r="Q63" s="11">
        <v>35.235999999999997</v>
      </c>
      <c r="R63" s="11">
        <v>36.134999999999998</v>
      </c>
      <c r="S63" s="11">
        <v>38.186</v>
      </c>
      <c r="T63" s="11"/>
      <c r="U63" s="11"/>
      <c r="V63" s="11"/>
      <c r="W63" s="11"/>
      <c r="X63" s="11"/>
      <c r="Y63" s="11"/>
      <c r="Z63" s="11">
        <v>13.542999999999999</v>
      </c>
      <c r="AA63" s="11">
        <v>21.867000000000001</v>
      </c>
      <c r="AB63" s="11">
        <v>29.239000000000001</v>
      </c>
      <c r="AC63" s="11">
        <v>36.134999999999998</v>
      </c>
    </row>
    <row r="64" spans="1:29" s="10" customFormat="1" x14ac:dyDescent="0.25">
      <c r="A64" s="9" t="s">
        <v>113</v>
      </c>
      <c r="B64" s="9"/>
      <c r="C64" s="9"/>
      <c r="D64" s="9"/>
      <c r="E64" s="9"/>
      <c r="F64" s="9">
        <v>640.24199999999996</v>
      </c>
      <c r="G64" s="9"/>
      <c r="H64" s="9"/>
      <c r="I64" s="9"/>
      <c r="J64" s="9">
        <v>874.548</v>
      </c>
      <c r="K64" s="9"/>
      <c r="L64" s="9"/>
      <c r="M64" s="9"/>
      <c r="N64" s="9">
        <v>1061.9069999999999</v>
      </c>
      <c r="O64" s="9">
        <v>1114.154</v>
      </c>
      <c r="P64" s="9">
        <v>1174.077</v>
      </c>
      <c r="Q64" s="9">
        <v>1245.2159999999999</v>
      </c>
      <c r="R64" s="9">
        <v>1300.704</v>
      </c>
      <c r="S64" s="9">
        <v>1383.327</v>
      </c>
      <c r="T64" s="9"/>
      <c r="U64" s="9"/>
      <c r="V64" s="9"/>
      <c r="W64" s="9"/>
      <c r="X64" s="9"/>
      <c r="Y64" s="9"/>
      <c r="Z64" s="9">
        <f t="shared" ref="Z64:Z65" si="166">F64</f>
        <v>640.24199999999996</v>
      </c>
      <c r="AA64" s="9">
        <f t="shared" ref="AA64:AA65" si="167">J64</f>
        <v>874.548</v>
      </c>
      <c r="AB64" s="9">
        <f t="shared" ref="AB64:AB65" si="168">N64</f>
        <v>1061.9069999999999</v>
      </c>
      <c r="AC64" s="9">
        <f t="shared" ref="AC64:AC65" si="169">R64</f>
        <v>1300.704</v>
      </c>
    </row>
    <row r="65" spans="1:29" s="10" customFormat="1" x14ac:dyDescent="0.25">
      <c r="A65" s="9" t="s">
        <v>116</v>
      </c>
      <c r="B65" s="9"/>
      <c r="C65" s="9"/>
      <c r="D65" s="9"/>
      <c r="E65" s="9"/>
      <c r="F65" s="9">
        <v>9.1669999999999998</v>
      </c>
      <c r="G65" s="9"/>
      <c r="H65" s="9"/>
      <c r="I65" s="9"/>
      <c r="J65" s="9">
        <v>14.146000000000001</v>
      </c>
      <c r="K65" s="9"/>
      <c r="L65" s="9"/>
      <c r="M65" s="9"/>
      <c r="N65" s="9">
        <v>20.908000000000001</v>
      </c>
      <c r="O65" s="9">
        <v>12.448</v>
      </c>
      <c r="P65" s="9">
        <v>16.148</v>
      </c>
      <c r="Q65" s="9">
        <v>16.431000000000001</v>
      </c>
      <c r="R65" s="9">
        <v>17.309000000000001</v>
      </c>
      <c r="S65" s="9">
        <v>16.364000000000001</v>
      </c>
      <c r="T65" s="9"/>
      <c r="U65" s="9"/>
      <c r="V65" s="9"/>
      <c r="W65" s="9"/>
      <c r="X65" s="9"/>
      <c r="Y65" s="9"/>
      <c r="Z65" s="9">
        <f t="shared" si="166"/>
        <v>9.1669999999999998</v>
      </c>
      <c r="AA65" s="9">
        <f t="shared" si="167"/>
        <v>14.146000000000001</v>
      </c>
      <c r="AB65" s="9">
        <f t="shared" si="168"/>
        <v>20.908000000000001</v>
      </c>
      <c r="AC65" s="9">
        <f t="shared" si="169"/>
        <v>17.309000000000001</v>
      </c>
    </row>
    <row r="66" spans="1:29" s="12" customFormat="1" x14ac:dyDescent="0.25">
      <c r="A66" s="11" t="s">
        <v>117</v>
      </c>
      <c r="B66" s="11"/>
      <c r="C66" s="11"/>
      <c r="D66" s="11"/>
      <c r="E66" s="11"/>
      <c r="F66" s="11">
        <f t="shared" ref="F66:M66" si="170">SUM(F64:F65)</f>
        <v>649.40899999999999</v>
      </c>
      <c r="G66" s="11">
        <f t="shared" si="170"/>
        <v>0</v>
      </c>
      <c r="H66" s="11">
        <f t="shared" si="170"/>
        <v>0</v>
      </c>
      <c r="I66" s="11">
        <f t="shared" si="170"/>
        <v>0</v>
      </c>
      <c r="J66" s="11">
        <f t="shared" si="170"/>
        <v>888.69399999999996</v>
      </c>
      <c r="K66" s="11">
        <f t="shared" si="170"/>
        <v>0</v>
      </c>
      <c r="L66" s="11">
        <f t="shared" si="170"/>
        <v>0</v>
      </c>
      <c r="M66" s="11">
        <f t="shared" si="170"/>
        <v>0</v>
      </c>
      <c r="N66" s="11">
        <f>SUM(N64:N65)</f>
        <v>1082.8149999999998</v>
      </c>
      <c r="O66" s="11">
        <f t="shared" ref="O66:P66" si="171">SUM(O64:O65)</f>
        <v>1126.6020000000001</v>
      </c>
      <c r="P66" s="11">
        <f t="shared" si="171"/>
        <v>1190.2249999999999</v>
      </c>
      <c r="Q66" s="11">
        <f>SUM(Q64:Q65)</f>
        <v>1261.6469999999999</v>
      </c>
      <c r="R66" s="11">
        <f>SUM(R64:R65)</f>
        <v>1318.0129999999999</v>
      </c>
      <c r="S66" s="11">
        <f>SUM(S64:S65)</f>
        <v>1399.691</v>
      </c>
      <c r="T66" s="11">
        <f t="shared" ref="T66:V66" si="172">SUM(T64:T65)</f>
        <v>0</v>
      </c>
      <c r="U66" s="11">
        <f t="shared" si="172"/>
        <v>0</v>
      </c>
      <c r="V66" s="11">
        <f t="shared" si="172"/>
        <v>0</v>
      </c>
      <c r="W66" s="11"/>
      <c r="X66" s="11"/>
      <c r="Y66" s="11"/>
      <c r="Z66" s="11">
        <f t="shared" ref="Z66" si="173">SUM(Z64:Z65)</f>
        <v>649.40899999999999</v>
      </c>
      <c r="AA66" s="11">
        <f t="shared" ref="AA66" si="174">SUM(AA64:AA65)</f>
        <v>888.69399999999996</v>
      </c>
      <c r="AB66" s="11">
        <f>SUM(AB64:AB65)</f>
        <v>1082.8149999999998</v>
      </c>
      <c r="AC66" s="11">
        <f>SUM(AC64:AC65)</f>
        <v>1318.0129999999999</v>
      </c>
    </row>
    <row r="67" spans="1:29" s="34" customFormat="1" x14ac:dyDescent="0.25">
      <c r="A67" s="33" t="s">
        <v>114</v>
      </c>
      <c r="B67" s="33"/>
      <c r="C67" s="33"/>
      <c r="D67" s="33"/>
      <c r="E67" s="33"/>
      <c r="F67" s="33">
        <f t="shared" ref="F67:M67" si="175">F66+F62+F63</f>
        <v>988.84699999999998</v>
      </c>
      <c r="G67" s="33">
        <f t="shared" si="175"/>
        <v>0</v>
      </c>
      <c r="H67" s="33">
        <f t="shared" si="175"/>
        <v>0</v>
      </c>
      <c r="I67" s="33">
        <f t="shared" si="175"/>
        <v>0</v>
      </c>
      <c r="J67" s="33">
        <f t="shared" si="175"/>
        <v>1421.867</v>
      </c>
      <c r="K67" s="33">
        <f t="shared" si="175"/>
        <v>0</v>
      </c>
      <c r="L67" s="33">
        <f t="shared" si="175"/>
        <v>0</v>
      </c>
      <c r="M67" s="33">
        <f t="shared" si="175"/>
        <v>0</v>
      </c>
      <c r="N67" s="33">
        <f>N66+N62+N63</f>
        <v>1655.6749999999997</v>
      </c>
      <c r="O67" s="33">
        <f t="shared" ref="O67:Q67" si="176">O66+O62+O63</f>
        <v>1706.4559999999999</v>
      </c>
      <c r="P67" s="33">
        <f t="shared" si="176"/>
        <v>1776.5729999999999</v>
      </c>
      <c r="Q67" s="33">
        <f t="shared" si="176"/>
        <v>1866.646</v>
      </c>
      <c r="R67" s="33">
        <f>R66+R62+R63</f>
        <v>1902.8319999999999</v>
      </c>
      <c r="S67" s="33">
        <f>S66+S62+S63</f>
        <v>1976.5740000000001</v>
      </c>
      <c r="T67" s="33">
        <f t="shared" ref="T67:V67" si="177">T66+T62+T63</f>
        <v>0</v>
      </c>
      <c r="U67" s="33">
        <f t="shared" si="177"/>
        <v>0</v>
      </c>
      <c r="V67" s="33">
        <f t="shared" si="177"/>
        <v>0</v>
      </c>
      <c r="W67" s="33"/>
      <c r="X67" s="33"/>
      <c r="Y67" s="33"/>
      <c r="Z67" s="33">
        <f t="shared" ref="Z67" si="178">Z66+Z62+Z63</f>
        <v>988.84699999999998</v>
      </c>
      <c r="AA67" s="33">
        <f t="shared" ref="AA67" si="179">AA66+AA62+AA63</f>
        <v>1421.867</v>
      </c>
      <c r="AB67" s="33">
        <f>AB66+AB62+AB63</f>
        <v>1655.6749999999997</v>
      </c>
      <c r="AC67" s="33">
        <f>AC66+AC62+AC63</f>
        <v>1902.8319999999999</v>
      </c>
    </row>
    <row r="69" spans="1:29" x14ac:dyDescent="0.25">
      <c r="A69" s="2" t="s">
        <v>124</v>
      </c>
      <c r="C69" s="11">
        <f t="shared" ref="C69:N69" si="180">C23</f>
        <v>0</v>
      </c>
      <c r="D69" s="11">
        <f t="shared" si="180"/>
        <v>0</v>
      </c>
      <c r="E69" s="11">
        <f t="shared" si="180"/>
        <v>0</v>
      </c>
      <c r="F69" s="11">
        <f t="shared" si="180"/>
        <v>29.310000000000041</v>
      </c>
      <c r="G69" s="11">
        <f t="shared" si="180"/>
        <v>25.968999999999969</v>
      </c>
      <c r="H69" s="11">
        <f t="shared" si="180"/>
        <v>52.263000000000005</v>
      </c>
      <c r="I69" s="11">
        <f t="shared" si="180"/>
        <v>48.506999999999991</v>
      </c>
      <c r="J69" s="11">
        <f t="shared" si="180"/>
        <v>63.470999999999982</v>
      </c>
      <c r="K69" s="11">
        <f t="shared" si="180"/>
        <v>61.576999999999998</v>
      </c>
      <c r="L69" s="11">
        <f t="shared" si="180"/>
        <v>101.25600000000001</v>
      </c>
      <c r="M69" s="11">
        <f t="shared" si="180"/>
        <v>73.52000000000001</v>
      </c>
      <c r="N69" s="11">
        <f t="shared" si="180"/>
        <v>55.547000000000011</v>
      </c>
      <c r="O69" s="9">
        <f>O23</f>
        <v>64.180000000000021</v>
      </c>
      <c r="P69" s="9">
        <f t="shared" ref="P69:R69" si="181">P23</f>
        <v>75.27000000000001</v>
      </c>
      <c r="Q69" s="9">
        <f t="shared" si="181"/>
        <v>72.155999999999963</v>
      </c>
      <c r="R69" s="9">
        <f t="shared" si="181"/>
        <v>73.020000000000039</v>
      </c>
      <c r="AC69" s="9">
        <f>SUM(O69:R69)</f>
        <v>284.62600000000003</v>
      </c>
    </row>
    <row r="70" spans="1:29" x14ac:dyDescent="0.25">
      <c r="A70" s="2" t="s">
        <v>125</v>
      </c>
      <c r="F70" s="9">
        <f t="shared" ref="F70:N70" si="182">F21</f>
        <v>30.290000000000042</v>
      </c>
      <c r="G70" s="9">
        <f t="shared" si="182"/>
        <v>27.760999999999971</v>
      </c>
      <c r="H70" s="9">
        <f t="shared" si="182"/>
        <v>58.283000000000001</v>
      </c>
      <c r="I70" s="9">
        <f t="shared" si="182"/>
        <v>51.259999999999991</v>
      </c>
      <c r="J70" s="9">
        <f t="shared" si="182"/>
        <v>67.076999999999984</v>
      </c>
      <c r="K70" s="9">
        <f t="shared" si="182"/>
        <v>64.195999999999998</v>
      </c>
      <c r="L70" s="9">
        <f t="shared" si="182"/>
        <v>108.00400000000002</v>
      </c>
      <c r="M70" s="9">
        <f t="shared" si="182"/>
        <v>80.63300000000001</v>
      </c>
      <c r="N70" s="9">
        <f t="shared" si="182"/>
        <v>61.164000000000009</v>
      </c>
      <c r="O70" s="9">
        <f>O21</f>
        <v>68.14100000000002</v>
      </c>
      <c r="P70" s="9">
        <f t="shared" ref="P70:S70" si="183">P21</f>
        <v>81.064000000000007</v>
      </c>
      <c r="Q70" s="9">
        <f t="shared" si="183"/>
        <v>77.110999999999962</v>
      </c>
      <c r="R70" s="9">
        <f t="shared" si="183"/>
        <v>80.359000000000037</v>
      </c>
      <c r="S70" s="9">
        <f t="shared" si="183"/>
        <v>90.791000000000011</v>
      </c>
      <c r="AC70" s="9">
        <f t="shared" ref="AC70:AC103" si="184">SUM(O70:R70)</f>
        <v>306.67500000000007</v>
      </c>
    </row>
    <row r="71" spans="1:29" s="10" customFormat="1" x14ac:dyDescent="0.25">
      <c r="A71" s="9" t="s">
        <v>126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>
        <v>0.754</v>
      </c>
      <c r="P71" s="9">
        <f>1.584-O71</f>
        <v>0.83000000000000007</v>
      </c>
      <c r="Q71" s="9">
        <f>2.442-O71-P71</f>
        <v>0.8580000000000001</v>
      </c>
      <c r="R71" s="9">
        <f>3.545-O71-P71-Q71</f>
        <v>1.1029999999999998</v>
      </c>
      <c r="S71" s="9">
        <v>1.1259999999999999</v>
      </c>
      <c r="T71" s="9"/>
      <c r="U71" s="9"/>
      <c r="V71" s="9"/>
      <c r="W71" s="9"/>
      <c r="X71" s="9"/>
      <c r="Y71" s="9"/>
      <c r="Z71" s="9"/>
      <c r="AA71" s="9"/>
      <c r="AB71" s="9"/>
      <c r="AC71" s="9">
        <f t="shared" si="184"/>
        <v>3.5449999999999999</v>
      </c>
    </row>
    <row r="72" spans="1:29" s="10" customFormat="1" x14ac:dyDescent="0.25">
      <c r="A72" s="9" t="s">
        <v>127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>
        <v>-0.14599999999999999</v>
      </c>
      <c r="P72" s="9">
        <f>-0.146-O72</f>
        <v>0</v>
      </c>
      <c r="Q72" s="9">
        <f>-0.07-O72-P72</f>
        <v>7.5999999999999984E-2</v>
      </c>
      <c r="R72" s="9">
        <f>0.207-O72-P72-Q72</f>
        <v>0.27700000000000002</v>
      </c>
      <c r="S72" s="9">
        <v>6.6000000000000003E-2</v>
      </c>
      <c r="T72" s="9"/>
      <c r="U72" s="9"/>
      <c r="V72" s="9"/>
      <c r="W72" s="9"/>
      <c r="X72" s="9"/>
      <c r="Y72" s="9"/>
      <c r="Z72" s="9"/>
      <c r="AA72" s="9"/>
      <c r="AB72" s="9"/>
      <c r="AC72" s="9">
        <f t="shared" si="184"/>
        <v>0.20700000000000002</v>
      </c>
    </row>
    <row r="73" spans="1:29" s="10" customFormat="1" x14ac:dyDescent="0.25">
      <c r="A73" s="9" t="s">
        <v>128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>
        <v>5.4989999999999997</v>
      </c>
      <c r="P73" s="9">
        <f>5.966-O73</f>
        <v>0.46700000000000053</v>
      </c>
      <c r="Q73" s="9">
        <f>6.333-O73-P73</f>
        <v>0.36699999999999999</v>
      </c>
      <c r="R73" s="9">
        <f>6.753-O73-P73-Q73</f>
        <v>0.41999999999999993</v>
      </c>
      <c r="S73" s="9">
        <v>6.3650000000000002</v>
      </c>
      <c r="T73" s="9"/>
      <c r="U73" s="9"/>
      <c r="V73" s="9"/>
      <c r="W73" s="9"/>
      <c r="X73" s="9"/>
      <c r="Y73" s="9"/>
      <c r="Z73" s="9"/>
      <c r="AA73" s="9"/>
      <c r="AB73" s="9"/>
      <c r="AC73" s="9">
        <f t="shared" si="184"/>
        <v>6.7530000000000001</v>
      </c>
    </row>
    <row r="74" spans="1:29" s="10" customFormat="1" x14ac:dyDescent="0.25">
      <c r="A74" s="9" t="s">
        <v>101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>
        <v>0</v>
      </c>
      <c r="P74" s="9">
        <v>0</v>
      </c>
      <c r="Q74" s="9">
        <v>0</v>
      </c>
      <c r="R74" s="9">
        <f>1.142-O74-P74-Q74</f>
        <v>1.1419999999999999</v>
      </c>
      <c r="S74" s="9">
        <v>0</v>
      </c>
      <c r="T74" s="9"/>
      <c r="U74" s="9"/>
      <c r="V74" s="9"/>
      <c r="W74" s="9"/>
      <c r="X74" s="9"/>
      <c r="Y74" s="9"/>
      <c r="Z74" s="9"/>
      <c r="AA74" s="9"/>
      <c r="AB74" s="9"/>
      <c r="AC74" s="9">
        <f>SUM(O74:S74)</f>
        <v>1.1419999999999999</v>
      </c>
    </row>
    <row r="75" spans="1:29" s="10" customFormat="1" x14ac:dyDescent="0.25">
      <c r="A75" s="9" t="s">
        <v>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-4.2210000000000001</v>
      </c>
      <c r="P75" s="9">
        <f>-9.92-O75</f>
        <v>-5.6989999999999998</v>
      </c>
      <c r="Q75" s="9">
        <f>-11.265-O75-P75</f>
        <v>-1.3450000000000006</v>
      </c>
      <c r="R75" s="9">
        <f>-16.742-O75-P75-Q75</f>
        <v>-5.4770000000000003</v>
      </c>
      <c r="S75" s="9">
        <v>-2.5920000000000001</v>
      </c>
      <c r="T75" s="9"/>
      <c r="U75" s="9"/>
      <c r="V75" s="9"/>
      <c r="W75" s="9"/>
      <c r="X75" s="9"/>
      <c r="Y75" s="9"/>
      <c r="Z75" s="9"/>
      <c r="AA75" s="9"/>
      <c r="AB75" s="9"/>
      <c r="AC75" s="9">
        <f t="shared" si="184"/>
        <v>-16.742000000000001</v>
      </c>
    </row>
    <row r="76" spans="1:29" s="10" customFormat="1" x14ac:dyDescent="0.25">
      <c r="A76" s="9" t="s">
        <v>129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>
        <v>0.01</v>
      </c>
      <c r="P76" s="9">
        <f>0.047-O76</f>
        <v>3.6999999999999998E-2</v>
      </c>
      <c r="Q76" s="9">
        <f>0.054-O76-P76</f>
        <v>6.9999999999999993E-3</v>
      </c>
      <c r="R76" s="9">
        <f>0.064-O76-P76-Q76</f>
        <v>1.0000000000000002E-2</v>
      </c>
      <c r="S76" s="9">
        <v>5.0000000000000001E-3</v>
      </c>
      <c r="T76" s="9"/>
      <c r="U76" s="9"/>
      <c r="V76" s="9"/>
      <c r="W76" s="9"/>
      <c r="X76" s="9"/>
      <c r="Y76" s="9"/>
      <c r="Z76" s="9"/>
      <c r="AA76" s="9"/>
      <c r="AB76" s="9"/>
      <c r="AC76" s="9">
        <f t="shared" si="184"/>
        <v>6.4000000000000001E-2</v>
      </c>
    </row>
    <row r="77" spans="1:29" s="10" customFormat="1" x14ac:dyDescent="0.25">
      <c r="A77" s="9" t="s">
        <v>130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>
        <v>2.9060000000000001</v>
      </c>
      <c r="P77" s="9">
        <f>7.324-O77</f>
        <v>4.4179999999999993</v>
      </c>
      <c r="Q77" s="9">
        <f>10.489-O77-P77</f>
        <v>3.1650000000000009</v>
      </c>
      <c r="R77" s="9">
        <f>11.859-O77-P77-Q77</f>
        <v>1.3699999999999992</v>
      </c>
      <c r="S77" s="9">
        <v>0.998</v>
      </c>
      <c r="T77" s="9"/>
      <c r="U77" s="9"/>
      <c r="V77" s="9"/>
      <c r="W77" s="9"/>
      <c r="X77" s="9"/>
      <c r="Y77" s="9"/>
      <c r="Z77" s="9"/>
      <c r="AA77" s="9"/>
      <c r="AB77" s="9"/>
      <c r="AC77" s="9">
        <f t="shared" si="184"/>
        <v>11.859</v>
      </c>
    </row>
    <row r="78" spans="1:29" s="10" customFormat="1" x14ac:dyDescent="0.25">
      <c r="A78" s="9" t="s">
        <v>175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>
        <v>-10.718</v>
      </c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s="10" customFormat="1" x14ac:dyDescent="0.25">
      <c r="A79" s="9" t="s">
        <v>131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>
        <v>-1.968</v>
      </c>
      <c r="P79" s="9">
        <f>-1.769-O79</f>
        <v>0.19900000000000007</v>
      </c>
      <c r="Q79" s="9">
        <f>-4.667-O79-P79</f>
        <v>-2.8979999999999997</v>
      </c>
      <c r="R79" s="9">
        <f>-5.344-O79-P79-Q79</f>
        <v>-0.67700000000000049</v>
      </c>
      <c r="S79" s="9">
        <v>2.0019999999999998</v>
      </c>
      <c r="T79" s="9"/>
      <c r="U79" s="9"/>
      <c r="V79" s="9"/>
      <c r="W79" s="9"/>
      <c r="X79" s="9"/>
      <c r="Y79" s="9"/>
      <c r="Z79" s="9"/>
      <c r="AA79" s="9"/>
      <c r="AB79" s="9"/>
      <c r="AC79" s="9">
        <f t="shared" si="184"/>
        <v>-5.3440000000000003</v>
      </c>
    </row>
    <row r="80" spans="1:29" s="10" customFormat="1" x14ac:dyDescent="0.25">
      <c r="A80" s="9" t="s">
        <v>132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49.987000000000002</v>
      </c>
      <c r="P80" s="9">
        <f>18.938-O80</f>
        <v>-31.049000000000003</v>
      </c>
      <c r="Q80" s="9">
        <f>-38.602-O80-P80</f>
        <v>-57.539999999999992</v>
      </c>
      <c r="R80" s="9">
        <f>-109.243-O80-P80-Q80</f>
        <v>-70.640999999999991</v>
      </c>
      <c r="S80" s="9">
        <v>-122.108</v>
      </c>
      <c r="T80" s="9"/>
      <c r="U80" s="9"/>
      <c r="V80" s="9"/>
      <c r="W80" s="9"/>
      <c r="X80" s="9"/>
      <c r="Y80" s="9"/>
      <c r="Z80" s="9"/>
      <c r="AA80" s="9"/>
      <c r="AB80" s="9"/>
      <c r="AC80" s="9">
        <f t="shared" si="184"/>
        <v>-109.24299999999998</v>
      </c>
    </row>
    <row r="81" spans="1:29" s="10" customFormat="1" x14ac:dyDescent="0.25">
      <c r="A81" s="9" t="s">
        <v>133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4.38</v>
      </c>
      <c r="P81" s="9">
        <f>7.773-O81</f>
        <v>3.3929999999999998</v>
      </c>
      <c r="Q81" s="9">
        <f>5.697-O81-P81</f>
        <v>-2.0759999999999996</v>
      </c>
      <c r="R81" s="9">
        <f>7.29-O81-P81-Q81</f>
        <v>1.593</v>
      </c>
      <c r="S81" s="9">
        <v>0.155</v>
      </c>
      <c r="T81" s="9"/>
      <c r="U81" s="9"/>
      <c r="V81" s="9"/>
      <c r="W81" s="9"/>
      <c r="X81" s="9"/>
      <c r="Y81" s="9"/>
      <c r="Z81" s="9"/>
      <c r="AA81" s="9"/>
      <c r="AB81" s="9"/>
      <c r="AC81" s="9">
        <f t="shared" si="184"/>
        <v>7.29</v>
      </c>
    </row>
    <row r="82" spans="1:29" s="10" customFormat="1" x14ac:dyDescent="0.25">
      <c r="A82" s="9" t="s">
        <v>134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>
        <v>2.96</v>
      </c>
      <c r="P82" s="9">
        <f>0.888-O82</f>
        <v>-2.0720000000000001</v>
      </c>
      <c r="Q82" s="9">
        <f>-6.835-O82-P82</f>
        <v>-7.7229999999999999</v>
      </c>
      <c r="R82" s="9">
        <f>-14.875-O82-P82-Q82</f>
        <v>-8.0400000000000027</v>
      </c>
      <c r="S82" s="9">
        <v>7.1879999999999997</v>
      </c>
      <c r="T82" s="9"/>
      <c r="U82" s="9"/>
      <c r="V82" s="9"/>
      <c r="W82" s="9"/>
      <c r="X82" s="9"/>
      <c r="Y82" s="9"/>
      <c r="Z82" s="9"/>
      <c r="AA82" s="9"/>
      <c r="AB82" s="9"/>
      <c r="AC82" s="9">
        <f t="shared" si="184"/>
        <v>-14.875000000000004</v>
      </c>
    </row>
    <row r="83" spans="1:29" s="10" customFormat="1" x14ac:dyDescent="0.25">
      <c r="A83" s="9" t="s">
        <v>135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>
        <v>1.0580000000000001</v>
      </c>
      <c r="P83" s="9">
        <f>5.66-O83</f>
        <v>4.6020000000000003</v>
      </c>
      <c r="Q83" s="9">
        <f>4.761-O83-P83</f>
        <v>-0.89900000000000002</v>
      </c>
      <c r="R83" s="9">
        <f>2.517-O83-P83-Q83</f>
        <v>-2.2440000000000007</v>
      </c>
      <c r="S83" s="9">
        <v>-0.99099999999999999</v>
      </c>
      <c r="T83" s="9"/>
      <c r="U83" s="9"/>
      <c r="V83" s="9"/>
      <c r="W83" s="9"/>
      <c r="X83" s="9"/>
      <c r="Y83" s="9"/>
      <c r="Z83" s="9"/>
      <c r="AA83" s="9"/>
      <c r="AB83" s="9"/>
      <c r="AC83" s="9">
        <f t="shared" si="184"/>
        <v>2.5169999999999995</v>
      </c>
    </row>
    <row r="84" spans="1:29" s="10" customFormat="1" x14ac:dyDescent="0.25">
      <c r="A84" s="9" t="s">
        <v>136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>
        <v>17.512</v>
      </c>
      <c r="P84" s="9">
        <f>10.479-O84</f>
        <v>-7.0330000000000013</v>
      </c>
      <c r="Q84" s="9">
        <f>19.92-O84-P84</f>
        <v>9.4410000000000025</v>
      </c>
      <c r="R84" s="9">
        <f>5.459-O84-P84-Q84</f>
        <v>-14.461000000000002</v>
      </c>
      <c r="S84" s="9">
        <v>17.757999999999999</v>
      </c>
      <c r="T84" s="9"/>
      <c r="U84" s="9"/>
      <c r="V84" s="9"/>
      <c r="W84" s="9"/>
      <c r="X84" s="9"/>
      <c r="Y84" s="9"/>
      <c r="Z84" s="9"/>
      <c r="AA84" s="9"/>
      <c r="AB84" s="9"/>
      <c r="AC84" s="9">
        <f t="shared" si="184"/>
        <v>5.4589999999999996</v>
      </c>
    </row>
    <row r="85" spans="1:29" s="10" customFormat="1" x14ac:dyDescent="0.25">
      <c r="A85" s="9" t="s">
        <v>164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/>
      <c r="U85" s="9"/>
      <c r="V85" s="9"/>
      <c r="W85" s="9"/>
      <c r="X85" s="9"/>
      <c r="Y85" s="9"/>
      <c r="Z85" s="9"/>
      <c r="AA85" s="9"/>
      <c r="AB85" s="9"/>
      <c r="AC85" s="9">
        <f>SUM(O85:S85)</f>
        <v>0</v>
      </c>
    </row>
    <row r="86" spans="1:29" s="10" customFormat="1" x14ac:dyDescent="0.25">
      <c r="A86" s="9" t="s">
        <v>137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v>7.835</v>
      </c>
      <c r="P86" s="9">
        <f>14.139-O86</f>
        <v>6.3039999999999994</v>
      </c>
      <c r="Q86" s="9">
        <f>18.126-O86-P86</f>
        <v>3.987000000000001</v>
      </c>
      <c r="R86" s="9">
        <f>14.035-O86-P86-Q86</f>
        <v>-4.0910000000000002</v>
      </c>
      <c r="S86" s="9">
        <v>10.972</v>
      </c>
      <c r="T86" s="9"/>
      <c r="U86" s="9"/>
      <c r="V86" s="9"/>
      <c r="W86" s="9"/>
      <c r="X86" s="9"/>
      <c r="Y86" s="9"/>
      <c r="Z86" s="9"/>
      <c r="AA86" s="9"/>
      <c r="AB86" s="9"/>
      <c r="AC86" s="9">
        <f t="shared" si="184"/>
        <v>14.035</v>
      </c>
    </row>
    <row r="87" spans="1:29" s="34" customFormat="1" x14ac:dyDescent="0.25">
      <c r="A87" s="33" t="s">
        <v>138</v>
      </c>
      <c r="B87" s="33"/>
      <c r="C87" s="33">
        <f t="shared" ref="C87:N87" si="185">SUM(C70:C86)</f>
        <v>0</v>
      </c>
      <c r="D87" s="33">
        <f t="shared" si="185"/>
        <v>0</v>
      </c>
      <c r="E87" s="33">
        <f t="shared" si="185"/>
        <v>0</v>
      </c>
      <c r="F87" s="33">
        <f t="shared" si="185"/>
        <v>30.290000000000042</v>
      </c>
      <c r="G87" s="33">
        <f t="shared" si="185"/>
        <v>27.760999999999971</v>
      </c>
      <c r="H87" s="33">
        <f t="shared" si="185"/>
        <v>58.283000000000001</v>
      </c>
      <c r="I87" s="33">
        <f t="shared" si="185"/>
        <v>51.259999999999991</v>
      </c>
      <c r="J87" s="33">
        <f t="shared" si="185"/>
        <v>67.076999999999984</v>
      </c>
      <c r="K87" s="33">
        <f t="shared" si="185"/>
        <v>64.195999999999998</v>
      </c>
      <c r="L87" s="33">
        <f t="shared" si="185"/>
        <v>108.00400000000002</v>
      </c>
      <c r="M87" s="33">
        <f t="shared" si="185"/>
        <v>80.63300000000001</v>
      </c>
      <c r="N87" s="33">
        <f t="shared" si="185"/>
        <v>61.164000000000009</v>
      </c>
      <c r="O87" s="33">
        <f>SUM(O70:O86)</f>
        <v>154.70700000000002</v>
      </c>
      <c r="P87" s="33">
        <f t="shared" ref="P87:V87" si="186">SUM(P70:P86)</f>
        <v>55.461000000000013</v>
      </c>
      <c r="Q87" s="33">
        <f t="shared" si="186"/>
        <v>22.530999999999992</v>
      </c>
      <c r="R87" s="33">
        <f t="shared" si="186"/>
        <v>-19.356999999999967</v>
      </c>
      <c r="S87" s="33">
        <f t="shared" si="186"/>
        <v>1.0170000000000012</v>
      </c>
      <c r="T87" s="33">
        <f t="shared" si="186"/>
        <v>0</v>
      </c>
      <c r="U87" s="33">
        <f t="shared" si="186"/>
        <v>0</v>
      </c>
      <c r="V87" s="33">
        <f t="shared" si="186"/>
        <v>0</v>
      </c>
      <c r="W87" s="33"/>
      <c r="X87" s="33"/>
      <c r="Y87" s="33"/>
      <c r="Z87" s="33"/>
      <c r="AA87" s="33"/>
      <c r="AB87" s="33"/>
      <c r="AC87" s="33">
        <f>SUM(O87:R87)</f>
        <v>213.34200000000004</v>
      </c>
    </row>
    <row r="88" spans="1:29" s="10" customFormat="1" x14ac:dyDescent="0.25">
      <c r="A88" s="9" t="s">
        <v>97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>
        <v>-1.52</v>
      </c>
      <c r="P88" s="9">
        <f>-4.98-O88</f>
        <v>-3.4600000000000004</v>
      </c>
      <c r="Q88" s="9">
        <f>-5.21-O88-P88</f>
        <v>-0.22999999999999954</v>
      </c>
      <c r="R88" s="9">
        <f>-5.547-O88-P88-Q88</f>
        <v>-0.3369999999999993</v>
      </c>
      <c r="S88" s="9">
        <v>-1.6950000000000001</v>
      </c>
      <c r="T88" s="9"/>
      <c r="U88" s="9"/>
      <c r="V88" s="9"/>
      <c r="W88" s="9"/>
      <c r="X88" s="9"/>
      <c r="Y88" s="9"/>
      <c r="Z88" s="9"/>
      <c r="AA88" s="9"/>
      <c r="AB88" s="9"/>
      <c r="AC88" s="9">
        <f t="shared" si="184"/>
        <v>-5.5469999999999988</v>
      </c>
    </row>
    <row r="89" spans="1:29" s="10" customFormat="1" x14ac:dyDescent="0.25">
      <c r="A89" s="9" t="s">
        <v>176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>
        <v>63.96</v>
      </c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s="10" customFormat="1" x14ac:dyDescent="0.25">
      <c r="A90" s="9" t="s">
        <v>139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v>-1.581</v>
      </c>
      <c r="P90" s="9">
        <f>-2.852-O90</f>
        <v>-1.2709999999999999</v>
      </c>
      <c r="Q90" s="9">
        <f>-4.789-O90-P90</f>
        <v>-1.9369999999999998</v>
      </c>
      <c r="R90" s="9">
        <f>-7.802-O90-P90-Q90</f>
        <v>-3.0130000000000003</v>
      </c>
      <c r="S90" s="9">
        <v>-0.94199999999999995</v>
      </c>
      <c r="T90" s="9"/>
      <c r="U90" s="9"/>
      <c r="V90" s="9"/>
      <c r="W90" s="9"/>
      <c r="X90" s="9"/>
      <c r="Y90" s="9"/>
      <c r="Z90" s="9"/>
      <c r="AA90" s="9"/>
      <c r="AB90" s="9"/>
      <c r="AC90" s="9">
        <f t="shared" si="184"/>
        <v>-7.8019999999999996</v>
      </c>
    </row>
    <row r="91" spans="1:29" s="34" customFormat="1" x14ac:dyDescent="0.25">
      <c r="A91" s="33" t="s">
        <v>140</v>
      </c>
      <c r="B91" s="33"/>
      <c r="C91" s="33">
        <f t="shared" ref="C91:N91" si="187">SUM(C88:C90)</f>
        <v>0</v>
      </c>
      <c r="D91" s="33">
        <f t="shared" si="187"/>
        <v>0</v>
      </c>
      <c r="E91" s="33">
        <f t="shared" si="187"/>
        <v>0</v>
      </c>
      <c r="F91" s="33">
        <f t="shared" si="187"/>
        <v>0</v>
      </c>
      <c r="G91" s="33">
        <f t="shared" si="187"/>
        <v>0</v>
      </c>
      <c r="H91" s="33">
        <f t="shared" si="187"/>
        <v>0</v>
      </c>
      <c r="I91" s="33">
        <f t="shared" si="187"/>
        <v>0</v>
      </c>
      <c r="J91" s="33">
        <f t="shared" si="187"/>
        <v>0</v>
      </c>
      <c r="K91" s="33">
        <f t="shared" si="187"/>
        <v>0</v>
      </c>
      <c r="L91" s="33">
        <f t="shared" si="187"/>
        <v>0</v>
      </c>
      <c r="M91" s="33">
        <f t="shared" si="187"/>
        <v>0</v>
      </c>
      <c r="N91" s="33">
        <f t="shared" si="187"/>
        <v>0</v>
      </c>
      <c r="O91" s="33">
        <f>SUM(O88:O90)</f>
        <v>-3.101</v>
      </c>
      <c r="P91" s="33">
        <f t="shared" ref="P91:V91" si="188">SUM(P88:P90)</f>
        <v>-4.7309999999999999</v>
      </c>
      <c r="Q91" s="33">
        <f t="shared" si="188"/>
        <v>-2.1669999999999994</v>
      </c>
      <c r="R91" s="33">
        <f t="shared" si="188"/>
        <v>-3.3499999999999996</v>
      </c>
      <c r="S91" s="33">
        <f t="shared" si="188"/>
        <v>61.323</v>
      </c>
      <c r="T91" s="33">
        <f t="shared" si="188"/>
        <v>0</v>
      </c>
      <c r="U91" s="33">
        <f t="shared" si="188"/>
        <v>0</v>
      </c>
      <c r="V91" s="33">
        <f t="shared" si="188"/>
        <v>0</v>
      </c>
      <c r="W91" s="33"/>
      <c r="X91" s="33"/>
      <c r="Y91" s="33"/>
      <c r="Z91" s="33"/>
      <c r="AA91" s="33"/>
      <c r="AB91" s="33"/>
      <c r="AC91" s="33">
        <f>SUM(O91:R91)</f>
        <v>-13.348999999999998</v>
      </c>
    </row>
    <row r="92" spans="1:29" s="10" customFormat="1" x14ac:dyDescent="0.25">
      <c r="A92" s="9" t="s">
        <v>141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>
        <v>22</v>
      </c>
      <c r="P92" s="9">
        <f>22-O92</f>
        <v>0</v>
      </c>
      <c r="Q92" s="9">
        <f>22-O92-P92</f>
        <v>0</v>
      </c>
      <c r="R92" s="9">
        <f>22-O92-P92-Q92</f>
        <v>0</v>
      </c>
      <c r="S92" s="9">
        <v>0</v>
      </c>
      <c r="T92" s="9"/>
      <c r="U92" s="9"/>
      <c r="V92" s="9"/>
      <c r="W92" s="9"/>
      <c r="X92" s="9"/>
      <c r="Y92" s="9"/>
      <c r="Z92" s="9"/>
      <c r="AA92" s="9"/>
      <c r="AB92" s="9"/>
      <c r="AC92" s="9">
        <f t="shared" si="184"/>
        <v>22</v>
      </c>
    </row>
    <row r="93" spans="1:29" s="10" customFormat="1" x14ac:dyDescent="0.25">
      <c r="A93" s="9" t="s">
        <v>142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>
        <v>-42</v>
      </c>
      <c r="P93" s="9">
        <f>-42-O93</f>
        <v>0</v>
      </c>
      <c r="Q93" s="9">
        <f>-42-O93-P93</f>
        <v>0</v>
      </c>
      <c r="R93" s="9">
        <f>-42-O93-P93-Q93</f>
        <v>0</v>
      </c>
      <c r="S93" s="9">
        <v>0</v>
      </c>
      <c r="T93" s="9"/>
      <c r="U93" s="9"/>
      <c r="V93" s="9"/>
      <c r="W93" s="9"/>
      <c r="X93" s="9"/>
      <c r="Y93" s="9"/>
      <c r="Z93" s="9"/>
      <c r="AA93" s="9"/>
      <c r="AB93" s="9"/>
      <c r="AC93" s="9">
        <f t="shared" si="184"/>
        <v>-42</v>
      </c>
    </row>
    <row r="94" spans="1:29" s="10" customFormat="1" x14ac:dyDescent="0.25">
      <c r="A94" s="9" t="s">
        <v>177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>
        <v>-25</v>
      </c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s="10" customFormat="1" x14ac:dyDescent="0.25">
      <c r="A95" s="9" t="s">
        <v>143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>
        <v>0</v>
      </c>
      <c r="P95" s="9">
        <f>0.063-O95</f>
        <v>6.3E-2</v>
      </c>
      <c r="Q95" s="9">
        <f>0.063-O95-P95</f>
        <v>0</v>
      </c>
      <c r="R95" s="9">
        <f>0.063-O95-P95-Q95</f>
        <v>0</v>
      </c>
      <c r="S95" s="9">
        <v>0</v>
      </c>
      <c r="T95" s="9"/>
      <c r="U95" s="9"/>
      <c r="V95" s="9"/>
      <c r="W95" s="9"/>
      <c r="X95" s="9"/>
      <c r="Y95" s="9"/>
      <c r="Z95" s="9"/>
      <c r="AA95" s="9"/>
      <c r="AB95" s="9"/>
      <c r="AC95" s="9">
        <f t="shared" si="184"/>
        <v>6.3E-2</v>
      </c>
    </row>
    <row r="96" spans="1:29" s="10" customFormat="1" x14ac:dyDescent="0.25">
      <c r="A96" s="9" t="s">
        <v>144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>
        <v>-1.6E-2</v>
      </c>
      <c r="P96" s="9">
        <f>-0.095-O96</f>
        <v>-7.9000000000000001E-2</v>
      </c>
      <c r="Q96" s="9">
        <f>-1.687-O96-P96</f>
        <v>-1.5920000000000001</v>
      </c>
      <c r="R96" s="9">
        <f>-1.704-O96-P96-Q96</f>
        <v>-1.6999999999999904E-2</v>
      </c>
      <c r="S96" s="9">
        <v>-12.868</v>
      </c>
      <c r="T96" s="9"/>
      <c r="U96" s="9"/>
      <c r="V96" s="9"/>
      <c r="W96" s="9"/>
      <c r="X96" s="9"/>
      <c r="Y96" s="9"/>
      <c r="Z96" s="9"/>
      <c r="AA96" s="9"/>
      <c r="AB96" s="9"/>
      <c r="AC96" s="9">
        <f t="shared" si="184"/>
        <v>-1.704</v>
      </c>
    </row>
    <row r="97" spans="1:29" s="10" customFormat="1" x14ac:dyDescent="0.25">
      <c r="A97" s="9" t="s">
        <v>145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>
        <v>-7.1999999999999995E-2</v>
      </c>
      <c r="P97" s="9">
        <f>-0.072-O97</f>
        <v>0</v>
      </c>
      <c r="Q97" s="9">
        <f>-0.072-O97-P97</f>
        <v>0</v>
      </c>
      <c r="R97" s="9">
        <f>-0.638-O97-P97-Q97</f>
        <v>-0.56600000000000006</v>
      </c>
      <c r="S97" s="9">
        <v>0</v>
      </c>
      <c r="T97" s="9"/>
      <c r="U97" s="9"/>
      <c r="V97" s="9"/>
      <c r="W97" s="9"/>
      <c r="X97" s="9"/>
      <c r="Y97" s="9"/>
      <c r="Z97" s="9"/>
      <c r="AA97" s="9"/>
      <c r="AB97" s="9"/>
      <c r="AC97" s="9">
        <f t="shared" si="184"/>
        <v>-0.63800000000000001</v>
      </c>
    </row>
    <row r="98" spans="1:29" s="10" customFormat="1" x14ac:dyDescent="0.25">
      <c r="A98" s="9" t="s">
        <v>146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>
        <v>-1.9750000000000001</v>
      </c>
      <c r="P98" s="9">
        <f>-1.975-O98</f>
        <v>0</v>
      </c>
      <c r="Q98" s="9">
        <f>-1.976-O98-P98</f>
        <v>-9.9999999999988987E-4</v>
      </c>
      <c r="R98" s="9">
        <f>-1.977-O98-P98-Q98</f>
        <v>-1.0000000000001119E-3</v>
      </c>
      <c r="S98" s="9">
        <v>-2.161</v>
      </c>
      <c r="T98" s="9"/>
      <c r="U98" s="9"/>
      <c r="V98" s="9"/>
      <c r="W98" s="9"/>
      <c r="X98" s="9"/>
      <c r="Y98" s="9"/>
      <c r="Z98" s="9"/>
      <c r="AA98" s="9"/>
      <c r="AB98" s="9"/>
      <c r="AC98" s="9">
        <f t="shared" si="184"/>
        <v>-1.9770000000000001</v>
      </c>
    </row>
    <row r="99" spans="1:29" s="10" customFormat="1" x14ac:dyDescent="0.25">
      <c r="A99" s="9" t="s">
        <v>147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v>-15.351000000000001</v>
      </c>
      <c r="P99" s="9">
        <f>-27.991-O99</f>
        <v>-12.639999999999999</v>
      </c>
      <c r="Q99" s="9">
        <f>-27.991-O99-P99</f>
        <v>0</v>
      </c>
      <c r="R99" s="9">
        <f>-45.777-O99-P99-Q99</f>
        <v>-17.786000000000001</v>
      </c>
      <c r="S99" s="9">
        <v>-3.758</v>
      </c>
      <c r="T99" s="9"/>
      <c r="U99" s="9"/>
      <c r="V99" s="9"/>
      <c r="W99" s="9"/>
      <c r="X99" s="9"/>
      <c r="Y99" s="9"/>
      <c r="Z99" s="9"/>
      <c r="AA99" s="9"/>
      <c r="AB99" s="9"/>
      <c r="AC99" s="9">
        <f t="shared" si="184"/>
        <v>-45.777000000000001</v>
      </c>
    </row>
    <row r="100" spans="1:29" s="10" customFormat="1" x14ac:dyDescent="0.25">
      <c r="A100" s="9" t="s">
        <v>163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>
        <v>0</v>
      </c>
      <c r="P100" s="9">
        <v>0</v>
      </c>
      <c r="Q100" s="9">
        <f>-0.093-O100-P100</f>
        <v>-9.2999999999999999E-2</v>
      </c>
      <c r="R100" s="9">
        <f>0-O100-P100-Q100</f>
        <v>9.2999999999999999E-2</v>
      </c>
      <c r="S100" s="9">
        <v>0</v>
      </c>
      <c r="T100" s="9"/>
      <c r="U100" s="9"/>
      <c r="V100" s="9"/>
      <c r="W100" s="9"/>
      <c r="X100" s="9"/>
      <c r="Y100" s="9"/>
      <c r="Z100" s="9"/>
      <c r="AA100" s="9"/>
      <c r="AB100" s="9"/>
      <c r="AC100" s="9">
        <f t="shared" si="184"/>
        <v>0</v>
      </c>
    </row>
    <row r="101" spans="1:29" s="10" customFormat="1" x14ac:dyDescent="0.25">
      <c r="A101" s="9" t="s">
        <v>148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>
        <v>-0.71899999999999997</v>
      </c>
      <c r="P101" s="9">
        <f>-1.438-O101</f>
        <v>-0.71899999999999997</v>
      </c>
      <c r="Q101" s="9">
        <f>-2.156-O101-P101</f>
        <v>-0.7180000000000003</v>
      </c>
      <c r="R101" s="9">
        <f>-2.875-O101-P101-Q101</f>
        <v>-0.71899999999999997</v>
      </c>
      <c r="S101" s="9">
        <v>-0.71899999999999997</v>
      </c>
      <c r="T101" s="9"/>
      <c r="U101" s="9"/>
      <c r="V101" s="9"/>
      <c r="W101" s="9"/>
      <c r="X101" s="9"/>
      <c r="Y101" s="9"/>
      <c r="Z101" s="9"/>
      <c r="AA101" s="9"/>
      <c r="AB101" s="9"/>
      <c r="AC101" s="9">
        <f t="shared" si="184"/>
        <v>-2.875</v>
      </c>
    </row>
    <row r="102" spans="1:29" s="10" customFormat="1" x14ac:dyDescent="0.25">
      <c r="A102" s="9" t="s">
        <v>157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>
        <v>0</v>
      </c>
      <c r="P102" s="9">
        <f>-1.84-O102</f>
        <v>-1.84</v>
      </c>
      <c r="Q102" s="9">
        <f>-1.84-O102-P102</f>
        <v>0</v>
      </c>
      <c r="R102" s="9">
        <f>-1.84-O102-P102-Q102</f>
        <v>0</v>
      </c>
      <c r="S102" s="9">
        <v>0</v>
      </c>
      <c r="T102" s="9"/>
      <c r="U102" s="9"/>
      <c r="V102" s="9"/>
      <c r="W102" s="9"/>
      <c r="X102" s="9"/>
      <c r="Y102" s="9"/>
      <c r="Z102" s="9"/>
      <c r="AA102" s="9"/>
      <c r="AB102" s="9"/>
      <c r="AC102" s="9">
        <f t="shared" si="184"/>
        <v>-1.84</v>
      </c>
    </row>
    <row r="103" spans="1:29" s="10" customFormat="1" x14ac:dyDescent="0.25">
      <c r="A103" s="9" t="s">
        <v>149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>
        <v>-11.055999999999999</v>
      </c>
      <c r="P103" s="9">
        <f>-11.056-O103</f>
        <v>0</v>
      </c>
      <c r="Q103" s="9">
        <f>-14.057-O103-P103</f>
        <v>-3.0010000000000012</v>
      </c>
      <c r="R103" s="9">
        <f>-19.056-O103-P103-Q103</f>
        <v>-4.9990000000000006</v>
      </c>
      <c r="S103" s="9">
        <v>-6.7850000000000001</v>
      </c>
      <c r="T103" s="9"/>
      <c r="U103" s="9"/>
      <c r="V103" s="9"/>
      <c r="W103" s="9"/>
      <c r="X103" s="9"/>
      <c r="Y103" s="9"/>
      <c r="Z103" s="9"/>
      <c r="AA103" s="9"/>
      <c r="AB103" s="9"/>
      <c r="AC103" s="9">
        <f t="shared" si="184"/>
        <v>-19.056000000000001</v>
      </c>
    </row>
    <row r="104" spans="1:29" s="34" customFormat="1" x14ac:dyDescent="0.25">
      <c r="A104" s="33" t="s">
        <v>150</v>
      </c>
      <c r="B104" s="33"/>
      <c r="C104" s="33">
        <f t="shared" ref="C104:S104" si="189">SUM(C92:C103)</f>
        <v>0</v>
      </c>
      <c r="D104" s="33">
        <f t="shared" si="189"/>
        <v>0</v>
      </c>
      <c r="E104" s="33">
        <f t="shared" si="189"/>
        <v>0</v>
      </c>
      <c r="F104" s="33">
        <f t="shared" si="189"/>
        <v>0</v>
      </c>
      <c r="G104" s="33">
        <f t="shared" si="189"/>
        <v>0</v>
      </c>
      <c r="H104" s="33">
        <f t="shared" si="189"/>
        <v>0</v>
      </c>
      <c r="I104" s="33">
        <f t="shared" si="189"/>
        <v>0</v>
      </c>
      <c r="J104" s="33">
        <f t="shared" si="189"/>
        <v>0</v>
      </c>
      <c r="K104" s="33">
        <f t="shared" si="189"/>
        <v>0</v>
      </c>
      <c r="L104" s="33">
        <f t="shared" si="189"/>
        <v>0</v>
      </c>
      <c r="M104" s="33">
        <f t="shared" si="189"/>
        <v>0</v>
      </c>
      <c r="N104" s="33">
        <f t="shared" si="189"/>
        <v>0</v>
      </c>
      <c r="O104" s="33">
        <f t="shared" si="189"/>
        <v>-49.189</v>
      </c>
      <c r="P104" s="33">
        <f t="shared" si="189"/>
        <v>-15.214999999999998</v>
      </c>
      <c r="Q104" s="33">
        <f t="shared" si="189"/>
        <v>-5.4050000000000011</v>
      </c>
      <c r="R104" s="33">
        <f t="shared" si="189"/>
        <v>-23.995000000000005</v>
      </c>
      <c r="S104" s="33">
        <f t="shared" si="189"/>
        <v>-51.291000000000011</v>
      </c>
      <c r="T104" s="33">
        <f t="shared" ref="T104:V104" si="190">SUM(T92:T103)</f>
        <v>0</v>
      </c>
      <c r="U104" s="33">
        <f t="shared" si="190"/>
        <v>0</v>
      </c>
      <c r="V104" s="33">
        <f t="shared" si="190"/>
        <v>0</v>
      </c>
      <c r="W104" s="33"/>
      <c r="X104" s="33"/>
      <c r="Y104" s="33"/>
      <c r="Z104" s="33"/>
      <c r="AA104" s="33"/>
      <c r="AB104" s="33"/>
      <c r="AC104" s="33">
        <f>SUM(O104:R104)</f>
        <v>-93.804000000000002</v>
      </c>
    </row>
    <row r="105" spans="1:29" s="10" customFormat="1" x14ac:dyDescent="0.25">
      <c r="A105" s="9" t="s">
        <v>151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>
        <v>102.417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s="10" customFormat="1" x14ac:dyDescent="0.25">
      <c r="A106" s="9" t="s">
        <v>152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>
        <v>76.587999999999994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s="10" customFormat="1" x14ac:dyDescent="0.25">
      <c r="A107" s="9" t="s">
        <v>153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>
        <v>16.681999999999999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s="10" customFormat="1" x14ac:dyDescent="0.25">
      <c r="A108" s="9" t="s">
        <v>152</v>
      </c>
      <c r="B108" s="9"/>
      <c r="C108" s="9">
        <f t="shared" ref="C108:N108" si="191">SUM(C106:C107)</f>
        <v>0</v>
      </c>
      <c r="D108" s="9">
        <f t="shared" si="191"/>
        <v>0</v>
      </c>
      <c r="E108" s="9">
        <f t="shared" si="191"/>
        <v>0</v>
      </c>
      <c r="F108" s="9">
        <f t="shared" si="191"/>
        <v>0</v>
      </c>
      <c r="G108" s="9">
        <f t="shared" si="191"/>
        <v>0</v>
      </c>
      <c r="H108" s="9">
        <f t="shared" si="191"/>
        <v>0</v>
      </c>
      <c r="I108" s="9">
        <f t="shared" si="191"/>
        <v>0</v>
      </c>
      <c r="J108" s="9">
        <f t="shared" si="191"/>
        <v>0</v>
      </c>
      <c r="K108" s="9">
        <f t="shared" si="191"/>
        <v>0</v>
      </c>
      <c r="L108" s="9">
        <f t="shared" si="191"/>
        <v>0</v>
      </c>
      <c r="M108" s="9">
        <f t="shared" si="191"/>
        <v>0</v>
      </c>
      <c r="N108" s="9">
        <f t="shared" si="191"/>
        <v>0</v>
      </c>
      <c r="O108" s="9">
        <f>SUM(O106:O107)</f>
        <v>93.27</v>
      </c>
      <c r="P108" s="9">
        <f>SUM(P105:P107)</f>
        <v>0</v>
      </c>
      <c r="Q108" s="9">
        <f>SUM(Q105:Q107)</f>
        <v>0</v>
      </c>
      <c r="R108" s="9">
        <f t="shared" ref="R108" si="192">SUM(R106:R107)</f>
        <v>0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s="10" customFormat="1" x14ac:dyDescent="0.25">
      <c r="A109" s="9" t="s">
        <v>154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>
        <v>177.27099999999999</v>
      </c>
      <c r="P109" s="9">
        <v>137.93199999999999</v>
      </c>
      <c r="Q109" s="9">
        <v>152.89099999999999</v>
      </c>
      <c r="R109" s="9">
        <v>106.18899999999999</v>
      </c>
      <c r="S109" s="9">
        <v>11.048999999999999</v>
      </c>
      <c r="T109" s="9"/>
      <c r="U109" s="9"/>
      <c r="V109" s="9"/>
      <c r="W109" s="9"/>
      <c r="X109" s="9"/>
      <c r="Y109" s="9"/>
      <c r="Z109" s="9"/>
      <c r="AA109" s="9"/>
      <c r="AB109" s="9"/>
      <c r="AC109" s="9">
        <f>R109</f>
        <v>106.18899999999999</v>
      </c>
    </row>
    <row r="110" spans="1:29" s="10" customFormat="1" x14ac:dyDescent="0.25">
      <c r="A110" s="9" t="s">
        <v>155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>
        <v>18.416</v>
      </c>
      <c r="P110" s="9">
        <v>93.27</v>
      </c>
      <c r="Q110" s="9">
        <v>93.27</v>
      </c>
      <c r="R110" s="9">
        <v>93.27</v>
      </c>
      <c r="S110" s="9">
        <v>199.459</v>
      </c>
      <c r="T110" s="9"/>
      <c r="U110" s="9"/>
      <c r="V110" s="9"/>
      <c r="W110" s="9"/>
      <c r="X110" s="9"/>
      <c r="Y110" s="9"/>
      <c r="Z110" s="9"/>
      <c r="AA110" s="9"/>
      <c r="AB110" s="9"/>
      <c r="AC110" s="9">
        <f>R110</f>
        <v>93.27</v>
      </c>
    </row>
    <row r="111" spans="1:29" s="12" customFormat="1" x14ac:dyDescent="0.25">
      <c r="A111" s="11" t="s">
        <v>156</v>
      </c>
      <c r="B111" s="11"/>
      <c r="C111" s="11">
        <f t="shared" ref="C111:N111" si="193">SUM(C109:C110)</f>
        <v>0</v>
      </c>
      <c r="D111" s="11">
        <f t="shared" si="193"/>
        <v>0</v>
      </c>
      <c r="E111" s="11">
        <f t="shared" si="193"/>
        <v>0</v>
      </c>
      <c r="F111" s="11">
        <f t="shared" si="193"/>
        <v>0</v>
      </c>
      <c r="G111" s="11">
        <f t="shared" si="193"/>
        <v>0</v>
      </c>
      <c r="H111" s="11">
        <f t="shared" si="193"/>
        <v>0</v>
      </c>
      <c r="I111" s="11">
        <f t="shared" si="193"/>
        <v>0</v>
      </c>
      <c r="J111" s="11">
        <f t="shared" si="193"/>
        <v>0</v>
      </c>
      <c r="K111" s="11">
        <f t="shared" si="193"/>
        <v>0</v>
      </c>
      <c r="L111" s="11">
        <f t="shared" si="193"/>
        <v>0</v>
      </c>
      <c r="M111" s="11">
        <f t="shared" si="193"/>
        <v>0</v>
      </c>
      <c r="N111" s="11">
        <f t="shared" si="193"/>
        <v>0</v>
      </c>
      <c r="O111" s="11">
        <f>SUM(O109:O110)</f>
        <v>195.68699999999998</v>
      </c>
      <c r="P111" s="11">
        <f t="shared" ref="P111:R111" si="194">SUM(P109:P110)</f>
        <v>231.202</v>
      </c>
      <c r="Q111" s="11">
        <f t="shared" si="194"/>
        <v>246.161</v>
      </c>
      <c r="R111" s="11">
        <f t="shared" si="194"/>
        <v>199.459</v>
      </c>
      <c r="S111" s="11">
        <f>SUM(S109:S110)</f>
        <v>210.50800000000001</v>
      </c>
      <c r="T111" s="11"/>
      <c r="U111" s="11"/>
      <c r="V111" s="11"/>
      <c r="W111" s="11"/>
      <c r="X111" s="11"/>
      <c r="Y111" s="11"/>
      <c r="Z111" s="11"/>
      <c r="AA111" s="11"/>
      <c r="AB111" s="11"/>
      <c r="AC111" s="11">
        <f>SUM(AC109:AC110)</f>
        <v>199.459</v>
      </c>
    </row>
    <row r="112" spans="1:29" s="10" customFormat="1" x14ac:dyDescent="0.25">
      <c r="A112" s="9" t="s">
        <v>158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>
        <v>39.070999999999998</v>
      </c>
      <c r="Q112" s="9"/>
      <c r="R112" s="9">
        <v>90.534999999999997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s="10" customForma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s="37" customFormat="1" ht="14.4" x14ac:dyDescent="0.3">
      <c r="A114" s="35" t="s">
        <v>159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6">
        <f>+O104+O91+O87</f>
        <v>102.41700000000003</v>
      </c>
      <c r="P114" s="36">
        <f>+P104+P91+P87</f>
        <v>35.515000000000015</v>
      </c>
      <c r="Q114" s="36">
        <f>+Q104+Q91+Q87</f>
        <v>14.958999999999991</v>
      </c>
      <c r="R114" s="36">
        <f>+R104+R91+R87</f>
        <v>-46.70199999999997</v>
      </c>
      <c r="S114" s="36">
        <f>+S104+S91+S87</f>
        <v>11.048999999999991</v>
      </c>
      <c r="T114" s="35"/>
      <c r="U114" s="35"/>
      <c r="V114" s="35"/>
      <c r="W114" s="35"/>
      <c r="X114" s="35"/>
      <c r="Y114" s="35"/>
      <c r="Z114" s="35"/>
      <c r="AA114" s="35"/>
      <c r="AB114" s="35"/>
      <c r="AC114" s="36">
        <f>+AC104+AC91+AC87</f>
        <v>106.18900000000004</v>
      </c>
    </row>
    <row r="115" spans="1:29" s="40" customFormat="1" ht="14.4" x14ac:dyDescent="0.3">
      <c r="A115" s="38" t="s">
        <v>160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9">
        <f>O87+O88+O90</f>
        <v>151.60600000000002</v>
      </c>
      <c r="P115" s="39">
        <f>P87+P88+P90</f>
        <v>50.730000000000011</v>
      </c>
      <c r="Q115" s="39">
        <f>Q87+Q88+Q90</f>
        <v>20.36399999999999</v>
      </c>
      <c r="R115" s="39">
        <f>R87+R88+R90</f>
        <v>-22.706999999999969</v>
      </c>
      <c r="S115" s="39">
        <f>S87+S88+S90</f>
        <v>-1.6199999999999988</v>
      </c>
      <c r="T115" s="38"/>
      <c r="U115" s="38"/>
      <c r="V115" s="38"/>
      <c r="W115" s="38"/>
      <c r="X115" s="38"/>
      <c r="Y115" s="38"/>
      <c r="Z115" s="38"/>
      <c r="AA115" s="38"/>
      <c r="AB115" s="38"/>
      <c r="AC115" s="39">
        <f>AC87+AC88+AC90</f>
        <v>199.99300000000005</v>
      </c>
    </row>
  </sheetData>
  <phoneticPr fontId="1" type="noConversion"/>
  <hyperlinks>
    <hyperlink ref="A1" location="Main!A1" display="Main" xr:uid="{F11DAF57-F530-4668-9C6A-3624BEB892EC}"/>
  </hyperlinks>
  <pageMargins left="0.7" right="0.7" top="0.75" bottom="0.75" header="0.3" footer="0.3"/>
  <ignoredErrors>
    <ignoredError sqref="AA8:AC9 AA24:AC25 O108" formulaRange="1"/>
    <ignoredError sqref="AA10:AC23 AD25 AE25:AH25" formula="1" formulaRange="1"/>
    <ignoredError sqref="AE22:AN24 AD10:AD24 AI25:AN2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2024-05-27T19:08:52Z</dcterms:modified>
</cp:coreProperties>
</file>