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849" documentId="8_{C1DB56B4-5B30-4B5B-96B3-CADC344B38D3}" xr6:coauthVersionLast="47" xr6:coauthVersionMax="47" xr10:uidLastSave="{B12FEFDE-7CD7-46B0-8450-5557D6EA296A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0" i="1" l="1"/>
  <c r="P99" i="1"/>
  <c r="P97" i="1"/>
  <c r="P93" i="1"/>
  <c r="P89" i="1"/>
  <c r="P83" i="1"/>
  <c r="O66" i="1"/>
  <c r="N66" i="1"/>
  <c r="M66" i="1"/>
  <c r="L66" i="1"/>
  <c r="J66" i="1"/>
  <c r="I66" i="1"/>
  <c r="C66" i="1"/>
  <c r="D66" i="1"/>
  <c r="E66" i="1"/>
  <c r="F66" i="1"/>
  <c r="G66" i="1"/>
  <c r="H66" i="1"/>
  <c r="K66" i="1"/>
  <c r="P66" i="1"/>
  <c r="AJ28" i="1" l="1"/>
  <c r="AI28" i="1"/>
  <c r="AH28" i="1"/>
  <c r="AG28" i="1"/>
  <c r="AF28" i="1"/>
  <c r="AE28" i="1"/>
  <c r="AD28" i="1"/>
  <c r="AC28" i="1"/>
  <c r="AB28" i="1"/>
  <c r="AA28" i="1"/>
  <c r="AJ27" i="1"/>
  <c r="AI27" i="1"/>
  <c r="AH27" i="1"/>
  <c r="AG27" i="1"/>
  <c r="AF27" i="1"/>
  <c r="AE27" i="1"/>
  <c r="AD27" i="1"/>
  <c r="AC27" i="1"/>
  <c r="AB27" i="1"/>
  <c r="AA27" i="1"/>
  <c r="AJ26" i="1"/>
  <c r="AI26" i="1"/>
  <c r="AH26" i="1"/>
  <c r="AG26" i="1"/>
  <c r="AF26" i="1"/>
  <c r="AE26" i="1"/>
  <c r="AD26" i="1"/>
  <c r="AC26" i="1"/>
  <c r="AB26" i="1"/>
  <c r="AA26" i="1"/>
  <c r="AJ25" i="1"/>
  <c r="AI25" i="1"/>
  <c r="AH25" i="1"/>
  <c r="AG25" i="1"/>
  <c r="AF25" i="1"/>
  <c r="AE25" i="1"/>
  <c r="AD25" i="1"/>
  <c r="AC25" i="1"/>
  <c r="AB25" i="1"/>
  <c r="AA25" i="1"/>
  <c r="AJ22" i="1"/>
  <c r="AI22" i="1"/>
  <c r="AH22" i="1"/>
  <c r="AG22" i="1"/>
  <c r="AF22" i="1"/>
  <c r="AE22" i="1"/>
  <c r="AD22" i="1"/>
  <c r="AC22" i="1"/>
  <c r="AB22" i="1"/>
  <c r="AA22" i="1"/>
  <c r="Y32" i="1"/>
  <c r="X32" i="1"/>
  <c r="W32" i="1"/>
  <c r="V32" i="1"/>
  <c r="Y31" i="1"/>
  <c r="Y30" i="1" s="1"/>
  <c r="X31" i="1"/>
  <c r="X30" i="1" s="1"/>
  <c r="W31" i="1"/>
  <c r="W30" i="1" s="1"/>
  <c r="V31" i="1"/>
  <c r="V30" i="1" s="1"/>
  <c r="S32" i="1"/>
  <c r="R32" i="1"/>
  <c r="Q32" i="1"/>
  <c r="P32" i="1"/>
  <c r="S31" i="1"/>
  <c r="S30" i="1" s="1"/>
  <c r="R31" i="1"/>
  <c r="R30" i="1" s="1"/>
  <c r="Q31" i="1"/>
  <c r="Q30" i="1" s="1"/>
  <c r="P31" i="1"/>
  <c r="P30" i="1" s="1"/>
  <c r="N32" i="1"/>
  <c r="M32" i="1"/>
  <c r="L32" i="1"/>
  <c r="K32" i="1"/>
  <c r="J32" i="1"/>
  <c r="I32" i="1"/>
  <c r="I30" i="1" s="1"/>
  <c r="H32" i="1"/>
  <c r="G32" i="1"/>
  <c r="G30" i="1" s="1"/>
  <c r="F32" i="1"/>
  <c r="E32" i="1"/>
  <c r="D32" i="1"/>
  <c r="N31" i="1"/>
  <c r="M31" i="1"/>
  <c r="L31" i="1"/>
  <c r="L30" i="1" s="1"/>
  <c r="K31" i="1"/>
  <c r="K30" i="1" s="1"/>
  <c r="J31" i="1"/>
  <c r="J30" i="1" s="1"/>
  <c r="I31" i="1"/>
  <c r="H31" i="1"/>
  <c r="G31" i="1"/>
  <c r="F31" i="1"/>
  <c r="E31" i="1"/>
  <c r="D31" i="1"/>
  <c r="D30" i="1" s="1"/>
  <c r="N30" i="1"/>
  <c r="M30" i="1"/>
  <c r="H30" i="1"/>
  <c r="F30" i="1"/>
  <c r="E30" i="1"/>
  <c r="C32" i="1"/>
  <c r="C31" i="1"/>
  <c r="C30" i="1"/>
  <c r="O30" i="1"/>
  <c r="O32" i="1"/>
  <c r="O31" i="1"/>
  <c r="P9" i="1"/>
  <c r="S3" i="1"/>
  <c r="S22" i="1" s="1"/>
  <c r="R3" i="1"/>
  <c r="R22" i="1" s="1"/>
  <c r="Q3" i="1"/>
  <c r="Q13" i="1" s="1"/>
  <c r="W9" i="1"/>
  <c r="U9" i="1"/>
  <c r="V9" i="1"/>
  <c r="W14" i="1"/>
  <c r="V14" i="1"/>
  <c r="U14" i="1"/>
  <c r="W5" i="1"/>
  <c r="V5" i="1"/>
  <c r="U5" i="1"/>
  <c r="V56" i="1"/>
  <c r="V62" i="1" s="1"/>
  <c r="V64" i="1" s="1"/>
  <c r="V39" i="1"/>
  <c r="V47" i="1" s="1"/>
  <c r="W56" i="1"/>
  <c r="W62" i="1" s="1"/>
  <c r="W64" i="1" s="1"/>
  <c r="W45" i="1"/>
  <c r="W39" i="1"/>
  <c r="X56" i="1"/>
  <c r="X62" i="1" s="1"/>
  <c r="X64" i="1" s="1"/>
  <c r="X45" i="1"/>
  <c r="X39" i="1"/>
  <c r="G45" i="1"/>
  <c r="G56" i="1"/>
  <c r="G62" i="1" s="1"/>
  <c r="G64" i="1" s="1"/>
  <c r="F56" i="1"/>
  <c r="F62" i="1" s="1"/>
  <c r="F64" i="1" s="1"/>
  <c r="E56" i="1"/>
  <c r="E62" i="1" s="1"/>
  <c r="E64" i="1" s="1"/>
  <c r="D56" i="1"/>
  <c r="D62" i="1" s="1"/>
  <c r="D64" i="1" s="1"/>
  <c r="C56" i="1"/>
  <c r="C62" i="1" s="1"/>
  <c r="C64" i="1" s="1"/>
  <c r="F39" i="1"/>
  <c r="F47" i="1" s="1"/>
  <c r="E39" i="1"/>
  <c r="E47" i="1" s="1"/>
  <c r="D39" i="1"/>
  <c r="D47" i="1" s="1"/>
  <c r="C39" i="1"/>
  <c r="C47" i="1" s="1"/>
  <c r="G39" i="1"/>
  <c r="K45" i="1"/>
  <c r="Y56" i="1"/>
  <c r="Y62" i="1" s="1"/>
  <c r="Y64" i="1" s="1"/>
  <c r="Y45" i="1"/>
  <c r="Y39" i="1"/>
  <c r="X19" i="1"/>
  <c r="X16" i="1"/>
  <c r="X13" i="1"/>
  <c r="X12" i="1"/>
  <c r="X11" i="1"/>
  <c r="X8" i="1"/>
  <c r="X7" i="1"/>
  <c r="X6" i="1"/>
  <c r="X4" i="1"/>
  <c r="X3" i="1"/>
  <c r="Y19" i="1"/>
  <c r="Y16" i="1"/>
  <c r="Y13" i="1"/>
  <c r="Y12" i="1"/>
  <c r="Y11" i="1"/>
  <c r="Y8" i="1"/>
  <c r="Y7" i="1"/>
  <c r="Y6" i="1"/>
  <c r="Y4" i="1"/>
  <c r="Y3" i="1"/>
  <c r="S6" i="1" l="1"/>
  <c r="S12" i="1"/>
  <c r="S4" i="1"/>
  <c r="S5" i="1" s="1"/>
  <c r="Q4" i="1"/>
  <c r="Q5" i="1" s="1"/>
  <c r="Q6" i="1"/>
  <c r="Q7" i="1"/>
  <c r="V22" i="1"/>
  <c r="Q12" i="1"/>
  <c r="Z12" i="1" s="1"/>
  <c r="R4" i="1"/>
  <c r="R12" i="1"/>
  <c r="R6" i="1"/>
  <c r="Q8" i="1"/>
  <c r="R7" i="1"/>
  <c r="S13" i="1"/>
  <c r="Z3" i="1"/>
  <c r="AA3" i="1" s="1"/>
  <c r="Q11" i="1"/>
  <c r="S7" i="1"/>
  <c r="R11" i="1"/>
  <c r="Q22" i="1"/>
  <c r="R13" i="1"/>
  <c r="R8" i="1"/>
  <c r="S11" i="1"/>
  <c r="S14" i="1" s="1"/>
  <c r="S8" i="1"/>
  <c r="U10" i="1"/>
  <c r="U15" i="1" s="1"/>
  <c r="U17" i="1" s="1"/>
  <c r="U18" i="1" s="1"/>
  <c r="W22" i="1"/>
  <c r="V10" i="1"/>
  <c r="V15" i="1" s="1"/>
  <c r="V17" i="1" s="1"/>
  <c r="V18" i="1" s="1"/>
  <c r="W47" i="1"/>
  <c r="G47" i="1"/>
  <c r="Y47" i="1"/>
  <c r="X47" i="1"/>
  <c r="W10" i="1"/>
  <c r="W15" i="1" s="1"/>
  <c r="W17" i="1" s="1"/>
  <c r="W18" i="1" s="1"/>
  <c r="Z4" i="1" l="1"/>
  <c r="Z6" i="1"/>
  <c r="Q9" i="1"/>
  <c r="Q10" i="1" s="1"/>
  <c r="S9" i="1"/>
  <c r="S10" i="1" s="1"/>
  <c r="S15" i="1" s="1"/>
  <c r="AA8" i="1"/>
  <c r="AA12" i="1"/>
  <c r="AA7" i="1"/>
  <c r="AA11" i="1"/>
  <c r="AA14" i="1" s="1"/>
  <c r="AB3" i="1"/>
  <c r="AA13" i="1"/>
  <c r="AA6" i="1"/>
  <c r="AA4" i="1"/>
  <c r="AA5" i="1" s="1"/>
  <c r="R9" i="1"/>
  <c r="Z7" i="1"/>
  <c r="R14" i="1"/>
  <c r="Z13" i="1"/>
  <c r="Q14" i="1"/>
  <c r="Z11" i="1"/>
  <c r="Z8" i="1"/>
  <c r="R5" i="1"/>
  <c r="R10" i="1" s="1"/>
  <c r="AA9" i="1" l="1"/>
  <c r="Z9" i="1"/>
  <c r="AA10" i="1"/>
  <c r="Q15" i="1"/>
  <c r="AB12" i="1"/>
  <c r="AB7" i="1"/>
  <c r="AB8" i="1"/>
  <c r="AC3" i="1"/>
  <c r="AB4" i="1"/>
  <c r="AB5" i="1" s="1"/>
  <c r="AB11" i="1"/>
  <c r="AB6" i="1"/>
  <c r="AB13" i="1"/>
  <c r="AA15" i="1"/>
  <c r="AA16" i="1" s="1"/>
  <c r="AA17" i="1" s="1"/>
  <c r="AA18" i="1" s="1"/>
  <c r="R15" i="1"/>
  <c r="R16" i="1" s="1"/>
  <c r="R17" i="1" s="1"/>
  <c r="R18" i="1" s="1"/>
  <c r="S16" i="1"/>
  <c r="S17" i="1" s="1"/>
  <c r="S18" i="1" s="1"/>
  <c r="Q16" i="1"/>
  <c r="Z16" i="1" s="1"/>
  <c r="Q17" i="1" l="1"/>
  <c r="AB14" i="1"/>
  <c r="AC13" i="1"/>
  <c r="AC4" i="1"/>
  <c r="AC5" i="1" s="1"/>
  <c r="AC6" i="1"/>
  <c r="AC8" i="1"/>
  <c r="AD3" i="1"/>
  <c r="AC11" i="1"/>
  <c r="AC14" i="1" s="1"/>
  <c r="AC12" i="1"/>
  <c r="AC7" i="1"/>
  <c r="AB9" i="1"/>
  <c r="AB10" i="1" s="1"/>
  <c r="AB15" i="1" s="1"/>
  <c r="AB16" i="1" s="1"/>
  <c r="AB17" i="1" s="1"/>
  <c r="AB18" i="1" s="1"/>
  <c r="Q18" i="1"/>
  <c r="AD8" i="1" l="1"/>
  <c r="AD11" i="1"/>
  <c r="AD13" i="1"/>
  <c r="AD7" i="1"/>
  <c r="AD4" i="1"/>
  <c r="AD5" i="1" s="1"/>
  <c r="AD12" i="1"/>
  <c r="AE3" i="1"/>
  <c r="AD6" i="1"/>
  <c r="AC9" i="1"/>
  <c r="AC10" i="1" s="1"/>
  <c r="AC15" i="1" s="1"/>
  <c r="AC16" i="1" s="1"/>
  <c r="AC17" i="1" s="1"/>
  <c r="AC18" i="1" s="1"/>
  <c r="O22" i="1"/>
  <c r="N22" i="1"/>
  <c r="M22" i="1"/>
  <c r="L22" i="1"/>
  <c r="H45" i="1"/>
  <c r="H56" i="1"/>
  <c r="H62" i="1" s="1"/>
  <c r="H64" i="1" s="1"/>
  <c r="H39" i="1"/>
  <c r="J39" i="1"/>
  <c r="I39" i="1"/>
  <c r="H9" i="1"/>
  <c r="H14" i="1"/>
  <c r="H5" i="1"/>
  <c r="I14" i="1"/>
  <c r="I9" i="1"/>
  <c r="I5" i="1"/>
  <c r="I25" i="1" s="1"/>
  <c r="M14" i="1"/>
  <c r="M9" i="1"/>
  <c r="M5" i="1"/>
  <c r="M25" i="1" s="1"/>
  <c r="J14" i="1"/>
  <c r="J9" i="1"/>
  <c r="J5" i="1"/>
  <c r="J25" i="1" s="1"/>
  <c r="N14" i="1"/>
  <c r="N9" i="1"/>
  <c r="N5" i="1"/>
  <c r="N25" i="1" s="1"/>
  <c r="K14" i="1"/>
  <c r="K9" i="1"/>
  <c r="K5" i="1"/>
  <c r="K25" i="1" s="1"/>
  <c r="O9" i="1"/>
  <c r="L9" i="1"/>
  <c r="O45" i="1"/>
  <c r="S56" i="1"/>
  <c r="S62" i="1" s="1"/>
  <c r="S64" i="1" s="1"/>
  <c r="R56" i="1"/>
  <c r="R62" i="1" s="1"/>
  <c r="R64" i="1" s="1"/>
  <c r="Q56" i="1"/>
  <c r="Q62" i="1" s="1"/>
  <c r="Q64" i="1" s="1"/>
  <c r="O56" i="1"/>
  <c r="O62" i="1" s="1"/>
  <c r="O64" i="1" s="1"/>
  <c r="N56" i="1"/>
  <c r="N62" i="1" s="1"/>
  <c r="N64" i="1" s="1"/>
  <c r="M56" i="1"/>
  <c r="M62" i="1" s="1"/>
  <c r="M64" i="1" s="1"/>
  <c r="L56" i="1"/>
  <c r="L62" i="1" s="1"/>
  <c r="L64" i="1" s="1"/>
  <c r="K56" i="1"/>
  <c r="K62" i="1" s="1"/>
  <c r="K64" i="1" s="1"/>
  <c r="S39" i="1"/>
  <c r="S47" i="1" s="1"/>
  <c r="R39" i="1"/>
  <c r="R47" i="1" s="1"/>
  <c r="Q39" i="1"/>
  <c r="Q47" i="1" s="1"/>
  <c r="O39" i="1"/>
  <c r="N39" i="1"/>
  <c r="N47" i="1" s="1"/>
  <c r="M39" i="1"/>
  <c r="M47" i="1" s="1"/>
  <c r="L39" i="1"/>
  <c r="L47" i="1" s="1"/>
  <c r="K39" i="1"/>
  <c r="K47" i="1" s="1"/>
  <c r="P56" i="1"/>
  <c r="P62" i="1" s="1"/>
  <c r="P64" i="1" s="1"/>
  <c r="P45" i="1"/>
  <c r="P39" i="1"/>
  <c r="P22" i="1"/>
  <c r="O14" i="1"/>
  <c r="L14" i="1"/>
  <c r="O5" i="1"/>
  <c r="O25" i="1" s="1"/>
  <c r="L5" i="1"/>
  <c r="P14" i="1"/>
  <c r="Z14" i="1" s="1"/>
  <c r="P5" i="1"/>
  <c r="L6" i="2"/>
  <c r="L5" i="2"/>
  <c r="L4" i="2"/>
  <c r="L8" i="2"/>
  <c r="AE4" i="1" l="1"/>
  <c r="AE5" i="1" s="1"/>
  <c r="AE6" i="1"/>
  <c r="AF3" i="1"/>
  <c r="AE8" i="1"/>
  <c r="AE13" i="1"/>
  <c r="AE7" i="1"/>
  <c r="AE9" i="1" s="1"/>
  <c r="AE12" i="1"/>
  <c r="AE11" i="1"/>
  <c r="AE14" i="1" s="1"/>
  <c r="AD14" i="1"/>
  <c r="AD9" i="1"/>
  <c r="AD10" i="1" s="1"/>
  <c r="AD15" i="1" s="1"/>
  <c r="AD16" i="1" s="1"/>
  <c r="AD17" i="1" s="1"/>
  <c r="AD18" i="1" s="1"/>
  <c r="P10" i="1"/>
  <c r="Z10" i="1" s="1"/>
  <c r="Z26" i="1" s="1"/>
  <c r="Z5" i="1"/>
  <c r="X9" i="1"/>
  <c r="P15" i="1"/>
  <c r="Z15" i="1" s="1"/>
  <c r="Z28" i="1" s="1"/>
  <c r="X5" i="1"/>
  <c r="H25" i="1"/>
  <c r="X14" i="1"/>
  <c r="Y5" i="1"/>
  <c r="P25" i="1"/>
  <c r="L25" i="1"/>
  <c r="Y14" i="1"/>
  <c r="Y9" i="1"/>
  <c r="H47" i="1"/>
  <c r="P26" i="1"/>
  <c r="H10" i="1"/>
  <c r="I10" i="1"/>
  <c r="M10" i="1"/>
  <c r="J10" i="1"/>
  <c r="N10" i="1"/>
  <c r="K10" i="1"/>
  <c r="P47" i="1"/>
  <c r="L10" i="1"/>
  <c r="O47" i="1"/>
  <c r="O10" i="1"/>
  <c r="L7" i="2"/>
  <c r="AF7" i="1" l="1"/>
  <c r="AF4" i="1"/>
  <c r="AF11" i="1"/>
  <c r="AF6" i="1"/>
  <c r="AG3" i="1"/>
  <c r="AF8" i="1"/>
  <c r="AF5" i="1"/>
  <c r="AF12" i="1"/>
  <c r="AF13" i="1"/>
  <c r="AE10" i="1"/>
  <c r="AE15" i="1" s="1"/>
  <c r="AE16" i="1" s="1"/>
  <c r="AE17" i="1" s="1"/>
  <c r="AE18" i="1" s="1"/>
  <c r="Z25" i="1"/>
  <c r="Z22" i="1"/>
  <c r="K15" i="1"/>
  <c r="K26" i="1"/>
  <c r="N15" i="1"/>
  <c r="N26" i="1"/>
  <c r="J26" i="1"/>
  <c r="J15" i="1"/>
  <c r="J28" i="1" s="1"/>
  <c r="M15" i="1"/>
  <c r="M26" i="1"/>
  <c r="Y25" i="1"/>
  <c r="Y22" i="1"/>
  <c r="O15" i="1"/>
  <c r="O26" i="1"/>
  <c r="I15" i="1"/>
  <c r="I26" i="1"/>
  <c r="H15" i="1"/>
  <c r="X10" i="1"/>
  <c r="X26" i="1" s="1"/>
  <c r="H26" i="1"/>
  <c r="L15" i="1"/>
  <c r="Y10" i="1"/>
  <c r="Y26" i="1" s="1"/>
  <c r="L26" i="1"/>
  <c r="X22" i="1"/>
  <c r="X25" i="1"/>
  <c r="P17" i="1"/>
  <c r="P28" i="1"/>
  <c r="AG12" i="1" l="1"/>
  <c r="AG6" i="1"/>
  <c r="AG11" i="1"/>
  <c r="AG13" i="1"/>
  <c r="AG4" i="1"/>
  <c r="AG5" i="1" s="1"/>
  <c r="AH3" i="1"/>
  <c r="AG8" i="1"/>
  <c r="AG7" i="1"/>
  <c r="AF9" i="1"/>
  <c r="AF10" i="1" s="1"/>
  <c r="AF14" i="1"/>
  <c r="M17" i="1"/>
  <c r="M28" i="1"/>
  <c r="P18" i="1"/>
  <c r="P27" i="1"/>
  <c r="H17" i="1"/>
  <c r="X15" i="1"/>
  <c r="X28" i="1" s="1"/>
  <c r="H28" i="1"/>
  <c r="I17" i="1"/>
  <c r="I28" i="1"/>
  <c r="J17" i="1"/>
  <c r="O17" i="1"/>
  <c r="O28" i="1"/>
  <c r="L17" i="1"/>
  <c r="Y15" i="1"/>
  <c r="Y28" i="1" s="1"/>
  <c r="L28" i="1"/>
  <c r="N17" i="1"/>
  <c r="N28" i="1"/>
  <c r="K28" i="1"/>
  <c r="K17" i="1"/>
  <c r="K27" i="1" s="1"/>
  <c r="AH12" i="1" l="1"/>
  <c r="AH7" i="1"/>
  <c r="AH4" i="1"/>
  <c r="AH5" i="1" s="1"/>
  <c r="AH6" i="1"/>
  <c r="AH11" i="1"/>
  <c r="AI3" i="1"/>
  <c r="AH8" i="1"/>
  <c r="AH13" i="1"/>
  <c r="AG9" i="1"/>
  <c r="AG10" i="1" s="1"/>
  <c r="AG14" i="1"/>
  <c r="AF15" i="1"/>
  <c r="AF16" i="1" s="1"/>
  <c r="AF17" i="1" s="1"/>
  <c r="AF18" i="1" s="1"/>
  <c r="N18" i="1"/>
  <c r="N27" i="1"/>
  <c r="L18" i="1"/>
  <c r="Y17" i="1"/>
  <c r="Y27" i="1" s="1"/>
  <c r="L27" i="1"/>
  <c r="H18" i="1"/>
  <c r="X17" i="1"/>
  <c r="X27" i="1" s="1"/>
  <c r="H27" i="1"/>
  <c r="I18" i="1"/>
  <c r="I27" i="1"/>
  <c r="K18" i="1"/>
  <c r="J18" i="1"/>
  <c r="J27" i="1"/>
  <c r="O27" i="1"/>
  <c r="O18" i="1"/>
  <c r="M18" i="1"/>
  <c r="M27" i="1"/>
  <c r="AH9" i="1" l="1"/>
  <c r="AJ3" i="1"/>
  <c r="AI12" i="1"/>
  <c r="AI6" i="1"/>
  <c r="AI13" i="1"/>
  <c r="AI11" i="1"/>
  <c r="AI8" i="1"/>
  <c r="AI7" i="1"/>
  <c r="AI4" i="1"/>
  <c r="AI5" i="1" s="1"/>
  <c r="AH14" i="1"/>
  <c r="AG15" i="1"/>
  <c r="AG16" i="1" s="1"/>
  <c r="AG17" i="1" s="1"/>
  <c r="AG18" i="1" s="1"/>
  <c r="AH10" i="1"/>
  <c r="AH15" i="1" s="1"/>
  <c r="AH16" i="1" s="1"/>
  <c r="AH17" i="1" s="1"/>
  <c r="AH18" i="1" s="1"/>
  <c r="X18" i="1"/>
  <c r="Y18" i="1"/>
  <c r="AI14" i="1" l="1"/>
  <c r="AI9" i="1"/>
  <c r="AI10" i="1" s="1"/>
  <c r="AI15" i="1" s="1"/>
  <c r="AI16" i="1" s="1"/>
  <c r="AI17" i="1" s="1"/>
  <c r="AI18" i="1" s="1"/>
  <c r="AJ7" i="1"/>
  <c r="AJ6" i="1"/>
  <c r="AJ4" i="1"/>
  <c r="AJ5" i="1" s="1"/>
  <c r="AJ13" i="1"/>
  <c r="AJ8" i="1"/>
  <c r="AJ12" i="1"/>
  <c r="AJ11" i="1"/>
  <c r="AJ9" i="1" l="1"/>
  <c r="AJ10" i="1"/>
  <c r="AJ14" i="1"/>
  <c r="AJ15" i="1" s="1"/>
  <c r="AJ16" i="1" s="1"/>
  <c r="AJ17" i="1" s="1"/>
  <c r="AJ18" i="1" l="1"/>
  <c r="AK17" i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R17" i="1" s="1"/>
  <c r="DS17" i="1" s="1"/>
  <c r="DT17" i="1" s="1"/>
  <c r="DU17" i="1" s="1"/>
  <c r="DV17" i="1" s="1"/>
  <c r="DW17" i="1" s="1"/>
  <c r="DX17" i="1" s="1"/>
  <c r="DY17" i="1" s="1"/>
  <c r="DZ17" i="1" s="1"/>
  <c r="EA17" i="1" s="1"/>
  <c r="EB17" i="1" s="1"/>
  <c r="EC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EX17" i="1" s="1"/>
  <c r="EY17" i="1" s="1"/>
  <c r="EZ17" i="1" s="1"/>
  <c r="FA17" i="1" s="1"/>
  <c r="FB17" i="1" s="1"/>
  <c r="FC17" i="1" s="1"/>
  <c r="FD17" i="1" s="1"/>
  <c r="FE17" i="1" s="1"/>
  <c r="FF17" i="1" s="1"/>
  <c r="FG17" i="1" s="1"/>
  <c r="FH17" i="1" s="1"/>
  <c r="FI17" i="1" s="1"/>
  <c r="FJ17" i="1" s="1"/>
  <c r="FK17" i="1" s="1"/>
  <c r="FL17" i="1" s="1"/>
  <c r="FM17" i="1" s="1"/>
  <c r="FN17" i="1" s="1"/>
  <c r="FO17" i="1" s="1"/>
  <c r="FP17" i="1" s="1"/>
  <c r="FQ17" i="1" s="1"/>
  <c r="FR17" i="1" s="1"/>
  <c r="FS17" i="1" s="1"/>
  <c r="FT17" i="1" s="1"/>
  <c r="FU17" i="1" s="1"/>
  <c r="FV17" i="1" s="1"/>
  <c r="FW17" i="1" s="1"/>
  <c r="FX17" i="1" s="1"/>
  <c r="FY17" i="1" s="1"/>
  <c r="FZ17" i="1" s="1"/>
  <c r="GA17" i="1" s="1"/>
  <c r="GB17" i="1" s="1"/>
  <c r="GC17" i="1" s="1"/>
  <c r="Z18" i="1" l="1"/>
  <c r="Z17" i="1"/>
  <c r="Z19" i="1"/>
  <c r="Z27" i="1" l="1"/>
  <c r="AM20" i="1"/>
  <c r="AM22" i="1" s="1"/>
  <c r="AM23" i="1" s="1"/>
  <c r="AM24" i="1" s="1"/>
</calcChain>
</file>

<file path=xl/sharedStrings.xml><?xml version="1.0" encoding="utf-8"?>
<sst xmlns="http://schemas.openxmlformats.org/spreadsheetml/2006/main" count="133" uniqueCount="117">
  <si>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</si>
  <si>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</si>
  <si>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</si>
  <si>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</si>
  <si>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</si>
  <si>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</si>
  <si>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</si>
  <si>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</si>
  <si>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</si>
  <si>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</si>
  <si>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</si>
  <si>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</si>
  <si>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</si>
  <si>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</si>
  <si>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</si>
  <si>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</si>
  <si>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</si>
  <si>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/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</si>
  <si>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</si>
  <si>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</si>
  <si>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</si>
  <si>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</si>
  <si>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</si>
  <si>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</si>
  <si>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</si>
  <si>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</si>
  <si>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</si>
  <si>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</si>
  <si>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GARMIN LTD</t>
  </si>
  <si>
    <t>GRMN</t>
  </si>
  <si>
    <t>Revenue</t>
  </si>
  <si>
    <t>COGS</t>
  </si>
  <si>
    <t>Gross Profit</t>
  </si>
  <si>
    <t>R&amp;D</t>
  </si>
  <si>
    <t>SG&amp;A</t>
  </si>
  <si>
    <t>Operating expenses</t>
  </si>
  <si>
    <t>Operating income</t>
  </si>
  <si>
    <t>Interest income</t>
  </si>
  <si>
    <t>Foreign currency gains</t>
  </si>
  <si>
    <t>Other income</t>
  </si>
  <si>
    <t>Total other income (expense)</t>
  </si>
  <si>
    <t>Pretax</t>
  </si>
  <si>
    <t>Taxes</t>
  </si>
  <si>
    <t>Net income</t>
  </si>
  <si>
    <t>EPS</t>
  </si>
  <si>
    <t>Revenue Y/Y</t>
  </si>
  <si>
    <t>Revenue Q/Q</t>
  </si>
  <si>
    <t>Gross Margin %</t>
  </si>
  <si>
    <t>Operating Margin %</t>
  </si>
  <si>
    <t>Net Margin %</t>
  </si>
  <si>
    <t>Tax Rate %</t>
  </si>
  <si>
    <t>Cash and equivalents</t>
  </si>
  <si>
    <t>Marketable securities</t>
  </si>
  <si>
    <t>A/R</t>
  </si>
  <si>
    <t>Inventories</t>
  </si>
  <si>
    <t>Deferred cost</t>
  </si>
  <si>
    <t>Prepaids</t>
  </si>
  <si>
    <t>Current assets</t>
  </si>
  <si>
    <t>P&amp;E</t>
  </si>
  <si>
    <t>Leases</t>
  </si>
  <si>
    <t>Noncurrent marketable securities</t>
  </si>
  <si>
    <t>DT</t>
  </si>
  <si>
    <t>Noncurrent deferred cost</t>
  </si>
  <si>
    <t>Goodwill + Intangibles</t>
  </si>
  <si>
    <t>ONCA</t>
  </si>
  <si>
    <t>Assets</t>
  </si>
  <si>
    <t>A/P</t>
  </si>
  <si>
    <t>Salaries and benefits</t>
  </si>
  <si>
    <t>Accrued warranty cost</t>
  </si>
  <si>
    <t>Accrued sales program costs</t>
  </si>
  <si>
    <t>Other accrued expenses</t>
  </si>
  <si>
    <t>Deferred revenue</t>
  </si>
  <si>
    <t>Taxes payable</t>
  </si>
  <si>
    <t>Dividend payable</t>
  </si>
  <si>
    <t>Current liabilities</t>
  </si>
  <si>
    <t>Deferred tax liabilities</t>
  </si>
  <si>
    <t>ONCL</t>
  </si>
  <si>
    <t>Liabilities</t>
  </si>
  <si>
    <t>SE</t>
  </si>
  <si>
    <t>L+SE</t>
  </si>
  <si>
    <t>Advertising expense</t>
  </si>
  <si>
    <t>Maturity</t>
  </si>
  <si>
    <t>Discount</t>
  </si>
  <si>
    <t>NPV</t>
  </si>
  <si>
    <t>Value</t>
  </si>
  <si>
    <t>Per Share</t>
  </si>
  <si>
    <t>Change</t>
  </si>
  <si>
    <t>Net cash</t>
  </si>
  <si>
    <t>Clifton Albert Pemble</t>
  </si>
  <si>
    <t>Model NI</t>
  </si>
  <si>
    <t>Reported NI</t>
  </si>
  <si>
    <t>Depreciation</t>
  </si>
  <si>
    <t>Amortization</t>
  </si>
  <si>
    <t>Gain on sale or disposal of P&amp;E</t>
  </si>
  <si>
    <t>Unrealized foreign currency losses</t>
  </si>
  <si>
    <t>SBC</t>
  </si>
  <si>
    <t>Realized loss on marketable securities</t>
  </si>
  <si>
    <t>OCA</t>
  </si>
  <si>
    <t>OCL</t>
  </si>
  <si>
    <t>DR</t>
  </si>
  <si>
    <t>Income taxes</t>
  </si>
  <si>
    <t>CFFO</t>
  </si>
  <si>
    <t>CapEx</t>
  </si>
  <si>
    <t>Purchase of marketable securities</t>
  </si>
  <si>
    <t>Redemption of marketable securities</t>
  </si>
  <si>
    <t>Net cash from acquisitions</t>
  </si>
  <si>
    <t>Other investing activities</t>
  </si>
  <si>
    <t>CFFF</t>
  </si>
  <si>
    <t>Dividends</t>
  </si>
  <si>
    <t>Purchase of treasury shares related to equity awards</t>
  </si>
  <si>
    <t>Purchase of shares under repurchase program</t>
  </si>
  <si>
    <t>Exchange reate changes on cash</t>
  </si>
  <si>
    <t>Increase in cash</t>
  </si>
  <si>
    <t>Cash at beginning of period</t>
  </si>
  <si>
    <t>Cash at end of period</t>
  </si>
  <si>
    <t>Cash Flow</t>
  </si>
  <si>
    <t>Free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</si>
</sst>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  <font>
      <b/>
      <u/>
      <sz val="14"/>
      <color theme="10"/>
      <name val="Aptos Narrow"/>
      <family val="2"/>
      <scheme val="minor"/>
    </font>
    <font>
      <b/>
      <u/>
      <sz val="16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2" fontId="0" fillId="0" borderId="1" xfId="0" applyNumberFormat="1" applyBorder="1"/>
    <xf numFmtId="0" fontId="0" fillId="0" borderId="0" xfId="0" quotePrefix="1"/>
    <xf numFmtId="3" fontId="0" fillId="2" borderId="0" xfId="0" applyNumberFormat="1" applyFill="1"/>
    <xf numFmtId="0" fontId="0" fillId="2" borderId="0" xfId="0" applyFill="1"/>
    <xf numFmtId="0" fontId="7" fillId="2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3" fillId="2" borderId="0" xfId="0" applyFont="1" applyFill="1" applyAlignment="1">
      <alignment horizontal="right"/>
    </xf>
    <xf numFmtId="4" fontId="0" fillId="0" borderId="0" xfId="0" applyNumberFormat="1"/>
    <xf numFmtId="3" fontId="9" fillId="2" borderId="0" xfId="0" applyNumberFormat="1" applyFont="1" applyFill="1"/>
    <xf numFmtId="3" fontId="9" fillId="0" borderId="0" xfId="0" applyNumberFormat="1" applyFont="1"/>
    <xf numFmtId="3" fontId="9" fillId="2" borderId="2" xfId="0" applyNumberFormat="1" applyFont="1" applyFill="1" applyBorder="1"/>
    <xf numFmtId="3" fontId="9" fillId="0" borderId="2" xfId="0" applyNumberFormat="1" applyFont="1" applyBorder="1"/>
    <xf numFmtId="3" fontId="0" fillId="2" borderId="2" xfId="0" applyNumberFormat="1" applyFill="1" applyBorder="1"/>
    <xf numFmtId="3" fontId="0" fillId="0" borderId="2" xfId="0" applyNumberFormat="1" applyBorder="1"/>
    <xf numFmtId="9" fontId="0" fillId="0" borderId="0" xfId="0" applyNumberFormat="1"/>
    <xf numFmtId="3" fontId="10" fillId="2" borderId="3" xfId="0" applyNumberFormat="1" applyFont="1" applyFill="1" applyBorder="1"/>
    <xf numFmtId="3" fontId="10" fillId="0" borderId="3" xfId="0" applyNumberFormat="1" applyFont="1" applyBorder="1"/>
    <xf numFmtId="9" fontId="10" fillId="0" borderId="3" xfId="0" applyNumberFormat="1" applyFont="1" applyBorder="1"/>
    <xf numFmtId="3" fontId="10" fillId="2" borderId="4" xfId="0" applyNumberFormat="1" applyFont="1" applyFill="1" applyBorder="1"/>
    <xf numFmtId="3" fontId="10" fillId="0" borderId="4" xfId="0" applyNumberFormat="1" applyFont="1" applyBorder="1"/>
    <xf numFmtId="3" fontId="10" fillId="2" borderId="0" xfId="0" applyNumberFormat="1" applyFont="1" applyFill="1"/>
    <xf numFmtId="3" fontId="10" fillId="0" borderId="0" xfId="0" applyNumberFormat="1" applyFont="1"/>
    <xf numFmtId="9" fontId="10" fillId="0" borderId="0" xfId="0" applyNumberFormat="1" applyFont="1"/>
    <xf numFmtId="9" fontId="10" fillId="0" borderId="4" xfId="0" applyNumberFormat="1" applyFont="1" applyBorder="1"/>
    <xf numFmtId="9" fontId="0" fillId="0" borderId="0" xfId="2" applyFont="1"/>
    <xf numFmtId="3" fontId="11" fillId="2" borderId="0" xfId="0" applyNumberFormat="1" applyFont="1" applyFill="1"/>
    <xf numFmtId="3" fontId="11" fillId="0" borderId="0" xfId="0" applyNumberFormat="1" applyFont="1"/>
    <xf numFmtId="3" fontId="10" fillId="2" borderId="5" xfId="0" applyNumberFormat="1" applyFont="1" applyFill="1" applyBorder="1"/>
    <xf numFmtId="3" fontId="10" fillId="0" borderId="5" xfId="0" applyNumberFormat="1" applyFont="1" applyBorder="1"/>
    <xf numFmtId="10" fontId="10" fillId="0" borderId="3" xfId="0" applyNumberFormat="1" applyFont="1" applyBorder="1"/>
    <xf numFmtId="0" fontId="10" fillId="2" borderId="3" xfId="0" applyFont="1" applyFill="1" applyBorder="1"/>
    <xf numFmtId="0" fontId="10" fillId="0" borderId="3" xfId="0" applyFont="1" applyBorder="1"/>
    <xf numFmtId="0" fontId="10" fillId="2" borderId="4" xfId="0" applyFont="1" applyFill="1" applyBorder="1"/>
    <xf numFmtId="0" fontId="10" fillId="0" borderId="4" xfId="0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" fontId="10" fillId="0" borderId="4" xfId="0" applyNumberFormat="1" applyFont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</xdr:row>
      <xdr:rowOff>0</xdr:rowOff>
    </xdr:from>
    <xdr:to>
      <xdr:col>25</xdr:col>
      <xdr:colOff>0</xdr:colOff>
      <xdr:row>96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493</xdr:colOff>
      <xdr:row>96</xdr:row>
      <xdr:rowOff>157926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6C822963-097B-4557-B4EF-33C3D32A39D8}"/>
            </a:ext>
          </a:extLst>
        </xdr:cNvPr>
        <xdr:cNvCxnSpPr/>
      </xdr:nvCxnSpPr>
      <xdr:spPr>
        <a:xfrm>
          <a:off x="11558954" y="269631"/>
          <a:ext cx="493" cy="17449464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M16"/>
  <sheetViews>
    <sheetView workbookViewId="0">
      <selection activeCell="L3" sqref="L3"/>
    </sheetView>
  </sheetViews>
  <sheetFormatPr defaultRowHeight="14.4" x14ac:dyDescent="0.3"/>
  <cols>
    <col min="2" max="2" width="12.88671875" customWidth="1"/>
    <col min="12" max="12" width="18" bestFit="1" customWidth="1"/>
    <col min="13" max="13" width="9.109375" customWidth="1"/>
    <col min="15" max="15" width="11" bestFit="1" customWidth="1"/>
  </cols>
  <sheetData>
    <row r="1" spans="2:13" ht="21" x14ac:dyDescent="0.4">
      <c r="B1" s="9" t="s">
        <v>18</v>
      </c>
      <c r="K1" s="38" t="s">
        <v>29</v>
      </c>
      <c r="L1" s="38"/>
    </row>
    <row r="2" spans="2:13" ht="22.8" x14ac:dyDescent="0.3">
      <c r="B2" s="39" t="s">
        <v>28</v>
      </c>
      <c r="C2" s="39"/>
      <c r="D2" s="39"/>
      <c r="E2" s="39"/>
      <c r="F2" s="39"/>
      <c r="G2" s="39"/>
      <c r="H2" s="39"/>
      <c r="I2" s="39"/>
      <c r="K2" s="1" t="s">
        <v>0</v>
      </c>
      <c r="L2" s="4">
        <v>165.97</v>
      </c>
    </row>
    <row r="3" spans="2:13" x14ac:dyDescent="0.3">
      <c r="K3" s="1" t="s">
        <v>1</v>
      </c>
      <c r="L3" s="2">
        <v>192.077718</v>
      </c>
      <c r="M3" t="s">
        <v>24</v>
      </c>
    </row>
    <row r="4" spans="2:13" x14ac:dyDescent="0.3">
      <c r="K4" s="1" t="s">
        <v>2</v>
      </c>
      <c r="L4" s="2">
        <f>L3*L2</f>
        <v>31879.138856460002</v>
      </c>
    </row>
    <row r="5" spans="2:13" x14ac:dyDescent="0.3">
      <c r="K5" s="1" t="s">
        <v>3</v>
      </c>
      <c r="L5" s="2">
        <f>1921.782+274.579</f>
        <v>2196.3609999999999</v>
      </c>
      <c r="M5" t="s">
        <v>24</v>
      </c>
    </row>
    <row r="6" spans="2:13" x14ac:dyDescent="0.3">
      <c r="K6" s="1" t="s">
        <v>4</v>
      </c>
      <c r="L6" s="2">
        <f>105.859</f>
        <v>105.85899999999999</v>
      </c>
      <c r="M6" t="s">
        <v>24</v>
      </c>
    </row>
    <row r="7" spans="2:13" x14ac:dyDescent="0.3">
      <c r="K7" s="1" t="s">
        <v>5</v>
      </c>
      <c r="L7" s="2">
        <f>L4-L5+L6</f>
        <v>29788.636856460002</v>
      </c>
    </row>
    <row r="8" spans="2:13" x14ac:dyDescent="0.3">
      <c r="K8" s="1" t="s">
        <v>6</v>
      </c>
      <c r="L8" s="2">
        <f>L5-L6</f>
        <v>2090.502</v>
      </c>
    </row>
    <row r="9" spans="2:13" x14ac:dyDescent="0.3">
      <c r="K9" s="1"/>
      <c r="L9" s="1"/>
    </row>
    <row r="10" spans="2:13" x14ac:dyDescent="0.3">
      <c r="K10" s="1" t="s">
        <v>7</v>
      </c>
      <c r="L10" s="1" t="s">
        <v>88</v>
      </c>
    </row>
    <row r="16" spans="2:13" x14ac:dyDescent="0.3">
      <c r="F16" s="5" t="s">
        <v>17</v>
      </c>
    </row>
  </sheetData>
  <mergeCells count="2">
    <mergeCell ref="K1:L1"/>
    <mergeCell ref="B2:I2"/>
  </mergeCells>
  <hyperlinks>
    <hyperlink ref="B1" location="Model!A1" display="Model" xr:uid="{191EB341-8C2F-4D17-8524-64F231C50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GC100"/>
  <sheetViews>
    <sheetView tabSelected="1" zoomScale="130" zoomScaleNormal="130" workbookViewId="0">
      <pane xSplit="1" ySplit="2" topLeftCell="Y3" activePane="bottomRight" state="frozen"/>
      <selection pane="topRight" activeCell="C1" sqref="C1"/>
      <selection pane="bottomLeft" activeCell="A3" sqref="A3"/>
      <selection pane="bottomRight" activeCell="AM23" sqref="AM23"/>
    </sheetView>
  </sheetViews>
  <sheetFormatPr defaultRowHeight="14.4" x14ac:dyDescent="0.3"/>
  <cols>
    <col min="1" max="1" width="34.5546875" style="7" customWidth="1"/>
    <col min="15" max="15" width="9.5546875" bestFit="1" customWidth="1"/>
  </cols>
  <sheetData>
    <row r="1" spans="1:44" s="7" customFormat="1" ht="21" x14ac:dyDescent="0.4">
      <c r="A1" s="8" t="s">
        <v>16</v>
      </c>
    </row>
    <row r="2" spans="1:44" s="10" customFormat="1" x14ac:dyDescent="0.3">
      <c r="C2" s="10" t="s">
        <v>23</v>
      </c>
      <c r="D2" s="10" t="s">
        <v>19</v>
      </c>
      <c r="E2" s="10" t="s">
        <v>20</v>
      </c>
      <c r="F2" s="10" t="s">
        <v>21</v>
      </c>
      <c r="G2" s="10" t="s">
        <v>22</v>
      </c>
      <c r="H2" s="10" t="s">
        <v>14</v>
      </c>
      <c r="I2" s="10" t="s">
        <v>15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8</v>
      </c>
      <c r="O2" s="10" t="s">
        <v>9</v>
      </c>
      <c r="P2" s="10" t="s">
        <v>24</v>
      </c>
      <c r="Q2" s="10" t="s">
        <v>25</v>
      </c>
      <c r="R2" s="10" t="s">
        <v>26</v>
      </c>
      <c r="S2" s="10" t="s">
        <v>27</v>
      </c>
      <c r="U2" s="10">
        <v>2019</v>
      </c>
      <c r="V2" s="10">
        <v>2020</v>
      </c>
      <c r="W2" s="10">
        <v>2021</v>
      </c>
      <c r="X2" s="10">
        <v>2022</v>
      </c>
      <c r="Y2" s="10">
        <v>2023</v>
      </c>
      <c r="Z2" s="10">
        <v>2024</v>
      </c>
      <c r="AA2" s="10">
        <v>2025</v>
      </c>
      <c r="AB2" s="10">
        <v>2026</v>
      </c>
      <c r="AC2" s="10">
        <v>2027</v>
      </c>
      <c r="AD2" s="10">
        <v>2028</v>
      </c>
      <c r="AE2" s="10">
        <v>2029</v>
      </c>
      <c r="AF2" s="10">
        <v>2030</v>
      </c>
      <c r="AG2" s="10">
        <v>2031</v>
      </c>
      <c r="AH2" s="10">
        <v>2032</v>
      </c>
      <c r="AI2" s="10">
        <v>2033</v>
      </c>
      <c r="AJ2" s="10">
        <v>2034</v>
      </c>
      <c r="AK2" s="10">
        <v>2035</v>
      </c>
      <c r="AL2" s="10">
        <v>2036</v>
      </c>
      <c r="AM2" s="10">
        <v>2037</v>
      </c>
      <c r="AN2" s="10">
        <v>2038</v>
      </c>
      <c r="AO2" s="10">
        <v>2039</v>
      </c>
      <c r="AP2" s="10">
        <v>2040</v>
      </c>
      <c r="AQ2" s="10">
        <v>2041</v>
      </c>
      <c r="AR2" s="10">
        <v>2042</v>
      </c>
    </row>
    <row r="3" spans="1:44" s="13" customFormat="1" x14ac:dyDescent="0.3">
      <c r="A3" s="12" t="s">
        <v>30</v>
      </c>
      <c r="H3" s="13">
        <v>1172.662</v>
      </c>
      <c r="I3" s="13">
        <v>1240.8330000000001</v>
      </c>
      <c r="J3" s="13">
        <v>1140.434</v>
      </c>
      <c r="K3" s="13">
        <v>1306.356</v>
      </c>
      <c r="L3" s="13">
        <v>1147.424</v>
      </c>
      <c r="M3" s="13">
        <v>1320.7950000000001</v>
      </c>
      <c r="N3" s="13">
        <v>1277.5309999999999</v>
      </c>
      <c r="O3" s="13">
        <v>1482.501</v>
      </c>
      <c r="P3" s="13">
        <v>1381.6489999999999</v>
      </c>
      <c r="Q3" s="13">
        <f>M3*1.07</f>
        <v>1413.2506500000002</v>
      </c>
      <c r="R3" s="13">
        <f>N3*1.103</f>
        <v>1409.1166929999999</v>
      </c>
      <c r="S3" s="13">
        <f>O3*1.09</f>
        <v>1615.9260900000002</v>
      </c>
      <c r="U3" s="13">
        <v>3757.5050000000001</v>
      </c>
      <c r="V3" s="13">
        <v>4186.5730000000003</v>
      </c>
      <c r="W3" s="13">
        <v>4982.7950000000001</v>
      </c>
      <c r="X3" s="13">
        <f>SUM(H3:K3)</f>
        <v>4860.2849999999999</v>
      </c>
      <c r="Y3" s="13">
        <f>SUM(L3:O3)</f>
        <v>5228.2510000000002</v>
      </c>
      <c r="Z3" s="13">
        <f>SUM(P3:S3)</f>
        <v>5819.9424330000002</v>
      </c>
      <c r="AA3" s="13">
        <f>Z3*1.087</f>
        <v>6326.2774246709996</v>
      </c>
      <c r="AB3" s="13">
        <f>AA3*1.056</f>
        <v>6680.5489604525756</v>
      </c>
      <c r="AC3" s="13">
        <f t="shared" ref="AC3:AI3" si="0">AB3*1.056</f>
        <v>7054.6597022379201</v>
      </c>
      <c r="AD3" s="13">
        <f t="shared" si="0"/>
        <v>7449.720645563244</v>
      </c>
      <c r="AE3" s="13">
        <f t="shared" si="0"/>
        <v>7866.9050017147865</v>
      </c>
      <c r="AF3" s="13">
        <f t="shared" si="0"/>
        <v>8307.451681810815</v>
      </c>
      <c r="AG3" s="13">
        <f t="shared" si="0"/>
        <v>8772.668975992221</v>
      </c>
      <c r="AH3" s="13">
        <f t="shared" si="0"/>
        <v>9263.938438647785</v>
      </c>
      <c r="AI3" s="13">
        <f t="shared" si="0"/>
        <v>9782.7189912120612</v>
      </c>
      <c r="AJ3" s="13">
        <f>AI3*1.025</f>
        <v>10027.286965992362</v>
      </c>
    </row>
    <row r="4" spans="1:44" s="3" customFormat="1" ht="15.75" customHeight="1" x14ac:dyDescent="0.3">
      <c r="A4" s="6" t="s">
        <v>31</v>
      </c>
      <c r="H4" s="3">
        <v>510.18299999999999</v>
      </c>
      <c r="I4" s="3">
        <v>512.00699999999995</v>
      </c>
      <c r="J4" s="3">
        <v>469.935</v>
      </c>
      <c r="K4" s="3">
        <v>561.38599999999997</v>
      </c>
      <c r="L4" s="3">
        <v>494.63</v>
      </c>
      <c r="M4" s="3">
        <v>561.35299999999995</v>
      </c>
      <c r="N4" s="3">
        <v>548.96199999999999</v>
      </c>
      <c r="O4" s="3">
        <v>618.35199999999998</v>
      </c>
      <c r="P4" s="3">
        <v>579.51</v>
      </c>
      <c r="Q4" s="3">
        <f>Q3*0.4221</f>
        <v>596.533099365</v>
      </c>
      <c r="R4" s="3">
        <f t="shared" ref="R4:S4" si="1">R3*0.4221</f>
        <v>594.7881561152999</v>
      </c>
      <c r="S4" s="3">
        <f t="shared" si="1"/>
        <v>682.08240258900003</v>
      </c>
      <c r="U4" s="3">
        <v>1523.529</v>
      </c>
      <c r="V4" s="3">
        <v>1705.2370000000001</v>
      </c>
      <c r="W4" s="3">
        <v>2092.3359999999998</v>
      </c>
      <c r="X4" s="3">
        <f>SUM(H4:K4)</f>
        <v>2053.511</v>
      </c>
      <c r="Y4" s="3">
        <f>SUM(L4:O4)</f>
        <v>2223.297</v>
      </c>
      <c r="Z4" s="3">
        <f>SUM(P4:S4)</f>
        <v>2452.9136580692998</v>
      </c>
      <c r="AA4" s="3">
        <f t="shared" ref="AA4" si="2">AA3*0.4221</f>
        <v>2670.3217009536288</v>
      </c>
      <c r="AB4" s="3">
        <f t="shared" ref="AB4" si="3">AB3*0.4221</f>
        <v>2819.8597162070319</v>
      </c>
      <c r="AC4" s="3">
        <f t="shared" ref="AC4" si="4">AC3*0.4221</f>
        <v>2977.7718603146259</v>
      </c>
      <c r="AD4" s="3">
        <f t="shared" ref="AD4" si="5">AD3*0.4221</f>
        <v>3144.5270844922452</v>
      </c>
      <c r="AE4" s="3">
        <f t="shared" ref="AE4" si="6">AE3*0.4221</f>
        <v>3320.6206012238113</v>
      </c>
      <c r="AF4" s="3">
        <f t="shared" ref="AF4" si="7">AF3*0.4221</f>
        <v>3506.5753548923449</v>
      </c>
      <c r="AG4" s="3">
        <f t="shared" ref="AG4" si="8">AG3*0.4221</f>
        <v>3702.9435747663165</v>
      </c>
      <c r="AH4" s="3">
        <f t="shared" ref="AH4" si="9">AH3*0.4221</f>
        <v>3910.3084149532297</v>
      </c>
      <c r="AI4" s="3">
        <f t="shared" ref="AI4" si="10">AI3*0.4221</f>
        <v>4129.2856861906112</v>
      </c>
      <c r="AJ4" s="3">
        <f t="shared" ref="AJ4" si="11">AJ3*0.4221</f>
        <v>4232.5178283453761</v>
      </c>
    </row>
    <row r="5" spans="1:44" s="15" customFormat="1" x14ac:dyDescent="0.3">
      <c r="A5" s="14" t="s">
        <v>32</v>
      </c>
      <c r="H5" s="15">
        <f t="shared" ref="H5:O5" si="12">H3-H4</f>
        <v>662.47900000000004</v>
      </c>
      <c r="I5" s="15">
        <f t="shared" si="12"/>
        <v>728.82600000000014</v>
      </c>
      <c r="J5" s="15">
        <f t="shared" si="12"/>
        <v>670.49900000000002</v>
      </c>
      <c r="K5" s="15">
        <f t="shared" si="12"/>
        <v>744.97</v>
      </c>
      <c r="L5" s="15">
        <f t="shared" si="12"/>
        <v>652.79399999999998</v>
      </c>
      <c r="M5" s="15">
        <f t="shared" si="12"/>
        <v>759.44200000000012</v>
      </c>
      <c r="N5" s="15">
        <f t="shared" si="12"/>
        <v>728.56899999999996</v>
      </c>
      <c r="O5" s="15">
        <f t="shared" si="12"/>
        <v>864.149</v>
      </c>
      <c r="P5" s="15">
        <f>P3-P4</f>
        <v>802.1389999999999</v>
      </c>
      <c r="Q5" s="15">
        <f>Q3-Q4</f>
        <v>816.71755063500018</v>
      </c>
      <c r="R5" s="15">
        <f t="shared" ref="R5:S5" si="13">R3-R4</f>
        <v>814.32853688470004</v>
      </c>
      <c r="S5" s="15">
        <f t="shared" si="13"/>
        <v>933.84368741100013</v>
      </c>
      <c r="U5" s="15">
        <f t="shared" ref="U5:W5" si="14">U3-U4</f>
        <v>2233.9760000000001</v>
      </c>
      <c r="V5" s="15">
        <f t="shared" si="14"/>
        <v>2481.3360000000002</v>
      </c>
      <c r="W5" s="15">
        <f t="shared" si="14"/>
        <v>2890.4590000000003</v>
      </c>
      <c r="X5" s="15">
        <f>SUM(H5:K5)</f>
        <v>2806.7740000000003</v>
      </c>
      <c r="Y5" s="15">
        <f>SUM(L5:O5)</f>
        <v>3004.9540000000002</v>
      </c>
      <c r="Z5" s="15">
        <f>SUM(P5:S5)</f>
        <v>3367.0287749307004</v>
      </c>
      <c r="AA5" s="15">
        <f t="shared" ref="AA5" si="15">AA3-AA4</f>
        <v>3655.9557237173708</v>
      </c>
      <c r="AB5" s="15">
        <f t="shared" ref="AB5" si="16">AB3-AB4</f>
        <v>3860.6892442455437</v>
      </c>
      <c r="AC5" s="15">
        <f t="shared" ref="AC5" si="17">AC3-AC4</f>
        <v>4076.8878419232942</v>
      </c>
      <c r="AD5" s="15">
        <f t="shared" ref="AD5" si="18">AD3-AD4</f>
        <v>4305.1935610709988</v>
      </c>
      <c r="AE5" s="15">
        <f t="shared" ref="AE5" si="19">AE3-AE4</f>
        <v>4546.2844004909748</v>
      </c>
      <c r="AF5" s="15">
        <f t="shared" ref="AF5" si="20">AF3-AF4</f>
        <v>4800.8763269184701</v>
      </c>
      <c r="AG5" s="15">
        <f t="shared" ref="AG5" si="21">AG3-AG4</f>
        <v>5069.7254012259045</v>
      </c>
      <c r="AH5" s="15">
        <f t="shared" ref="AH5" si="22">AH3-AH4</f>
        <v>5353.6300236945553</v>
      </c>
      <c r="AI5" s="15">
        <f t="shared" ref="AI5" si="23">AI3-AI4</f>
        <v>5653.43330502145</v>
      </c>
      <c r="AJ5" s="15">
        <f t="shared" ref="AJ5" si="24">AJ3-AJ4</f>
        <v>5794.7691376469857</v>
      </c>
    </row>
    <row r="6" spans="1:44" s="3" customFormat="1" x14ac:dyDescent="0.3">
      <c r="A6" s="6" t="s">
        <v>80</v>
      </c>
      <c r="H6" s="3">
        <v>34.133000000000003</v>
      </c>
      <c r="I6" s="3">
        <v>43.356999999999999</v>
      </c>
      <c r="J6" s="3">
        <v>32.887999999999998</v>
      </c>
      <c r="K6" s="3">
        <v>57.661999999999999</v>
      </c>
      <c r="M6" s="3">
        <v>46.344000000000001</v>
      </c>
      <c r="N6" s="3">
        <v>35.158000000000001</v>
      </c>
      <c r="O6" s="3">
        <v>61.26</v>
      </c>
      <c r="Q6" s="3">
        <f>Q3*0.0268</f>
        <v>37.875117420000009</v>
      </c>
      <c r="R6" s="3">
        <f t="shared" ref="R6:S6" si="25">R3*0.0268</f>
        <v>37.764327372399997</v>
      </c>
      <c r="S6" s="3">
        <f t="shared" si="25"/>
        <v>43.306819212000008</v>
      </c>
      <c r="U6" s="3">
        <v>164.45599999999999</v>
      </c>
      <c r="V6" s="3">
        <v>151.166</v>
      </c>
      <c r="W6" s="3">
        <v>171.82900000000001</v>
      </c>
      <c r="X6" s="3">
        <f t="shared" ref="X6:X9" si="26">SUM(H6:K6)</f>
        <v>168.04000000000002</v>
      </c>
      <c r="Y6" s="3">
        <f t="shared" ref="Y6:Y9" si="27">SUM(L6:O6)</f>
        <v>142.762</v>
      </c>
      <c r="Z6" s="3">
        <f t="shared" ref="Z6:Z13" si="28">SUM(P6:S6)</f>
        <v>118.94626400440002</v>
      </c>
      <c r="AA6" s="3">
        <f t="shared" ref="AA6:AJ6" si="29">AA3*0.0268</f>
        <v>169.5442349811828</v>
      </c>
      <c r="AB6" s="3">
        <f t="shared" si="29"/>
        <v>179.03871214012904</v>
      </c>
      <c r="AC6" s="3">
        <f t="shared" si="29"/>
        <v>189.06488001997627</v>
      </c>
      <c r="AD6" s="3">
        <f t="shared" si="29"/>
        <v>199.65251330109496</v>
      </c>
      <c r="AE6" s="3">
        <f t="shared" si="29"/>
        <v>210.83305404595629</v>
      </c>
      <c r="AF6" s="3">
        <f t="shared" si="29"/>
        <v>222.63970507252984</v>
      </c>
      <c r="AG6" s="3">
        <f t="shared" si="29"/>
        <v>235.10752855659152</v>
      </c>
      <c r="AH6" s="3">
        <f t="shared" si="29"/>
        <v>248.27355015576066</v>
      </c>
      <c r="AI6" s="3">
        <f t="shared" si="29"/>
        <v>262.17686896448328</v>
      </c>
      <c r="AJ6" s="3">
        <f t="shared" si="29"/>
        <v>268.73129068859532</v>
      </c>
    </row>
    <row r="7" spans="1:44" s="3" customFormat="1" x14ac:dyDescent="0.3">
      <c r="A7" s="6" t="s">
        <v>33</v>
      </c>
      <c r="H7" s="3">
        <v>209.006</v>
      </c>
      <c r="I7" s="3">
        <v>201.518</v>
      </c>
      <c r="J7" s="3">
        <v>208.69200000000001</v>
      </c>
      <c r="K7" s="3">
        <v>215.71199999999999</v>
      </c>
      <c r="L7" s="3">
        <v>221.48500000000001</v>
      </c>
      <c r="M7" s="3">
        <v>224.39400000000001</v>
      </c>
      <c r="N7" s="3">
        <v>221.572</v>
      </c>
      <c r="O7" s="3">
        <v>237.245</v>
      </c>
      <c r="P7" s="3">
        <v>242.535</v>
      </c>
      <c r="Q7" s="3">
        <f>Q3*0.1734</f>
        <v>245.05766271000002</v>
      </c>
      <c r="R7" s="3">
        <f t="shared" ref="R7:S7" si="30">R3*0.1734</f>
        <v>244.34083456619999</v>
      </c>
      <c r="S7" s="3">
        <f t="shared" si="30"/>
        <v>280.20158400600002</v>
      </c>
      <c r="U7" s="3">
        <v>605.36599999999999</v>
      </c>
      <c r="V7" s="3">
        <v>705.68499999999995</v>
      </c>
      <c r="W7" s="3">
        <v>840.024</v>
      </c>
      <c r="X7" s="3">
        <f t="shared" si="26"/>
        <v>834.928</v>
      </c>
      <c r="Y7" s="3">
        <f t="shared" si="27"/>
        <v>904.69600000000003</v>
      </c>
      <c r="Z7" s="3">
        <f t="shared" si="28"/>
        <v>1012.1350812822</v>
      </c>
      <c r="AA7" s="3">
        <f t="shared" ref="AA7:AJ7" si="31">AA3*0.1734</f>
        <v>1096.9765054379513</v>
      </c>
      <c r="AB7" s="3">
        <f t="shared" si="31"/>
        <v>1158.4071897424767</v>
      </c>
      <c r="AC7" s="3">
        <f t="shared" si="31"/>
        <v>1223.2779923680553</v>
      </c>
      <c r="AD7" s="3">
        <f t="shared" si="31"/>
        <v>1291.7815599406665</v>
      </c>
      <c r="AE7" s="3">
        <f t="shared" si="31"/>
        <v>1364.1213272973439</v>
      </c>
      <c r="AF7" s="3">
        <f t="shared" si="31"/>
        <v>1440.5121216259954</v>
      </c>
      <c r="AG7" s="3">
        <f t="shared" si="31"/>
        <v>1521.1808004370512</v>
      </c>
      <c r="AH7" s="3">
        <f t="shared" si="31"/>
        <v>1606.3669252615259</v>
      </c>
      <c r="AI7" s="3">
        <f t="shared" si="31"/>
        <v>1696.3234730761715</v>
      </c>
      <c r="AJ7" s="3">
        <f t="shared" si="31"/>
        <v>1738.7315599030755</v>
      </c>
    </row>
    <row r="8" spans="1:44" s="3" customFormat="1" x14ac:dyDescent="0.3">
      <c r="A8" s="6" t="s">
        <v>34</v>
      </c>
      <c r="H8" s="3">
        <v>190.78399999999999</v>
      </c>
      <c r="I8" s="3">
        <v>191.21100000000001</v>
      </c>
      <c r="J8" s="3">
        <v>189.54599999999999</v>
      </c>
      <c r="K8" s="3">
        <v>204.42099999999999</v>
      </c>
      <c r="L8" s="3">
        <v>234.327</v>
      </c>
      <c r="M8" s="3">
        <v>204.34899999999999</v>
      </c>
      <c r="N8" s="3">
        <v>201.47</v>
      </c>
      <c r="O8" s="3">
        <v>225.19</v>
      </c>
      <c r="P8" s="3">
        <v>261.19400000000002</v>
      </c>
      <c r="Q8" s="3">
        <f>Q3*0.1663</f>
        <v>235.02358309500002</v>
      </c>
      <c r="R8" s="3">
        <f t="shared" ref="R8:S8" si="32">R3*0.1663</f>
        <v>234.33610604589998</v>
      </c>
      <c r="S8" s="3">
        <f t="shared" si="32"/>
        <v>268.72850876700005</v>
      </c>
      <c r="U8" s="3">
        <v>518.56799999999998</v>
      </c>
      <c r="V8" s="3">
        <v>570.245</v>
      </c>
      <c r="W8" s="3">
        <v>659.98599999999999</v>
      </c>
      <c r="X8" s="3">
        <f t="shared" si="26"/>
        <v>775.96199999999999</v>
      </c>
      <c r="Y8" s="3">
        <f t="shared" si="27"/>
        <v>865.33600000000001</v>
      </c>
      <c r="Z8" s="3">
        <f t="shared" si="28"/>
        <v>999.28219790790013</v>
      </c>
      <c r="AA8" s="3">
        <f t="shared" ref="AA8:AJ8" si="33">AA3*0.1663</f>
        <v>1052.0599357227873</v>
      </c>
      <c r="AB8" s="3">
        <f t="shared" si="33"/>
        <v>1110.9752921232634</v>
      </c>
      <c r="AC8" s="3">
        <f t="shared" si="33"/>
        <v>1173.1899084821662</v>
      </c>
      <c r="AD8" s="3">
        <f t="shared" si="33"/>
        <v>1238.8885433571675</v>
      </c>
      <c r="AE8" s="3">
        <f t="shared" si="33"/>
        <v>1308.2663017851689</v>
      </c>
      <c r="AF8" s="3">
        <f t="shared" si="33"/>
        <v>1381.5292146851386</v>
      </c>
      <c r="AG8" s="3">
        <f t="shared" si="33"/>
        <v>1458.8948507075063</v>
      </c>
      <c r="AH8" s="3">
        <f t="shared" si="33"/>
        <v>1540.5929623471268</v>
      </c>
      <c r="AI8" s="3">
        <f t="shared" si="33"/>
        <v>1626.8661682385657</v>
      </c>
      <c r="AJ8" s="3">
        <f t="shared" si="33"/>
        <v>1667.5378224445299</v>
      </c>
    </row>
    <row r="9" spans="1:44" s="3" customFormat="1" x14ac:dyDescent="0.3">
      <c r="A9" s="6" t="s">
        <v>35</v>
      </c>
      <c r="H9" s="3">
        <f>SUM(H6:H8)</f>
        <v>433.923</v>
      </c>
      <c r="I9" s="3">
        <f>SUM(I6:I8)</f>
        <v>436.08600000000001</v>
      </c>
      <c r="J9" s="3">
        <f>SUM(J6:J8)</f>
        <v>431.12599999999998</v>
      </c>
      <c r="K9" s="3">
        <f>SUM(K6:K8)</f>
        <v>477.79499999999996</v>
      </c>
      <c r="L9" s="3">
        <f t="shared" ref="L9" si="34">SUM(L7:L8)</f>
        <v>455.81200000000001</v>
      </c>
      <c r="M9" s="3">
        <f>SUM(M6:M8)</f>
        <v>475.08699999999999</v>
      </c>
      <c r="N9" s="3">
        <f>SUM(N6:N8)</f>
        <v>458.20000000000005</v>
      </c>
      <c r="O9" s="3">
        <f>SUM(O6:O8)</f>
        <v>523.69499999999994</v>
      </c>
      <c r="P9" s="3">
        <f>SUM(P6:P8)</f>
        <v>503.72900000000004</v>
      </c>
      <c r="Q9" s="3">
        <f>SUM(Q6:Q8)</f>
        <v>517.95636322500002</v>
      </c>
      <c r="R9" s="3">
        <f t="shared" ref="R9:S9" si="35">SUM(R6:R8)</f>
        <v>516.44126798449997</v>
      </c>
      <c r="S9" s="3">
        <f t="shared" si="35"/>
        <v>592.23691198500001</v>
      </c>
      <c r="U9" s="3">
        <f>SUM(U6:U8)</f>
        <v>1288.3899999999999</v>
      </c>
      <c r="V9" s="3">
        <f>SUM(V6:V8)</f>
        <v>1427.096</v>
      </c>
      <c r="W9" s="3">
        <f>SUM(W6:W8)</f>
        <v>1671.8389999999999</v>
      </c>
      <c r="X9" s="3">
        <f t="shared" si="26"/>
        <v>1778.9299999999998</v>
      </c>
      <c r="Y9" s="3">
        <f t="shared" si="27"/>
        <v>1912.7940000000001</v>
      </c>
      <c r="Z9" s="3">
        <f t="shared" si="28"/>
        <v>2130.3635431944999</v>
      </c>
      <c r="AA9" s="3">
        <f t="shared" ref="AA9" si="36">SUM(AA6:AA8)</f>
        <v>2318.5806761419217</v>
      </c>
      <c r="AB9" s="3">
        <f t="shared" ref="AB9" si="37">SUM(AB6:AB8)</f>
        <v>2448.4211940058694</v>
      </c>
      <c r="AC9" s="3">
        <f t="shared" ref="AC9" si="38">SUM(AC6:AC8)</f>
        <v>2585.5327808701977</v>
      </c>
      <c r="AD9" s="3">
        <f t="shared" ref="AD9" si="39">SUM(AD6:AD8)</f>
        <v>2730.322616598929</v>
      </c>
      <c r="AE9" s="3">
        <f t="shared" ref="AE9" si="40">SUM(AE6:AE8)</f>
        <v>2883.2206831284693</v>
      </c>
      <c r="AF9" s="3">
        <f t="shared" ref="AF9" si="41">SUM(AF6:AF8)</f>
        <v>3044.6810413836638</v>
      </c>
      <c r="AG9" s="3">
        <f t="shared" ref="AG9" si="42">SUM(AG6:AG8)</f>
        <v>3215.1831797011491</v>
      </c>
      <c r="AH9" s="3">
        <f t="shared" ref="AH9" si="43">SUM(AH6:AH8)</f>
        <v>3395.2334377644133</v>
      </c>
      <c r="AI9" s="3">
        <f t="shared" ref="AI9" si="44">SUM(AI6:AI8)</f>
        <v>3585.3665102792202</v>
      </c>
      <c r="AJ9" s="3">
        <f t="shared" ref="AJ9" si="45">SUM(AJ6:AJ8)</f>
        <v>3675.0006730362006</v>
      </c>
    </row>
    <row r="10" spans="1:44" s="15" customFormat="1" x14ac:dyDescent="0.3">
      <c r="A10" s="14" t="s">
        <v>36</v>
      </c>
      <c r="H10" s="15">
        <f t="shared" ref="H10:P10" si="46">H5-H9</f>
        <v>228.55600000000004</v>
      </c>
      <c r="I10" s="15">
        <f t="shared" si="46"/>
        <v>292.74000000000012</v>
      </c>
      <c r="J10" s="15">
        <f t="shared" si="46"/>
        <v>239.37300000000005</v>
      </c>
      <c r="K10" s="15">
        <f t="shared" si="46"/>
        <v>267.17500000000007</v>
      </c>
      <c r="L10" s="15">
        <f t="shared" si="46"/>
        <v>196.98199999999997</v>
      </c>
      <c r="M10" s="15">
        <f t="shared" si="46"/>
        <v>284.35500000000013</v>
      </c>
      <c r="N10" s="15">
        <f t="shared" si="46"/>
        <v>270.36899999999991</v>
      </c>
      <c r="O10" s="15">
        <f t="shared" si="46"/>
        <v>340.45400000000006</v>
      </c>
      <c r="P10" s="15">
        <f t="shared" si="46"/>
        <v>298.40999999999985</v>
      </c>
      <c r="Q10" s="15">
        <f t="shared" ref="Q10:S10" si="47">Q5-Q9</f>
        <v>298.76118741000016</v>
      </c>
      <c r="R10" s="15">
        <f t="shared" si="47"/>
        <v>297.88726890020007</v>
      </c>
      <c r="S10" s="15">
        <f t="shared" si="47"/>
        <v>341.60677542600013</v>
      </c>
      <c r="U10" s="15">
        <f t="shared" ref="U10:W10" si="48">U5-U9</f>
        <v>945.58600000000024</v>
      </c>
      <c r="V10" s="15">
        <f t="shared" si="48"/>
        <v>1054.2400000000002</v>
      </c>
      <c r="W10" s="15">
        <f t="shared" si="48"/>
        <v>1218.6200000000003</v>
      </c>
      <c r="X10" s="15">
        <f>SUM(H10:K10)</f>
        <v>1027.8440000000003</v>
      </c>
      <c r="Y10" s="15">
        <f>SUM(L10:O10)</f>
        <v>1092.1600000000001</v>
      </c>
      <c r="Z10" s="15">
        <f>SUM(P10:S10)</f>
        <v>1236.6652317362002</v>
      </c>
      <c r="AA10" s="15">
        <f t="shared" ref="AA10" si="49">AA5-AA9</f>
        <v>1337.3750475754491</v>
      </c>
      <c r="AB10" s="15">
        <f t="shared" ref="AB10" si="50">AB5-AB9</f>
        <v>1412.2680502396743</v>
      </c>
      <c r="AC10" s="15">
        <f t="shared" ref="AC10" si="51">AC5-AC9</f>
        <v>1491.3550610530965</v>
      </c>
      <c r="AD10" s="15">
        <f t="shared" ref="AD10" si="52">AD5-AD9</f>
        <v>1574.8709444720698</v>
      </c>
      <c r="AE10" s="15">
        <f t="shared" ref="AE10" si="53">AE5-AE9</f>
        <v>1663.0637173625055</v>
      </c>
      <c r="AF10" s="15">
        <f t="shared" ref="AF10" si="54">AF5-AF9</f>
        <v>1756.1952855348063</v>
      </c>
      <c r="AG10" s="15">
        <f t="shared" ref="AG10" si="55">AG5-AG9</f>
        <v>1854.5422215247554</v>
      </c>
      <c r="AH10" s="15">
        <f t="shared" ref="AH10" si="56">AH5-AH9</f>
        <v>1958.396585930142</v>
      </c>
      <c r="AI10" s="15">
        <f t="shared" ref="AI10" si="57">AI5-AI9</f>
        <v>2068.0667947422298</v>
      </c>
      <c r="AJ10" s="15">
        <f t="shared" ref="AJ10" si="58">AJ5-AJ9</f>
        <v>2119.768464610785</v>
      </c>
    </row>
    <row r="11" spans="1:44" s="3" customFormat="1" x14ac:dyDescent="0.3">
      <c r="A11" s="6" t="s">
        <v>37</v>
      </c>
      <c r="H11" s="3">
        <v>7.5529999999999999</v>
      </c>
      <c r="I11" s="3">
        <v>8.4949999999999992</v>
      </c>
      <c r="J11" s="3">
        <v>10.472</v>
      </c>
      <c r="K11" s="3">
        <v>14.305999999999999</v>
      </c>
      <c r="L11" s="3">
        <v>15.898999999999999</v>
      </c>
      <c r="M11" s="3">
        <v>18.760000000000002</v>
      </c>
      <c r="N11" s="3">
        <v>19.803000000000001</v>
      </c>
      <c r="O11" s="3">
        <v>22.84</v>
      </c>
      <c r="P11" s="3">
        <v>25.027000000000001</v>
      </c>
      <c r="Q11" s="3">
        <f>Q3*0.0123</f>
        <v>17.382982995000003</v>
      </c>
      <c r="R11" s="3">
        <f>R3*0.0123</f>
        <v>17.332135323900001</v>
      </c>
      <c r="S11" s="3">
        <f>S3*0.0123</f>
        <v>19.875890907000002</v>
      </c>
      <c r="U11" s="3">
        <v>52.817</v>
      </c>
      <c r="V11" s="3">
        <v>37.002000000000002</v>
      </c>
      <c r="W11" s="3">
        <v>28.573</v>
      </c>
      <c r="X11" s="3">
        <f t="shared" ref="X11:X13" si="59">SUM(H11:K11)</f>
        <v>40.825999999999993</v>
      </c>
      <c r="Y11" s="3">
        <f t="shared" ref="Y11:Y13" si="60">SUM(L11:O11)</f>
        <v>77.302000000000007</v>
      </c>
      <c r="Z11" s="3">
        <f t="shared" si="28"/>
        <v>79.618009225900011</v>
      </c>
      <c r="AA11" s="3">
        <f t="shared" ref="AA11:AJ11" si="61">AA3*0.0123</f>
        <v>77.8132123234533</v>
      </c>
      <c r="AB11" s="3">
        <f t="shared" si="61"/>
        <v>82.170752213566686</v>
      </c>
      <c r="AC11" s="3">
        <f t="shared" si="61"/>
        <v>86.772314337526424</v>
      </c>
      <c r="AD11" s="3">
        <f t="shared" si="61"/>
        <v>91.63156394042791</v>
      </c>
      <c r="AE11" s="3">
        <f t="shared" si="61"/>
        <v>96.762931521091872</v>
      </c>
      <c r="AF11" s="3">
        <f t="shared" si="61"/>
        <v>102.18165568627303</v>
      </c>
      <c r="AG11" s="3">
        <f t="shared" si="61"/>
        <v>107.90382840470431</v>
      </c>
      <c r="AH11" s="3">
        <f t="shared" si="61"/>
        <v>113.94644279536776</v>
      </c>
      <c r="AI11" s="3">
        <f t="shared" si="61"/>
        <v>120.32744359190835</v>
      </c>
      <c r="AJ11" s="3">
        <f t="shared" si="61"/>
        <v>123.33562968170605</v>
      </c>
    </row>
    <row r="12" spans="1:44" s="3" customFormat="1" x14ac:dyDescent="0.3">
      <c r="A12" s="6" t="s">
        <v>38</v>
      </c>
      <c r="H12" s="3">
        <v>-3.5059999999999998</v>
      </c>
      <c r="I12" s="3">
        <v>-22.439</v>
      </c>
      <c r="J12" s="3">
        <v>-29.863</v>
      </c>
      <c r="K12" s="3">
        <v>44.534999999999997</v>
      </c>
      <c r="L12" s="3">
        <v>7.6879999999999997</v>
      </c>
      <c r="M12" s="3">
        <v>10.797000000000001</v>
      </c>
      <c r="N12" s="3">
        <v>-11.539</v>
      </c>
      <c r="O12" s="3">
        <v>19.488</v>
      </c>
      <c r="P12" s="3">
        <v>2.282</v>
      </c>
      <c r="Q12" s="3">
        <f>Q3*0.008</f>
        <v>11.306005200000001</v>
      </c>
      <c r="R12" s="3">
        <f t="shared" ref="R12:S12" si="62">R3*0.008</f>
        <v>11.272933543999999</v>
      </c>
      <c r="S12" s="3">
        <f t="shared" si="62"/>
        <v>12.927408720000001</v>
      </c>
      <c r="U12" s="3">
        <v>-16.798999999999999</v>
      </c>
      <c r="V12" s="3">
        <v>2.8250000000000002</v>
      </c>
      <c r="W12" s="3">
        <v>-45.262999999999998</v>
      </c>
      <c r="X12" s="3">
        <f t="shared" si="59"/>
        <v>-11.273000000000003</v>
      </c>
      <c r="Y12" s="3">
        <f t="shared" si="60"/>
        <v>26.433999999999997</v>
      </c>
      <c r="Z12" s="3">
        <f t="shared" si="28"/>
        <v>37.788347464000005</v>
      </c>
      <c r="AA12" s="3">
        <f t="shared" ref="AA12:AJ12" si="63">AA3*0.008</f>
        <v>50.610219397367999</v>
      </c>
      <c r="AB12" s="3">
        <f t="shared" si="63"/>
        <v>53.444391683620609</v>
      </c>
      <c r="AC12" s="3">
        <f t="shared" si="63"/>
        <v>56.437277617903362</v>
      </c>
      <c r="AD12" s="3">
        <f t="shared" si="63"/>
        <v>59.597765164505951</v>
      </c>
      <c r="AE12" s="3">
        <f t="shared" si="63"/>
        <v>62.935240013718293</v>
      </c>
      <c r="AF12" s="3">
        <f t="shared" si="63"/>
        <v>66.459613454486515</v>
      </c>
      <c r="AG12" s="3">
        <f t="shared" si="63"/>
        <v>70.181351807937773</v>
      </c>
      <c r="AH12" s="3">
        <f t="shared" si="63"/>
        <v>74.111507509182275</v>
      </c>
      <c r="AI12" s="3">
        <f t="shared" si="63"/>
        <v>78.261751929696487</v>
      </c>
      <c r="AJ12" s="3">
        <f t="shared" si="63"/>
        <v>80.218295727938894</v>
      </c>
    </row>
    <row r="13" spans="1:44" s="3" customFormat="1" x14ac:dyDescent="0.3">
      <c r="A13" s="6" t="s">
        <v>39</v>
      </c>
      <c r="H13" s="3">
        <v>3.2610000000000001</v>
      </c>
      <c r="I13" s="3">
        <v>0.17</v>
      </c>
      <c r="J13" s="3">
        <v>0.28499999999999998</v>
      </c>
      <c r="K13" s="3">
        <v>3.86</v>
      </c>
      <c r="L13" s="3">
        <v>1.2030000000000001</v>
      </c>
      <c r="M13" s="3">
        <v>2.0640000000000001</v>
      </c>
      <c r="N13" s="3">
        <v>0.93799999999999994</v>
      </c>
      <c r="O13" s="3">
        <v>0.254</v>
      </c>
      <c r="P13" s="3">
        <v>1.321</v>
      </c>
      <c r="Q13" s="3">
        <f>Q3*0.0012</f>
        <v>1.6959007800000001</v>
      </c>
      <c r="R13" s="3">
        <f t="shared" ref="R13:S13" si="64">R3*0.0012</f>
        <v>1.6909400315999998</v>
      </c>
      <c r="S13" s="3">
        <f t="shared" si="64"/>
        <v>1.939111308</v>
      </c>
      <c r="U13" s="3">
        <v>5.6180000000000003</v>
      </c>
      <c r="V13" s="3">
        <v>9.343</v>
      </c>
      <c r="W13" s="3">
        <v>4.8659999999999997</v>
      </c>
      <c r="X13" s="3">
        <f t="shared" si="59"/>
        <v>7.5760000000000005</v>
      </c>
      <c r="Y13" s="3">
        <f t="shared" si="60"/>
        <v>4.4589999999999996</v>
      </c>
      <c r="Z13" s="3">
        <f t="shared" si="28"/>
        <v>6.6469521196000008</v>
      </c>
      <c r="AA13" s="3">
        <f t="shared" ref="AA13:AJ13" si="65">AA3*0.0012</f>
        <v>7.5915329096051991</v>
      </c>
      <c r="AB13" s="3">
        <f t="shared" si="65"/>
        <v>8.0166587525430906</v>
      </c>
      <c r="AC13" s="3">
        <f t="shared" si="65"/>
        <v>8.4655916426855029</v>
      </c>
      <c r="AD13" s="3">
        <f t="shared" si="65"/>
        <v>8.9396647746758919</v>
      </c>
      <c r="AE13" s="3">
        <f t="shared" si="65"/>
        <v>9.4402860020577428</v>
      </c>
      <c r="AF13" s="3">
        <f t="shared" si="65"/>
        <v>9.968942018172978</v>
      </c>
      <c r="AG13" s="3">
        <f t="shared" si="65"/>
        <v>10.527202771190664</v>
      </c>
      <c r="AH13" s="3">
        <f t="shared" si="65"/>
        <v>11.11672612637734</v>
      </c>
      <c r="AI13" s="3">
        <f t="shared" si="65"/>
        <v>11.739262789454472</v>
      </c>
      <c r="AJ13" s="3">
        <f t="shared" si="65"/>
        <v>12.032744359190833</v>
      </c>
    </row>
    <row r="14" spans="1:44" s="17" customFormat="1" x14ac:dyDescent="0.3">
      <c r="A14" s="16" t="s">
        <v>40</v>
      </c>
      <c r="H14" s="17">
        <f t="shared" ref="H14:O14" si="66">SUM(H11:H13)</f>
        <v>7.3080000000000007</v>
      </c>
      <c r="I14" s="17">
        <f t="shared" si="66"/>
        <v>-13.774000000000001</v>
      </c>
      <c r="J14" s="17">
        <f t="shared" si="66"/>
        <v>-19.105999999999998</v>
      </c>
      <c r="K14" s="17">
        <f t="shared" si="66"/>
        <v>62.700999999999993</v>
      </c>
      <c r="L14" s="17">
        <f t="shared" si="66"/>
        <v>24.79</v>
      </c>
      <c r="M14" s="17">
        <f t="shared" si="66"/>
        <v>31.621000000000002</v>
      </c>
      <c r="N14" s="17">
        <f t="shared" si="66"/>
        <v>9.2020000000000017</v>
      </c>
      <c r="O14" s="17">
        <f t="shared" si="66"/>
        <v>42.582000000000001</v>
      </c>
      <c r="P14" s="17">
        <f>SUM(P11:P13)</f>
        <v>28.630000000000003</v>
      </c>
      <c r="Q14" s="17">
        <f>SUM(Q11:Q13)</f>
        <v>30.384888975000003</v>
      </c>
      <c r="R14" s="17">
        <f t="shared" ref="R14:S14" si="67">SUM(R11:R13)</f>
        <v>30.296008899500002</v>
      </c>
      <c r="S14" s="17">
        <f t="shared" si="67"/>
        <v>34.742410935000002</v>
      </c>
      <c r="U14" s="17">
        <f t="shared" ref="U14:W14" si="68">SUM(U11:U13)</f>
        <v>41.636000000000003</v>
      </c>
      <c r="V14" s="17">
        <f t="shared" si="68"/>
        <v>49.17</v>
      </c>
      <c r="W14" s="17">
        <f t="shared" si="68"/>
        <v>-11.823999999999998</v>
      </c>
      <c r="X14" s="15">
        <f>SUM(H14:K14)</f>
        <v>37.128999999999991</v>
      </c>
      <c r="Y14" s="15">
        <f>SUM(L14:O14)</f>
        <v>108.19499999999999</v>
      </c>
      <c r="Z14" s="15">
        <f>SUM(P14:S14)</f>
        <v>124.05330880950001</v>
      </c>
      <c r="AA14" s="17">
        <f t="shared" ref="AA14" si="69">SUM(AA11:AA13)</f>
        <v>136.0149646304265</v>
      </c>
      <c r="AB14" s="17">
        <f t="shared" ref="AB14" si="70">SUM(AB11:AB13)</f>
        <v>143.63180264973039</v>
      </c>
      <c r="AC14" s="17">
        <f t="shared" ref="AC14" si="71">SUM(AC11:AC13)</f>
        <v>151.6751835981153</v>
      </c>
      <c r="AD14" s="17">
        <f t="shared" ref="AD14" si="72">SUM(AD11:AD13)</f>
        <v>160.16899387960976</v>
      </c>
      <c r="AE14" s="17">
        <f t="shared" ref="AE14" si="73">SUM(AE11:AE13)</f>
        <v>169.13845753686792</v>
      </c>
      <c r="AF14" s="17">
        <f t="shared" ref="AF14" si="74">SUM(AF11:AF13)</f>
        <v>178.61021115893254</v>
      </c>
      <c r="AG14" s="17">
        <f t="shared" ref="AG14" si="75">SUM(AG11:AG13)</f>
        <v>188.61238298383276</v>
      </c>
      <c r="AH14" s="17">
        <f t="shared" ref="AH14" si="76">SUM(AH11:AH13)</f>
        <v>199.17467643092738</v>
      </c>
      <c r="AI14" s="17">
        <f t="shared" ref="AI14" si="77">SUM(AI11:AI13)</f>
        <v>210.32845831105931</v>
      </c>
      <c r="AJ14" s="17">
        <f t="shared" ref="AJ14" si="78">SUM(AJ11:AJ13)</f>
        <v>215.58666976883578</v>
      </c>
    </row>
    <row r="15" spans="1:44" s="13" customFormat="1" x14ac:dyDescent="0.3">
      <c r="A15" s="12" t="s">
        <v>41</v>
      </c>
      <c r="H15" s="13">
        <f t="shared" ref="H15:O15" si="79">H10+H14</f>
        <v>235.86400000000003</v>
      </c>
      <c r="I15" s="13">
        <f t="shared" si="79"/>
        <v>278.96600000000012</v>
      </c>
      <c r="J15" s="13">
        <f t="shared" si="79"/>
        <v>220.26700000000005</v>
      </c>
      <c r="K15" s="13">
        <f t="shared" si="79"/>
        <v>329.87600000000009</v>
      </c>
      <c r="L15" s="13">
        <f t="shared" si="79"/>
        <v>221.77199999999996</v>
      </c>
      <c r="M15" s="13">
        <f t="shared" si="79"/>
        <v>315.97600000000011</v>
      </c>
      <c r="N15" s="13">
        <f t="shared" si="79"/>
        <v>279.57099999999991</v>
      </c>
      <c r="O15" s="13">
        <f t="shared" si="79"/>
        <v>383.03600000000006</v>
      </c>
      <c r="P15" s="13">
        <f>P10+P14</f>
        <v>327.03999999999985</v>
      </c>
      <c r="Q15" s="13">
        <f>Q10+Q14</f>
        <v>329.14607638500019</v>
      </c>
      <c r="R15" s="13">
        <f t="shared" ref="R15:S15" si="80">R10+R14</f>
        <v>328.18327779970008</v>
      </c>
      <c r="S15" s="13">
        <f t="shared" si="80"/>
        <v>376.34918636100014</v>
      </c>
      <c r="U15" s="13">
        <f t="shared" ref="U15:W15" si="81">U10+U14</f>
        <v>987.22200000000021</v>
      </c>
      <c r="V15" s="13">
        <f t="shared" si="81"/>
        <v>1103.4100000000003</v>
      </c>
      <c r="W15" s="13">
        <f t="shared" si="81"/>
        <v>1206.7960000000003</v>
      </c>
      <c r="X15" s="13">
        <f>SUM(H15:K15)</f>
        <v>1064.9730000000004</v>
      </c>
      <c r="Y15" s="13">
        <f>SUM(L15:O15)</f>
        <v>1200.355</v>
      </c>
      <c r="Z15" s="13">
        <f>SUM(P15:S15)</f>
        <v>1360.7185405457003</v>
      </c>
      <c r="AA15" s="13">
        <f t="shared" ref="AA15" si="82">AA10+AA14</f>
        <v>1473.3900122058756</v>
      </c>
      <c r="AB15" s="13">
        <f t="shared" ref="AB15" si="83">AB10+AB14</f>
        <v>1555.8998528894047</v>
      </c>
      <c r="AC15" s="13">
        <f t="shared" ref="AC15" si="84">AC10+AC14</f>
        <v>1643.0302446512119</v>
      </c>
      <c r="AD15" s="13">
        <f t="shared" ref="AD15" si="85">AD10+AD14</f>
        <v>1735.0399383516797</v>
      </c>
      <c r="AE15" s="13">
        <f t="shared" ref="AE15" si="86">AE10+AE14</f>
        <v>1832.2021748993734</v>
      </c>
      <c r="AF15" s="13">
        <f t="shared" ref="AF15" si="87">AF10+AF14</f>
        <v>1934.8054966937389</v>
      </c>
      <c r="AG15" s="13">
        <f t="shared" ref="AG15" si="88">AG10+AG14</f>
        <v>2043.1546045085881</v>
      </c>
      <c r="AH15" s="13">
        <f t="shared" ref="AH15" si="89">AH10+AH14</f>
        <v>2157.5712623610693</v>
      </c>
      <c r="AI15" s="13">
        <f t="shared" ref="AI15" si="90">AI10+AI14</f>
        <v>2278.3952530532893</v>
      </c>
      <c r="AJ15" s="13">
        <f t="shared" ref="AJ15" si="91">AJ10+AJ14</f>
        <v>2335.3551343796207</v>
      </c>
    </row>
    <row r="16" spans="1:44" s="3" customFormat="1" x14ac:dyDescent="0.3">
      <c r="A16" s="6" t="s">
        <v>42</v>
      </c>
      <c r="H16" s="3">
        <v>24.271999999999998</v>
      </c>
      <c r="I16" s="3">
        <v>21.093</v>
      </c>
      <c r="J16" s="3">
        <v>9.4190000000000005</v>
      </c>
      <c r="K16" s="3">
        <v>36.603999999999999</v>
      </c>
      <c r="L16" s="3">
        <v>19.445</v>
      </c>
      <c r="M16" s="3">
        <v>28.036999999999999</v>
      </c>
      <c r="N16" s="3">
        <v>22.327999999999999</v>
      </c>
      <c r="O16" s="3">
        <v>-159.089</v>
      </c>
      <c r="P16" s="3">
        <v>51.079000000000001</v>
      </c>
      <c r="Q16" s="3">
        <f>Q15*0.09</f>
        <v>29.623146874650015</v>
      </c>
      <c r="R16" s="3">
        <f t="shared" ref="R16" si="92">R15*0.09</f>
        <v>29.536495001973005</v>
      </c>
      <c r="S16" s="3">
        <f>S15*0.09</f>
        <v>33.871426772490011</v>
      </c>
      <c r="U16" s="3">
        <v>34.735999999999997</v>
      </c>
      <c r="V16" s="3">
        <v>111.086</v>
      </c>
      <c r="W16" s="3">
        <v>124.596</v>
      </c>
      <c r="X16" s="3">
        <f>SUM(H16:K16)</f>
        <v>91.387999999999991</v>
      </c>
      <c r="Y16" s="3">
        <f>SUM(L16:O16)</f>
        <v>-89.278999999999996</v>
      </c>
      <c r="Z16" s="3">
        <f t="shared" ref="Z16" si="93">SUM(P16:S16)</f>
        <v>144.11006864911303</v>
      </c>
      <c r="AA16" s="3">
        <f>AA15*0.11</f>
        <v>162.0729013426463</v>
      </c>
      <c r="AB16" s="3">
        <f t="shared" ref="AB16:AJ16" si="94">AB15*0.11</f>
        <v>171.14898381783451</v>
      </c>
      <c r="AC16" s="3">
        <f t="shared" si="94"/>
        <v>180.7333269116333</v>
      </c>
      <c r="AD16" s="3">
        <f t="shared" si="94"/>
        <v>190.85439321868478</v>
      </c>
      <c r="AE16" s="3">
        <f t="shared" si="94"/>
        <v>201.54223923893107</v>
      </c>
      <c r="AF16" s="3">
        <f t="shared" si="94"/>
        <v>212.82860463631127</v>
      </c>
      <c r="AG16" s="3">
        <f t="shared" si="94"/>
        <v>224.7470064959447</v>
      </c>
      <c r="AH16" s="3">
        <f t="shared" si="94"/>
        <v>237.33283885971764</v>
      </c>
      <c r="AI16" s="3">
        <f t="shared" si="94"/>
        <v>250.62347783586182</v>
      </c>
      <c r="AJ16" s="3">
        <f t="shared" si="94"/>
        <v>256.88906478175829</v>
      </c>
    </row>
    <row r="17" spans="1:185" s="15" customFormat="1" x14ac:dyDescent="0.3">
      <c r="A17" s="14" t="s">
        <v>43</v>
      </c>
      <c r="H17" s="15">
        <f t="shared" ref="H17" si="95">H15-H16</f>
        <v>211.59200000000004</v>
      </c>
      <c r="I17" s="15">
        <f>I15-I16</f>
        <v>257.8730000000001</v>
      </c>
      <c r="J17" s="15">
        <f>J15-J16</f>
        <v>210.84800000000004</v>
      </c>
      <c r="K17" s="15">
        <f>K15-K16</f>
        <v>293.27200000000011</v>
      </c>
      <c r="L17" s="15">
        <f t="shared" ref="L17" si="96">L15-L16</f>
        <v>202.32699999999997</v>
      </c>
      <c r="M17" s="15">
        <f>M15-M16</f>
        <v>287.93900000000014</v>
      </c>
      <c r="N17" s="15">
        <f>N15-N16</f>
        <v>257.24299999999994</v>
      </c>
      <c r="O17" s="15">
        <f>O15-O16</f>
        <v>542.125</v>
      </c>
      <c r="P17" s="15">
        <f>P15-P16</f>
        <v>275.96099999999984</v>
      </c>
      <c r="Q17" s="15">
        <f>Q15-Q16</f>
        <v>299.5229295103502</v>
      </c>
      <c r="R17" s="15">
        <f t="shared" ref="R17" si="97">R15-R16</f>
        <v>298.6467827977271</v>
      </c>
      <c r="S17" s="15">
        <f>S15-S16</f>
        <v>342.47775958851014</v>
      </c>
      <c r="U17" s="15">
        <f t="shared" ref="U17:W17" si="98">U15-U16</f>
        <v>952.48600000000022</v>
      </c>
      <c r="V17" s="15">
        <f t="shared" si="98"/>
        <v>992.3240000000003</v>
      </c>
      <c r="W17" s="15">
        <f t="shared" si="98"/>
        <v>1082.2000000000003</v>
      </c>
      <c r="X17" s="15">
        <f>SUM(H17:K17)</f>
        <v>973.58500000000026</v>
      </c>
      <c r="Y17" s="15">
        <f>SUM(L17:O17)</f>
        <v>1289.634</v>
      </c>
      <c r="Z17" s="15">
        <f>SUM(P17:S17)</f>
        <v>1216.6084718965872</v>
      </c>
      <c r="AA17" s="15">
        <f>AA15-AA16</f>
        <v>1311.3171108632293</v>
      </c>
      <c r="AB17" s="15">
        <f t="shared" ref="AB17:AJ17" si="99">AB15-AB16</f>
        <v>1384.7508690715702</v>
      </c>
      <c r="AC17" s="15">
        <f t="shared" si="99"/>
        <v>1462.2969177395785</v>
      </c>
      <c r="AD17" s="15">
        <f t="shared" si="99"/>
        <v>1544.1855451329948</v>
      </c>
      <c r="AE17" s="15">
        <f t="shared" si="99"/>
        <v>1630.6599356604424</v>
      </c>
      <c r="AF17" s="15">
        <f t="shared" si="99"/>
        <v>1721.9768920574277</v>
      </c>
      <c r="AG17" s="15">
        <f t="shared" si="99"/>
        <v>1818.4075980126433</v>
      </c>
      <c r="AH17" s="15">
        <f t="shared" si="99"/>
        <v>1920.2384235013517</v>
      </c>
      <c r="AI17" s="15">
        <f t="shared" si="99"/>
        <v>2027.7717752174274</v>
      </c>
      <c r="AJ17" s="15">
        <f t="shared" si="99"/>
        <v>2078.4660695978623</v>
      </c>
      <c r="AK17" s="15">
        <f>AJ17*(1+$AM$18)</f>
        <v>2057.6814089018835</v>
      </c>
      <c r="AL17" s="15">
        <f t="shared" ref="AL17:CW17" si="100">AK17*(1+$AM$18)</f>
        <v>2037.1045948128647</v>
      </c>
      <c r="AM17" s="15">
        <f t="shared" si="100"/>
        <v>2016.7335488647359</v>
      </c>
      <c r="AN17" s="15">
        <f t="shared" si="100"/>
        <v>1996.5662133760886</v>
      </c>
      <c r="AO17" s="15">
        <f t="shared" si="100"/>
        <v>1976.6005512423278</v>
      </c>
      <c r="AP17" s="15">
        <f t="shared" si="100"/>
        <v>1956.8345457299044</v>
      </c>
      <c r="AQ17" s="15">
        <f t="shared" si="100"/>
        <v>1937.2662002726054</v>
      </c>
      <c r="AR17" s="15">
        <f t="shared" si="100"/>
        <v>1917.8935382698794</v>
      </c>
      <c r="AS17" s="15">
        <f t="shared" si="100"/>
        <v>1898.7146028871805</v>
      </c>
      <c r="AT17" s="15">
        <f t="shared" si="100"/>
        <v>1879.7274568583086</v>
      </c>
      <c r="AU17" s="15">
        <f t="shared" si="100"/>
        <v>1860.9301822897255</v>
      </c>
      <c r="AV17" s="15">
        <f t="shared" si="100"/>
        <v>1842.3208804668282</v>
      </c>
      <c r="AW17" s="15">
        <f t="shared" si="100"/>
        <v>1823.8976716621598</v>
      </c>
      <c r="AX17" s="15">
        <f t="shared" si="100"/>
        <v>1805.6586949455382</v>
      </c>
      <c r="AY17" s="15">
        <f t="shared" si="100"/>
        <v>1787.6021079960829</v>
      </c>
      <c r="AZ17" s="15">
        <f t="shared" si="100"/>
        <v>1769.7260869161221</v>
      </c>
      <c r="BA17" s="15">
        <f t="shared" si="100"/>
        <v>1752.0288260469608</v>
      </c>
      <c r="BB17" s="15">
        <f t="shared" si="100"/>
        <v>1734.5085377864912</v>
      </c>
      <c r="BC17" s="15">
        <f t="shared" si="100"/>
        <v>1717.1634524086262</v>
      </c>
      <c r="BD17" s="15">
        <f t="shared" si="100"/>
        <v>1699.9918178845398</v>
      </c>
      <c r="BE17" s="15">
        <f t="shared" si="100"/>
        <v>1682.9918997056943</v>
      </c>
      <c r="BF17" s="15">
        <f t="shared" si="100"/>
        <v>1666.1619807086374</v>
      </c>
      <c r="BG17" s="15">
        <f t="shared" si="100"/>
        <v>1649.5003609015509</v>
      </c>
      <c r="BH17" s="15">
        <f t="shared" si="100"/>
        <v>1633.0053572925353</v>
      </c>
      <c r="BI17" s="15">
        <f t="shared" si="100"/>
        <v>1616.6753037196099</v>
      </c>
      <c r="BJ17" s="15">
        <f t="shared" si="100"/>
        <v>1600.5085506824139</v>
      </c>
      <c r="BK17" s="15">
        <f t="shared" si="100"/>
        <v>1584.5034651755898</v>
      </c>
      <c r="BL17" s="15">
        <f t="shared" si="100"/>
        <v>1568.6584305238339</v>
      </c>
      <c r="BM17" s="15">
        <f t="shared" si="100"/>
        <v>1552.9718462185956</v>
      </c>
      <c r="BN17" s="15">
        <f t="shared" si="100"/>
        <v>1537.4421277564097</v>
      </c>
      <c r="BO17" s="15">
        <f t="shared" si="100"/>
        <v>1522.0677064788456</v>
      </c>
      <c r="BP17" s="15">
        <f t="shared" si="100"/>
        <v>1506.847029414057</v>
      </c>
      <c r="BQ17" s="15">
        <f t="shared" si="100"/>
        <v>1491.7785591199165</v>
      </c>
      <c r="BR17" s="15">
        <f t="shared" si="100"/>
        <v>1476.8607735287173</v>
      </c>
      <c r="BS17" s="15">
        <f t="shared" si="100"/>
        <v>1462.0921657934302</v>
      </c>
      <c r="BT17" s="15">
        <f t="shared" si="100"/>
        <v>1447.4712441354959</v>
      </c>
      <c r="BU17" s="15">
        <f t="shared" si="100"/>
        <v>1432.9965316941409</v>
      </c>
      <c r="BV17" s="15">
        <f t="shared" si="100"/>
        <v>1418.6665663771994</v>
      </c>
      <c r="BW17" s="15">
        <f t="shared" si="100"/>
        <v>1404.4799007134275</v>
      </c>
      <c r="BX17" s="15">
        <f t="shared" si="100"/>
        <v>1390.4351017062932</v>
      </c>
      <c r="BY17" s="15">
        <f t="shared" si="100"/>
        <v>1376.5307506892302</v>
      </c>
      <c r="BZ17" s="15">
        <f t="shared" si="100"/>
        <v>1362.765443182338</v>
      </c>
      <c r="CA17" s="15">
        <f t="shared" si="100"/>
        <v>1349.1377887505146</v>
      </c>
      <c r="CB17" s="15">
        <f t="shared" si="100"/>
        <v>1335.6464108630094</v>
      </c>
      <c r="CC17" s="15">
        <f t="shared" si="100"/>
        <v>1322.2899467543793</v>
      </c>
      <c r="CD17" s="15">
        <f t="shared" si="100"/>
        <v>1309.0670472868355</v>
      </c>
      <c r="CE17" s="15">
        <f t="shared" si="100"/>
        <v>1295.9763768139671</v>
      </c>
      <c r="CF17" s="15">
        <f t="shared" si="100"/>
        <v>1283.0166130458274</v>
      </c>
      <c r="CG17" s="15">
        <f t="shared" si="100"/>
        <v>1270.1864469153691</v>
      </c>
      <c r="CH17" s="15">
        <f t="shared" si="100"/>
        <v>1257.4845824462154</v>
      </c>
      <c r="CI17" s="15">
        <f t="shared" si="100"/>
        <v>1244.9097366217532</v>
      </c>
      <c r="CJ17" s="15">
        <f t="shared" si="100"/>
        <v>1232.4606392555356</v>
      </c>
      <c r="CK17" s="15">
        <f t="shared" si="100"/>
        <v>1220.1360328629803</v>
      </c>
      <c r="CL17" s="15">
        <f t="shared" si="100"/>
        <v>1207.9346725343505</v>
      </c>
      <c r="CM17" s="15">
        <f t="shared" si="100"/>
        <v>1195.8553258090069</v>
      </c>
      <c r="CN17" s="15">
        <f t="shared" si="100"/>
        <v>1183.8967725509169</v>
      </c>
      <c r="CO17" s="15">
        <f t="shared" si="100"/>
        <v>1172.0578048254076</v>
      </c>
      <c r="CP17" s="15">
        <f t="shared" si="100"/>
        <v>1160.3372267771535</v>
      </c>
      <c r="CQ17" s="15">
        <f t="shared" si="100"/>
        <v>1148.7338545093819</v>
      </c>
      <c r="CR17" s="15">
        <f t="shared" si="100"/>
        <v>1137.2465159642882</v>
      </c>
      <c r="CS17" s="15">
        <f t="shared" si="100"/>
        <v>1125.8740508046453</v>
      </c>
      <c r="CT17" s="15">
        <f t="shared" si="100"/>
        <v>1114.6153102965989</v>
      </c>
      <c r="CU17" s="15">
        <f t="shared" si="100"/>
        <v>1103.4691571936328</v>
      </c>
      <c r="CV17" s="15">
        <f t="shared" si="100"/>
        <v>1092.4344656216965</v>
      </c>
      <c r="CW17" s="15">
        <f t="shared" si="100"/>
        <v>1081.5101209654795</v>
      </c>
      <c r="CX17" s="15">
        <f t="shared" ref="CX17:FI17" si="101">CW17*(1+$AM$18)</f>
        <v>1070.6950197558247</v>
      </c>
      <c r="CY17" s="15">
        <f t="shared" si="101"/>
        <v>1059.9880695582665</v>
      </c>
      <c r="CZ17" s="15">
        <f t="shared" si="101"/>
        <v>1049.3881888626838</v>
      </c>
      <c r="DA17" s="15">
        <f t="shared" si="101"/>
        <v>1038.8943069740569</v>
      </c>
      <c r="DB17" s="15">
        <f t="shared" si="101"/>
        <v>1028.5053639043163</v>
      </c>
      <c r="DC17" s="15">
        <f t="shared" si="101"/>
        <v>1018.220310265273</v>
      </c>
      <c r="DD17" s="15">
        <f t="shared" si="101"/>
        <v>1008.0381071626203</v>
      </c>
      <c r="DE17" s="15">
        <f t="shared" si="101"/>
        <v>997.95772609099413</v>
      </c>
      <c r="DF17" s="15">
        <f t="shared" si="101"/>
        <v>987.97814883008414</v>
      </c>
      <c r="DG17" s="15">
        <f t="shared" si="101"/>
        <v>978.09836734178327</v>
      </c>
      <c r="DH17" s="15">
        <f t="shared" si="101"/>
        <v>968.31738366836544</v>
      </c>
      <c r="DI17" s="15">
        <f t="shared" si="101"/>
        <v>958.6342098316818</v>
      </c>
      <c r="DJ17" s="15">
        <f t="shared" si="101"/>
        <v>949.04786773336502</v>
      </c>
      <c r="DK17" s="15">
        <f t="shared" si="101"/>
        <v>939.55738905603141</v>
      </c>
      <c r="DL17" s="15">
        <f t="shared" si="101"/>
        <v>930.16181516547113</v>
      </c>
      <c r="DM17" s="15">
        <f t="shared" si="101"/>
        <v>920.86019701381645</v>
      </c>
      <c r="DN17" s="15">
        <f t="shared" si="101"/>
        <v>911.6515950436783</v>
      </c>
      <c r="DO17" s="15">
        <f t="shared" si="101"/>
        <v>902.53507909324151</v>
      </c>
      <c r="DP17" s="15">
        <f t="shared" si="101"/>
        <v>893.5097283023091</v>
      </c>
      <c r="DQ17" s="15">
        <f t="shared" si="101"/>
        <v>884.57463101928602</v>
      </c>
      <c r="DR17" s="15">
        <f t="shared" si="101"/>
        <v>875.72888470909311</v>
      </c>
      <c r="DS17" s="15">
        <f t="shared" si="101"/>
        <v>866.97159586200212</v>
      </c>
      <c r="DT17" s="15">
        <f t="shared" si="101"/>
        <v>858.30187990338209</v>
      </c>
      <c r="DU17" s="15">
        <f t="shared" si="101"/>
        <v>849.71886110434821</v>
      </c>
      <c r="DV17" s="15">
        <f t="shared" si="101"/>
        <v>841.22167249330471</v>
      </c>
      <c r="DW17" s="15">
        <f t="shared" si="101"/>
        <v>832.80945576837166</v>
      </c>
      <c r="DX17" s="15">
        <f t="shared" si="101"/>
        <v>824.48136121068796</v>
      </c>
      <c r="DY17" s="15">
        <f t="shared" si="101"/>
        <v>816.23654759858107</v>
      </c>
      <c r="DZ17" s="15">
        <f t="shared" si="101"/>
        <v>808.07418212259529</v>
      </c>
      <c r="EA17" s="15">
        <f t="shared" si="101"/>
        <v>799.99344030136933</v>
      </c>
      <c r="EB17" s="15">
        <f t="shared" si="101"/>
        <v>791.99350589835558</v>
      </c>
      <c r="EC17" s="15">
        <f t="shared" si="101"/>
        <v>784.073570839372</v>
      </c>
      <c r="ED17" s="15">
        <f t="shared" si="101"/>
        <v>776.23283513097829</v>
      </c>
      <c r="EE17" s="15">
        <f t="shared" si="101"/>
        <v>768.47050677966854</v>
      </c>
      <c r="EF17" s="15">
        <f t="shared" si="101"/>
        <v>760.78580171187184</v>
      </c>
      <c r="EG17" s="15">
        <f t="shared" si="101"/>
        <v>753.17794369475314</v>
      </c>
      <c r="EH17" s="15">
        <f t="shared" si="101"/>
        <v>745.64616425780559</v>
      </c>
      <c r="EI17" s="15">
        <f t="shared" si="101"/>
        <v>738.18970261522759</v>
      </c>
      <c r="EJ17" s="15">
        <f t="shared" si="101"/>
        <v>730.80780558907531</v>
      </c>
      <c r="EK17" s="15">
        <f t="shared" si="101"/>
        <v>723.49972753318457</v>
      </c>
      <c r="EL17" s="15">
        <f t="shared" si="101"/>
        <v>716.26473025785276</v>
      </c>
      <c r="EM17" s="15">
        <f t="shared" si="101"/>
        <v>709.10208295527423</v>
      </c>
      <c r="EN17" s="15">
        <f t="shared" si="101"/>
        <v>702.01106212572142</v>
      </c>
      <c r="EO17" s="15">
        <f t="shared" si="101"/>
        <v>694.99095150446419</v>
      </c>
      <c r="EP17" s="15">
        <f t="shared" si="101"/>
        <v>688.04104198941957</v>
      </c>
      <c r="EQ17" s="15">
        <f t="shared" si="101"/>
        <v>681.16063156952532</v>
      </c>
      <c r="ER17" s="15">
        <f t="shared" si="101"/>
        <v>674.34902525383006</v>
      </c>
      <c r="ES17" s="15">
        <f t="shared" si="101"/>
        <v>667.60553500129174</v>
      </c>
      <c r="ET17" s="15">
        <f t="shared" si="101"/>
        <v>660.92947965127883</v>
      </c>
      <c r="EU17" s="15">
        <f t="shared" si="101"/>
        <v>654.32018485476601</v>
      </c>
      <c r="EV17" s="15">
        <f t="shared" si="101"/>
        <v>647.7769830062183</v>
      </c>
      <c r="EW17" s="15">
        <f t="shared" si="101"/>
        <v>641.29921317615606</v>
      </c>
      <c r="EX17" s="15">
        <f t="shared" si="101"/>
        <v>634.88622104439446</v>
      </c>
      <c r="EY17" s="15">
        <f t="shared" si="101"/>
        <v>628.53735883395052</v>
      </c>
      <c r="EZ17" s="15">
        <f t="shared" si="101"/>
        <v>622.25198524561097</v>
      </c>
      <c r="FA17" s="15">
        <f t="shared" si="101"/>
        <v>616.02946539315485</v>
      </c>
      <c r="FB17" s="15">
        <f t="shared" si="101"/>
        <v>609.86917073922325</v>
      </c>
      <c r="FC17" s="15">
        <f t="shared" si="101"/>
        <v>603.77047903183097</v>
      </c>
      <c r="FD17" s="15">
        <f t="shared" si="101"/>
        <v>597.73277424151263</v>
      </c>
      <c r="FE17" s="15">
        <f t="shared" si="101"/>
        <v>591.7554464990975</v>
      </c>
      <c r="FF17" s="15">
        <f t="shared" si="101"/>
        <v>585.83789203410652</v>
      </c>
      <c r="FG17" s="15">
        <f t="shared" si="101"/>
        <v>579.97951311376539</v>
      </c>
      <c r="FH17" s="15">
        <f t="shared" si="101"/>
        <v>574.17971798262772</v>
      </c>
      <c r="FI17" s="15">
        <f t="shared" si="101"/>
        <v>568.43792080280139</v>
      </c>
      <c r="FJ17" s="15">
        <f t="shared" ref="FJ17:GC17" si="102">FI17*(1+$AM$18)</f>
        <v>562.75354159477342</v>
      </c>
      <c r="FK17" s="15">
        <f t="shared" si="102"/>
        <v>557.12600617882572</v>
      </c>
      <c r="FL17" s="15">
        <f t="shared" si="102"/>
        <v>551.55474611703744</v>
      </c>
      <c r="FM17" s="15">
        <f t="shared" si="102"/>
        <v>546.03919865586704</v>
      </c>
      <c r="FN17" s="15">
        <f t="shared" si="102"/>
        <v>540.57880666930839</v>
      </c>
      <c r="FO17" s="15">
        <f t="shared" si="102"/>
        <v>535.17301860261534</v>
      </c>
      <c r="FP17" s="15">
        <f t="shared" si="102"/>
        <v>529.82128841658914</v>
      </c>
      <c r="FQ17" s="15">
        <f t="shared" si="102"/>
        <v>524.52307553242326</v>
      </c>
      <c r="FR17" s="15">
        <f t="shared" si="102"/>
        <v>519.27784477709906</v>
      </c>
      <c r="FS17" s="15">
        <f t="shared" si="102"/>
        <v>514.08506632932801</v>
      </c>
      <c r="FT17" s="15">
        <f t="shared" si="102"/>
        <v>508.94421566603472</v>
      </c>
      <c r="FU17" s="15">
        <f t="shared" si="102"/>
        <v>503.85477350937435</v>
      </c>
      <c r="FV17" s="15">
        <f t="shared" si="102"/>
        <v>498.81622577428061</v>
      </c>
      <c r="FW17" s="15">
        <f t="shared" si="102"/>
        <v>493.82806351653778</v>
      </c>
      <c r="FX17" s="15">
        <f t="shared" si="102"/>
        <v>488.88978288137241</v>
      </c>
      <c r="FY17" s="15">
        <f t="shared" si="102"/>
        <v>484.00088505255866</v>
      </c>
      <c r="FZ17" s="15">
        <f t="shared" si="102"/>
        <v>479.16087620203308</v>
      </c>
      <c r="GA17" s="15">
        <f t="shared" si="102"/>
        <v>474.36926744001272</v>
      </c>
      <c r="GB17" s="15">
        <f t="shared" si="102"/>
        <v>469.62557476561261</v>
      </c>
      <c r="GC17" s="15">
        <f t="shared" si="102"/>
        <v>464.92931901795646</v>
      </c>
    </row>
    <row r="18" spans="1:185" s="3" customFormat="1" x14ac:dyDescent="0.3">
      <c r="A18" s="6" t="s">
        <v>44</v>
      </c>
      <c r="H18" s="11">
        <f t="shared" ref="H18:O18" si="103">H17/H19</f>
        <v>1.0930524488710038</v>
      </c>
      <c r="I18" s="11">
        <f t="shared" si="103"/>
        <v>1.3330214525717246</v>
      </c>
      <c r="J18" s="11">
        <f t="shared" si="103"/>
        <v>1.0918826545143836</v>
      </c>
      <c r="K18" s="11">
        <f t="shared" si="103"/>
        <v>1.5266314079873406</v>
      </c>
      <c r="L18" s="11">
        <f t="shared" si="103"/>
        <v>1.0544125157645685</v>
      </c>
      <c r="M18" s="11">
        <f t="shared" si="103"/>
        <v>1.5028366832466067</v>
      </c>
      <c r="N18" s="11">
        <f t="shared" si="103"/>
        <v>1.3407290428836489</v>
      </c>
      <c r="O18" s="11">
        <f t="shared" si="103"/>
        <v>2.8154001152905375</v>
      </c>
      <c r="P18" s="11">
        <f>P17/P19</f>
        <v>1.4320906288596655</v>
      </c>
      <c r="Q18" s="11">
        <f>Q17/Q19</f>
        <v>1.5543644952742124</v>
      </c>
      <c r="R18" s="11">
        <f t="shared" ref="R18" si="104">R17/R19</f>
        <v>1.5498177604216292</v>
      </c>
      <c r="S18" s="11">
        <f>S17/S19</f>
        <v>1.7772771880793268</v>
      </c>
      <c r="U18" s="11">
        <f t="shared" ref="U18:W18" si="105">U17/U19</f>
        <v>4.989476110403932</v>
      </c>
      <c r="V18" s="11">
        <f t="shared" si="105"/>
        <v>5.1711821569087277</v>
      </c>
      <c r="W18" s="11">
        <f t="shared" si="105"/>
        <v>5.6060048797418203</v>
      </c>
      <c r="X18" s="11">
        <f>SUM(H18:K18)</f>
        <v>5.0445879639444522</v>
      </c>
      <c r="Y18" s="11">
        <f>SUM(L18:O18)</f>
        <v>6.7133783571853618</v>
      </c>
      <c r="Z18" s="11">
        <f>SUM(P18:S18)</f>
        <v>6.3135500726348335</v>
      </c>
      <c r="AA18" s="11">
        <f>AA17/AA19</f>
        <v>6.8050374724347389</v>
      </c>
      <c r="AB18" s="11">
        <f t="shared" ref="AB18:AJ18" si="106">AB17/AB19</f>
        <v>7.1861195708910843</v>
      </c>
      <c r="AC18" s="11">
        <f t="shared" si="106"/>
        <v>7.588542266860987</v>
      </c>
      <c r="AD18" s="11">
        <f t="shared" si="106"/>
        <v>8.0135006338052008</v>
      </c>
      <c r="AE18" s="11">
        <f t="shared" si="106"/>
        <v>8.4622566692982932</v>
      </c>
      <c r="AF18" s="11">
        <f t="shared" si="106"/>
        <v>8.9361430427789994</v>
      </c>
      <c r="AG18" s="11">
        <f t="shared" si="106"/>
        <v>9.4365670531746222</v>
      </c>
      <c r="AH18" s="11">
        <f t="shared" si="106"/>
        <v>9.9650148081524019</v>
      </c>
      <c r="AI18" s="11">
        <f t="shared" si="106"/>
        <v>10.523055637408937</v>
      </c>
      <c r="AJ18" s="11">
        <f t="shared" si="106"/>
        <v>10.786132028344156</v>
      </c>
      <c r="AL18" s="3" t="s">
        <v>81</v>
      </c>
      <c r="AM18" s="28">
        <v>-0.01</v>
      </c>
    </row>
    <row r="19" spans="1:185" s="3" customFormat="1" x14ac:dyDescent="0.3">
      <c r="A19" s="6" t="s">
        <v>1</v>
      </c>
      <c r="H19" s="3">
        <v>193.57900000000001</v>
      </c>
      <c r="I19" s="3">
        <v>193.45</v>
      </c>
      <c r="J19" s="3">
        <v>193.10499999999999</v>
      </c>
      <c r="K19" s="3">
        <v>192.10400000000001</v>
      </c>
      <c r="L19" s="3">
        <v>191.886</v>
      </c>
      <c r="M19" s="3">
        <v>191.59700000000001</v>
      </c>
      <c r="N19" s="3">
        <v>191.86799999999999</v>
      </c>
      <c r="O19" s="3">
        <v>192.55699999999999</v>
      </c>
      <c r="P19" s="3">
        <v>192.69800000000001</v>
      </c>
      <c r="Q19" s="3">
        <v>192.69800000000001</v>
      </c>
      <c r="R19" s="3">
        <v>192.69800000000001</v>
      </c>
      <c r="S19" s="3">
        <v>192.69800000000001</v>
      </c>
      <c r="U19" s="3">
        <v>190.899</v>
      </c>
      <c r="V19" s="3">
        <v>191.89500000000001</v>
      </c>
      <c r="W19" s="3">
        <v>193.04300000000001</v>
      </c>
      <c r="X19" s="3">
        <f>AVERAGE(H19:K19)</f>
        <v>193.05950000000001</v>
      </c>
      <c r="Y19" s="3">
        <f>AVERAGE(L19:O19)</f>
        <v>191.977</v>
      </c>
      <c r="Z19" s="3">
        <f>AVERAGE(P19:S19)</f>
        <v>192.69800000000001</v>
      </c>
      <c r="AA19" s="3">
        <v>192.69800000000001</v>
      </c>
      <c r="AB19" s="3">
        <v>192.69800000000001</v>
      </c>
      <c r="AC19" s="3">
        <v>192.69800000000001</v>
      </c>
      <c r="AD19" s="3">
        <v>192.69800000000001</v>
      </c>
      <c r="AE19" s="3">
        <v>192.69800000000001</v>
      </c>
      <c r="AF19" s="3">
        <v>192.69800000000001</v>
      </c>
      <c r="AG19" s="3">
        <v>192.69800000000001</v>
      </c>
      <c r="AH19" s="3">
        <v>192.69800000000001</v>
      </c>
      <c r="AI19" s="3">
        <v>192.69800000000001</v>
      </c>
      <c r="AJ19" s="3">
        <v>192.69800000000001</v>
      </c>
      <c r="AL19" s="3" t="s">
        <v>82</v>
      </c>
      <c r="AM19" s="28">
        <v>7.0000000000000007E-2</v>
      </c>
    </row>
    <row r="20" spans="1:185" s="3" customFormat="1" x14ac:dyDescent="0.3">
      <c r="A20" s="6"/>
      <c r="AL20" s="3" t="s">
        <v>83</v>
      </c>
      <c r="AM20" s="3">
        <f>NPV(AM19,Z17:GC17)</f>
        <v>24129.090719858144</v>
      </c>
    </row>
    <row r="21" spans="1:185" x14ac:dyDescent="0.3">
      <c r="AL21" s="3" t="s">
        <v>3</v>
      </c>
      <c r="AM21" s="3">
        <v>2091</v>
      </c>
    </row>
    <row r="22" spans="1:185" s="20" customFormat="1" x14ac:dyDescent="0.3">
      <c r="A22" s="19" t="s">
        <v>45</v>
      </c>
      <c r="K22" s="21"/>
      <c r="L22" s="21">
        <f t="shared" ref="L22:S22" si="107">L3/H3-1</f>
        <v>-2.1521973083463153E-2</v>
      </c>
      <c r="M22" s="21">
        <f t="shared" si="107"/>
        <v>6.444219326855416E-2</v>
      </c>
      <c r="N22" s="21">
        <f t="shared" si="107"/>
        <v>0.12021476034562273</v>
      </c>
      <c r="O22" s="21">
        <f t="shared" si="107"/>
        <v>0.13483690510090662</v>
      </c>
      <c r="P22" s="21">
        <f t="shared" si="107"/>
        <v>0.20413116685723831</v>
      </c>
      <c r="Q22" s="21">
        <f t="shared" si="107"/>
        <v>7.0000000000000062E-2</v>
      </c>
      <c r="R22" s="21">
        <f t="shared" si="107"/>
        <v>0.10299999999999998</v>
      </c>
      <c r="S22" s="21">
        <f t="shared" si="107"/>
        <v>9.000000000000008E-2</v>
      </c>
      <c r="V22" s="21">
        <f>V5/U5-1</f>
        <v>0.11072634620962818</v>
      </c>
      <c r="W22" s="21">
        <f>W5/V5-1</f>
        <v>0.16488012909174743</v>
      </c>
      <c r="X22" s="21">
        <f>X5/W5-1</f>
        <v>-2.8952149122336568E-2</v>
      </c>
      <c r="Y22" s="21">
        <f>Y5/X5-1</f>
        <v>7.0607751105005168E-2</v>
      </c>
      <c r="Z22" s="21">
        <f>Z5/Y5-1</f>
        <v>0.12049261816676737</v>
      </c>
      <c r="AA22" s="33">
        <f t="shared" ref="AA22:AJ22" si="108">AA5/Z5-1</f>
        <v>8.5810656249178274E-2</v>
      </c>
      <c r="AB22" s="21">
        <f t="shared" si="108"/>
        <v>5.600000000000005E-2</v>
      </c>
      <c r="AC22" s="21">
        <f t="shared" si="108"/>
        <v>5.600000000000005E-2</v>
      </c>
      <c r="AD22" s="21">
        <f t="shared" si="108"/>
        <v>5.600000000000005E-2</v>
      </c>
      <c r="AE22" s="21">
        <f t="shared" si="108"/>
        <v>5.600000000000005E-2</v>
      </c>
      <c r="AF22" s="21">
        <f t="shared" si="108"/>
        <v>5.600000000000005E-2</v>
      </c>
      <c r="AG22" s="21">
        <f t="shared" si="108"/>
        <v>5.600000000000005E-2</v>
      </c>
      <c r="AH22" s="21">
        <f t="shared" si="108"/>
        <v>5.600000000000005E-2</v>
      </c>
      <c r="AI22" s="21">
        <f t="shared" si="108"/>
        <v>5.5999999999999828E-2</v>
      </c>
      <c r="AJ22" s="21">
        <f t="shared" si="108"/>
        <v>2.4999999999999911E-2</v>
      </c>
      <c r="AL22" s="20" t="s">
        <v>84</v>
      </c>
      <c r="AM22" s="20">
        <f>AM20+AM21</f>
        <v>26220.090719858144</v>
      </c>
    </row>
    <row r="23" spans="1:185" s="23" customFormat="1" x14ac:dyDescent="0.3">
      <c r="A23" s="22" t="s">
        <v>46</v>
      </c>
      <c r="AL23" s="23" t="s">
        <v>85</v>
      </c>
      <c r="AM23" s="40">
        <f>AM22/Main!L3</f>
        <v>136.5077167350465</v>
      </c>
    </row>
    <row r="24" spans="1:185" s="3" customFormat="1" x14ac:dyDescent="0.3">
      <c r="A24" s="6"/>
      <c r="AL24" s="3" t="s">
        <v>86</v>
      </c>
      <c r="AM24" s="18">
        <f>AM23/Main!L2-1</f>
        <v>-0.17751571527958965</v>
      </c>
    </row>
    <row r="25" spans="1:185" s="20" customFormat="1" x14ac:dyDescent="0.3">
      <c r="A25" s="19" t="s">
        <v>47</v>
      </c>
      <c r="H25" s="21">
        <f t="shared" ref="H25:O25" si="109">H5/H3</f>
        <v>0.56493601736902876</v>
      </c>
      <c r="I25" s="21">
        <f t="shared" si="109"/>
        <v>0.58736832434340491</v>
      </c>
      <c r="J25" s="21">
        <f t="shared" si="109"/>
        <v>0.58793319034683289</v>
      </c>
      <c r="K25" s="21">
        <f t="shared" si="109"/>
        <v>0.57026568561709057</v>
      </c>
      <c r="L25" s="21">
        <f t="shared" si="109"/>
        <v>0.56892134032406505</v>
      </c>
      <c r="M25" s="21">
        <f t="shared" si="109"/>
        <v>0.57498854856355464</v>
      </c>
      <c r="N25" s="21">
        <f t="shared" si="109"/>
        <v>0.57029457602202993</v>
      </c>
      <c r="O25" s="21">
        <f t="shared" si="109"/>
        <v>0.58289943817913104</v>
      </c>
      <c r="P25" s="21">
        <f>P5/P3</f>
        <v>0.58056641013745169</v>
      </c>
      <c r="X25" s="21">
        <f>X5/X3</f>
        <v>0.5774916491522617</v>
      </c>
      <c r="Y25" s="21">
        <f>Y5/Y3</f>
        <v>0.5747532014052118</v>
      </c>
      <c r="Z25" s="21">
        <f>Z5/Z3</f>
        <v>0.57853300332304169</v>
      </c>
      <c r="AA25" s="21">
        <f t="shared" ref="AA25:AJ25" si="110">AA5/AA3</f>
        <v>0.57789999999999997</v>
      </c>
      <c r="AB25" s="21">
        <f t="shared" si="110"/>
        <v>0.57790000000000008</v>
      </c>
      <c r="AC25" s="21">
        <f t="shared" si="110"/>
        <v>0.57790000000000008</v>
      </c>
      <c r="AD25" s="21">
        <f t="shared" si="110"/>
        <v>0.57789999999999997</v>
      </c>
      <c r="AE25" s="21">
        <f t="shared" si="110"/>
        <v>0.57789999999999997</v>
      </c>
      <c r="AF25" s="21">
        <f t="shared" si="110"/>
        <v>0.57789999999999997</v>
      </c>
      <c r="AG25" s="21">
        <f t="shared" si="110"/>
        <v>0.57789999999999997</v>
      </c>
      <c r="AH25" s="21">
        <f t="shared" si="110"/>
        <v>0.57790000000000008</v>
      </c>
      <c r="AI25" s="21">
        <f t="shared" si="110"/>
        <v>0.57789999999999997</v>
      </c>
      <c r="AJ25" s="21">
        <f t="shared" si="110"/>
        <v>0.57789999999999997</v>
      </c>
    </row>
    <row r="26" spans="1:185" s="25" customFormat="1" x14ac:dyDescent="0.3">
      <c r="A26" s="24" t="s">
        <v>48</v>
      </c>
      <c r="H26" s="26">
        <f t="shared" ref="H26:O26" si="111">H10/H3</f>
        <v>0.19490356129899325</v>
      </c>
      <c r="I26" s="26">
        <f t="shared" si="111"/>
        <v>0.23592215874336039</v>
      </c>
      <c r="J26" s="26">
        <f t="shared" si="111"/>
        <v>0.2098964078587626</v>
      </c>
      <c r="K26" s="26">
        <f t="shared" si="111"/>
        <v>0.20451928876967693</v>
      </c>
      <c r="L26" s="26">
        <f t="shared" si="111"/>
        <v>0.17167324371810244</v>
      </c>
      <c r="M26" s="26">
        <f t="shared" si="111"/>
        <v>0.21529079077373864</v>
      </c>
      <c r="N26" s="26">
        <f t="shared" si="111"/>
        <v>0.21163400340187433</v>
      </c>
      <c r="O26" s="26">
        <f t="shared" si="111"/>
        <v>0.22964841170427547</v>
      </c>
      <c r="P26" s="26">
        <f>P10/P3</f>
        <v>0.215981048732348</v>
      </c>
      <c r="X26" s="26">
        <f>X10/X3</f>
        <v>0.21147813348394184</v>
      </c>
      <c r="Y26" s="26">
        <f>Y10/Y3</f>
        <v>0.2088958621152657</v>
      </c>
      <c r="Z26" s="26">
        <f>Z10/Z3</f>
        <v>0.21248753677082979</v>
      </c>
      <c r="AA26" s="26">
        <f t="shared" ref="AA26:AJ26" si="112">AA10/AA3</f>
        <v>0.21139999999999998</v>
      </c>
      <c r="AB26" s="26">
        <f t="shared" si="112"/>
        <v>0.21139999999999998</v>
      </c>
      <c r="AC26" s="26">
        <f t="shared" si="112"/>
        <v>0.21140000000000003</v>
      </c>
      <c r="AD26" s="26">
        <f t="shared" si="112"/>
        <v>0.2114</v>
      </c>
      <c r="AE26" s="26">
        <f t="shared" si="112"/>
        <v>0.21139999999999995</v>
      </c>
      <c r="AF26" s="26">
        <f t="shared" si="112"/>
        <v>0.2114</v>
      </c>
      <c r="AG26" s="26">
        <f t="shared" si="112"/>
        <v>0.21139999999999998</v>
      </c>
      <c r="AH26" s="26">
        <f t="shared" si="112"/>
        <v>0.21140000000000003</v>
      </c>
      <c r="AI26" s="26">
        <f t="shared" si="112"/>
        <v>0.2114</v>
      </c>
      <c r="AJ26" s="26">
        <f t="shared" si="112"/>
        <v>0.21139999999999998</v>
      </c>
    </row>
    <row r="27" spans="1:185" s="25" customFormat="1" x14ac:dyDescent="0.3">
      <c r="A27" s="24" t="s">
        <v>49</v>
      </c>
      <c r="H27" s="26">
        <f t="shared" ref="H27:O27" si="113">H17/H3</f>
        <v>0.18043732976765686</v>
      </c>
      <c r="I27" s="26">
        <f t="shared" si="113"/>
        <v>0.2078224869905943</v>
      </c>
      <c r="J27" s="26">
        <f t="shared" si="113"/>
        <v>0.18488400030163959</v>
      </c>
      <c r="K27" s="26">
        <f t="shared" si="113"/>
        <v>0.22449623226746776</v>
      </c>
      <c r="L27" s="26">
        <f t="shared" si="113"/>
        <v>0.17633150430878208</v>
      </c>
      <c r="M27" s="26">
        <f t="shared" si="113"/>
        <v>0.21800430801146289</v>
      </c>
      <c r="N27" s="26">
        <f t="shared" si="113"/>
        <v>0.20135949734292158</v>
      </c>
      <c r="O27" s="26">
        <f t="shared" si="113"/>
        <v>0.365682721293274</v>
      </c>
      <c r="P27" s="26">
        <f>P17/P3</f>
        <v>0.19973307258211012</v>
      </c>
      <c r="X27" s="26">
        <f>X17/X3</f>
        <v>0.20031438485603217</v>
      </c>
      <c r="Y27" s="26">
        <f>Y17/Y3</f>
        <v>0.2466664282185381</v>
      </c>
      <c r="Z27" s="26">
        <f>Z17/Z3</f>
        <v>0.20904132401692213</v>
      </c>
      <c r="AA27" s="26">
        <f t="shared" ref="AA27:AJ27" si="114">AA17/AA3</f>
        <v>0.20728099999999999</v>
      </c>
      <c r="AB27" s="26">
        <f t="shared" si="114"/>
        <v>0.20728099999999997</v>
      </c>
      <c r="AC27" s="26">
        <f t="shared" si="114"/>
        <v>0.20728100000000002</v>
      </c>
      <c r="AD27" s="26">
        <f t="shared" si="114"/>
        <v>0.20728099999999999</v>
      </c>
      <c r="AE27" s="26">
        <f t="shared" si="114"/>
        <v>0.20728099999999997</v>
      </c>
      <c r="AF27" s="26">
        <f t="shared" si="114"/>
        <v>0.20728100000000002</v>
      </c>
      <c r="AG27" s="26">
        <f t="shared" si="114"/>
        <v>0.20728099999999997</v>
      </c>
      <c r="AH27" s="26">
        <f t="shared" si="114"/>
        <v>0.20728100000000002</v>
      </c>
      <c r="AI27" s="26">
        <f t="shared" si="114"/>
        <v>0.20728100000000002</v>
      </c>
      <c r="AJ27" s="26">
        <f t="shared" si="114"/>
        <v>0.20728099999999997</v>
      </c>
    </row>
    <row r="28" spans="1:185" s="23" customFormat="1" x14ac:dyDescent="0.3">
      <c r="A28" s="22" t="s">
        <v>50</v>
      </c>
      <c r="H28" s="27">
        <f t="shared" ref="H28:O28" si="115">H16/H15</f>
        <v>0.1029067598276973</v>
      </c>
      <c r="I28" s="27">
        <f t="shared" si="115"/>
        <v>7.5611364825821037E-2</v>
      </c>
      <c r="J28" s="27">
        <f t="shared" si="115"/>
        <v>4.2761739162016997E-2</v>
      </c>
      <c r="K28" s="27">
        <f t="shared" si="115"/>
        <v>0.11096290727424847</v>
      </c>
      <c r="L28" s="27">
        <f t="shared" si="115"/>
        <v>8.7680139963566203E-2</v>
      </c>
      <c r="M28" s="27">
        <f t="shared" si="115"/>
        <v>8.8731422639694121E-2</v>
      </c>
      <c r="N28" s="27">
        <f t="shared" si="115"/>
        <v>7.9865222072389511E-2</v>
      </c>
      <c r="O28" s="27">
        <f t="shared" si="115"/>
        <v>-0.41533693960880957</v>
      </c>
      <c r="P28" s="27">
        <f>P16/P15</f>
        <v>0.15618578767123295</v>
      </c>
      <c r="X28" s="27">
        <f>X16/X15</f>
        <v>8.581250416677226E-2</v>
      </c>
      <c r="Y28" s="27">
        <f>Y16/Y15</f>
        <v>-7.4377163422487513E-2</v>
      </c>
      <c r="Z28" s="27">
        <f>Z16/Z15</f>
        <v>0.10590733083663237</v>
      </c>
      <c r="AA28" s="27">
        <f t="shared" ref="AA28:AJ28" si="116">AA16/AA15</f>
        <v>0.11</v>
      </c>
      <c r="AB28" s="27">
        <f t="shared" si="116"/>
        <v>0.11</v>
      </c>
      <c r="AC28" s="27">
        <f t="shared" si="116"/>
        <v>0.11</v>
      </c>
      <c r="AD28" s="27">
        <f t="shared" si="116"/>
        <v>0.11000000000000001</v>
      </c>
      <c r="AE28" s="27">
        <f t="shared" si="116"/>
        <v>0.11</v>
      </c>
      <c r="AF28" s="27">
        <f t="shared" si="116"/>
        <v>0.11</v>
      </c>
      <c r="AG28" s="27">
        <f t="shared" si="116"/>
        <v>0.11</v>
      </c>
      <c r="AH28" s="27">
        <f t="shared" si="116"/>
        <v>0.11</v>
      </c>
      <c r="AI28" s="27">
        <f t="shared" si="116"/>
        <v>0.11</v>
      </c>
      <c r="AJ28" s="27">
        <f t="shared" si="116"/>
        <v>0.11</v>
      </c>
    </row>
    <row r="29" spans="1:185" s="25" customFormat="1" x14ac:dyDescent="0.3">
      <c r="A29" s="24"/>
      <c r="H29" s="26"/>
      <c r="I29" s="26"/>
      <c r="J29" s="26"/>
      <c r="K29" s="26"/>
      <c r="L29" s="26"/>
      <c r="M29" s="26"/>
      <c r="N29" s="26"/>
      <c r="O29" s="26"/>
      <c r="P29" s="26"/>
      <c r="X29" s="26"/>
      <c r="Y29" s="26"/>
      <c r="Z29" s="26"/>
    </row>
    <row r="30" spans="1:185" s="30" customFormat="1" x14ac:dyDescent="0.3">
      <c r="A30" s="29" t="s">
        <v>87</v>
      </c>
      <c r="C30" s="30">
        <f>C31-C32</f>
        <v>1770.126</v>
      </c>
      <c r="D30" s="30">
        <f t="shared" ref="D30:N30" si="117">D31-D32</f>
        <v>0</v>
      </c>
      <c r="E30" s="30">
        <f t="shared" si="117"/>
        <v>0</v>
      </c>
      <c r="F30" s="30">
        <f t="shared" si="117"/>
        <v>0</v>
      </c>
      <c r="G30" s="30">
        <f t="shared" si="117"/>
        <v>1775.9939999999999</v>
      </c>
      <c r="H30" s="30">
        <f t="shared" si="117"/>
        <v>1710.6410000000001</v>
      </c>
      <c r="I30" s="30">
        <f t="shared" si="117"/>
        <v>0</v>
      </c>
      <c r="J30" s="30">
        <f t="shared" si="117"/>
        <v>0</v>
      </c>
      <c r="K30" s="30">
        <f t="shared" si="117"/>
        <v>1337.941</v>
      </c>
      <c r="L30" s="30">
        <f t="shared" si="117"/>
        <v>0</v>
      </c>
      <c r="M30" s="30">
        <f t="shared" si="117"/>
        <v>0</v>
      </c>
      <c r="N30" s="30">
        <f t="shared" si="117"/>
        <v>0</v>
      </c>
      <c r="O30" s="30">
        <f>O31-O32</f>
        <v>1855.0349999999999</v>
      </c>
      <c r="P30" s="30">
        <f t="shared" ref="P30:S30" si="118">P31-P32</f>
        <v>2090.502</v>
      </c>
      <c r="Q30" s="30">
        <f t="shared" si="118"/>
        <v>0</v>
      </c>
      <c r="R30" s="30">
        <f t="shared" si="118"/>
        <v>0</v>
      </c>
      <c r="S30" s="30">
        <f t="shared" si="118"/>
        <v>0</v>
      </c>
      <c r="V30" s="30">
        <f t="shared" ref="V30:Y30" si="119">V31-V32</f>
        <v>1770.126</v>
      </c>
      <c r="W30" s="30">
        <f t="shared" si="119"/>
        <v>1775.9939999999999</v>
      </c>
      <c r="X30" s="30">
        <f t="shared" si="119"/>
        <v>1337.941</v>
      </c>
      <c r="Y30" s="30">
        <f t="shared" si="119"/>
        <v>1855.0349999999999</v>
      </c>
    </row>
    <row r="31" spans="1:185" s="25" customFormat="1" x14ac:dyDescent="0.3">
      <c r="A31" s="24" t="s">
        <v>3</v>
      </c>
      <c r="C31" s="25">
        <f>C33+C34</f>
        <v>1846.0840000000001</v>
      </c>
      <c r="D31" s="25">
        <f t="shared" ref="D31:N31" si="120">D33+D34</f>
        <v>0</v>
      </c>
      <c r="E31" s="25">
        <f t="shared" si="120"/>
        <v>0</v>
      </c>
      <c r="F31" s="25">
        <f t="shared" si="120"/>
        <v>0</v>
      </c>
      <c r="G31" s="25">
        <f t="shared" si="120"/>
        <v>1846.038</v>
      </c>
      <c r="H31" s="25">
        <f t="shared" si="120"/>
        <v>1792.768</v>
      </c>
      <c r="I31" s="25">
        <f t="shared" si="120"/>
        <v>0</v>
      </c>
      <c r="J31" s="25">
        <f t="shared" si="120"/>
        <v>0</v>
      </c>
      <c r="K31" s="25">
        <f t="shared" si="120"/>
        <v>1452.482</v>
      </c>
      <c r="L31" s="25">
        <f t="shared" si="120"/>
        <v>0</v>
      </c>
      <c r="M31" s="25">
        <f t="shared" si="120"/>
        <v>0</v>
      </c>
      <c r="N31" s="25">
        <f t="shared" si="120"/>
        <v>0</v>
      </c>
      <c r="O31" s="25">
        <f>O33+O34</f>
        <v>1968.07</v>
      </c>
      <c r="P31" s="25">
        <f t="shared" ref="P31:S31" si="121">P33+P34</f>
        <v>2196.3609999999999</v>
      </c>
      <c r="Q31" s="25">
        <f t="shared" si="121"/>
        <v>0</v>
      </c>
      <c r="R31" s="25">
        <f t="shared" si="121"/>
        <v>0</v>
      </c>
      <c r="S31" s="25">
        <f t="shared" si="121"/>
        <v>0</v>
      </c>
      <c r="V31" s="25">
        <f t="shared" ref="V31:Y31" si="122">V33+V34</f>
        <v>1846.0840000000001</v>
      </c>
      <c r="W31" s="25">
        <f t="shared" si="122"/>
        <v>1846.038</v>
      </c>
      <c r="X31" s="25">
        <f t="shared" si="122"/>
        <v>1452.482</v>
      </c>
      <c r="Y31" s="25">
        <f t="shared" si="122"/>
        <v>1968.07</v>
      </c>
    </row>
    <row r="32" spans="1:185" s="32" customFormat="1" ht="15" thickBot="1" x14ac:dyDescent="0.35">
      <c r="A32" s="31" t="s">
        <v>4</v>
      </c>
      <c r="C32" s="32">
        <f>C60</f>
        <v>75.957999999999998</v>
      </c>
      <c r="D32" s="32">
        <f t="shared" ref="D32:N32" si="123">D60</f>
        <v>0</v>
      </c>
      <c r="E32" s="32">
        <f t="shared" si="123"/>
        <v>0</v>
      </c>
      <c r="F32" s="32">
        <f t="shared" si="123"/>
        <v>0</v>
      </c>
      <c r="G32" s="32">
        <f t="shared" si="123"/>
        <v>70.043999999999997</v>
      </c>
      <c r="H32" s="32">
        <f t="shared" si="123"/>
        <v>82.126999999999995</v>
      </c>
      <c r="I32" s="32">
        <f t="shared" si="123"/>
        <v>0</v>
      </c>
      <c r="J32" s="32">
        <f t="shared" si="123"/>
        <v>0</v>
      </c>
      <c r="K32" s="32">
        <f t="shared" si="123"/>
        <v>114.541</v>
      </c>
      <c r="L32" s="32">
        <f t="shared" si="123"/>
        <v>0</v>
      </c>
      <c r="M32" s="32">
        <f t="shared" si="123"/>
        <v>0</v>
      </c>
      <c r="N32" s="32">
        <f t="shared" si="123"/>
        <v>0</v>
      </c>
      <c r="O32" s="32">
        <f>O60</f>
        <v>113.035</v>
      </c>
      <c r="P32" s="32">
        <f t="shared" ref="P32:S32" si="124">P60</f>
        <v>105.85899999999999</v>
      </c>
      <c r="Q32" s="32">
        <f t="shared" si="124"/>
        <v>0</v>
      </c>
      <c r="R32" s="32">
        <f t="shared" si="124"/>
        <v>0</v>
      </c>
      <c r="S32" s="32">
        <f t="shared" si="124"/>
        <v>0</v>
      </c>
      <c r="V32" s="32">
        <f t="shared" ref="V32:Y32" si="125">V60</f>
        <v>75.957999999999998</v>
      </c>
      <c r="W32" s="32">
        <f t="shared" si="125"/>
        <v>70.043999999999997</v>
      </c>
      <c r="X32" s="32">
        <f t="shared" si="125"/>
        <v>114.541</v>
      </c>
      <c r="Y32" s="32">
        <f t="shared" si="125"/>
        <v>113.035</v>
      </c>
    </row>
    <row r="33" spans="1:25" s="3" customFormat="1" x14ac:dyDescent="0.3">
      <c r="A33" s="6" t="s">
        <v>51</v>
      </c>
      <c r="C33" s="3">
        <v>1458.442</v>
      </c>
      <c r="G33" s="3">
        <v>1498.058</v>
      </c>
      <c r="H33" s="3">
        <v>1417.5309999999999</v>
      </c>
      <c r="K33" s="3">
        <v>1279.194</v>
      </c>
      <c r="O33" s="3">
        <v>1693.452</v>
      </c>
      <c r="P33" s="3">
        <v>1921.7819999999999</v>
      </c>
      <c r="V33" s="3">
        <v>1458.442</v>
      </c>
      <c r="W33" s="3">
        <v>1498.058</v>
      </c>
      <c r="X33" s="3">
        <v>1279.194</v>
      </c>
      <c r="Y33" s="3">
        <v>1693.452</v>
      </c>
    </row>
    <row r="34" spans="1:25" s="3" customFormat="1" x14ac:dyDescent="0.3">
      <c r="A34" s="6" t="s">
        <v>52</v>
      </c>
      <c r="C34" s="3">
        <v>387.642</v>
      </c>
      <c r="G34" s="3">
        <v>347.98</v>
      </c>
      <c r="H34" s="3">
        <v>375.23700000000002</v>
      </c>
      <c r="K34" s="3">
        <v>173.28800000000001</v>
      </c>
      <c r="O34" s="3">
        <v>274.61799999999999</v>
      </c>
      <c r="P34" s="3">
        <v>274.57900000000001</v>
      </c>
      <c r="V34" s="3">
        <v>387.642</v>
      </c>
      <c r="W34" s="3">
        <v>347.98</v>
      </c>
      <c r="X34" s="3">
        <v>173.28800000000001</v>
      </c>
      <c r="Y34" s="3">
        <v>274.61799999999999</v>
      </c>
    </row>
    <row r="35" spans="1:25" s="3" customFormat="1" x14ac:dyDescent="0.3">
      <c r="A35" s="6" t="s">
        <v>53</v>
      </c>
      <c r="C35" s="3">
        <v>849.46900000000005</v>
      </c>
      <c r="G35" s="3">
        <v>843.44500000000005</v>
      </c>
      <c r="H35" s="3">
        <v>599.73299999999995</v>
      </c>
      <c r="K35" s="3">
        <v>656.84699999999998</v>
      </c>
      <c r="O35" s="3">
        <v>815.24300000000005</v>
      </c>
      <c r="P35" s="3">
        <v>694.69</v>
      </c>
      <c r="V35" s="3">
        <v>849.46900000000005</v>
      </c>
      <c r="W35" s="3">
        <v>843.44500000000005</v>
      </c>
      <c r="X35" s="3">
        <v>656.84699999999998</v>
      </c>
      <c r="Y35" s="3">
        <v>815.24300000000005</v>
      </c>
    </row>
    <row r="36" spans="1:25" s="3" customFormat="1" x14ac:dyDescent="0.3">
      <c r="A36" s="6" t="s">
        <v>54</v>
      </c>
      <c r="C36" s="3">
        <v>762.08399999999995</v>
      </c>
      <c r="G36" s="3">
        <v>1227.6089999999999</v>
      </c>
      <c r="H36" s="3">
        <v>1339.53</v>
      </c>
      <c r="K36" s="3">
        <v>1515.0450000000001</v>
      </c>
      <c r="O36" s="3">
        <v>1345.9549999999999</v>
      </c>
      <c r="P36" s="3">
        <v>1302.23</v>
      </c>
      <c r="V36" s="3">
        <v>762.08399999999995</v>
      </c>
      <c r="W36" s="3">
        <v>1227.6089999999999</v>
      </c>
      <c r="X36" s="3">
        <v>1515.0450000000001</v>
      </c>
      <c r="Y36" s="3">
        <v>1345.9549999999999</v>
      </c>
    </row>
    <row r="37" spans="1:25" s="3" customFormat="1" x14ac:dyDescent="0.3">
      <c r="A37" s="6" t="s">
        <v>55</v>
      </c>
      <c r="C37" s="3">
        <v>20.145</v>
      </c>
      <c r="G37" s="3">
        <v>15.961</v>
      </c>
      <c r="H37" s="3">
        <v>15.003</v>
      </c>
      <c r="K37" s="3">
        <v>14.862</v>
      </c>
      <c r="O37" s="3">
        <v>16.315999999999999</v>
      </c>
      <c r="P37" s="3">
        <v>18.329000000000001</v>
      </c>
      <c r="V37" s="3">
        <v>20.145</v>
      </c>
      <c r="W37" s="3">
        <v>15.961</v>
      </c>
      <c r="X37" s="3">
        <v>14.862</v>
      </c>
      <c r="Y37" s="3">
        <v>16.315999999999999</v>
      </c>
    </row>
    <row r="38" spans="1:25" s="3" customFormat="1" x14ac:dyDescent="0.3">
      <c r="A38" s="6" t="s">
        <v>56</v>
      </c>
      <c r="C38" s="3">
        <v>191.56899999999999</v>
      </c>
      <c r="G38" s="3">
        <v>328.71899999999999</v>
      </c>
      <c r="H38" s="3">
        <v>335.16899999999998</v>
      </c>
      <c r="K38" s="3">
        <v>315.91500000000002</v>
      </c>
      <c r="O38" s="3">
        <v>318.55599999999998</v>
      </c>
      <c r="P38" s="3">
        <v>305.67399999999998</v>
      </c>
      <c r="V38" s="3">
        <v>191.56899999999999</v>
      </c>
      <c r="W38" s="3">
        <v>328.71899999999999</v>
      </c>
      <c r="X38" s="3">
        <v>315.91500000000002</v>
      </c>
      <c r="Y38" s="3">
        <v>318.55599999999998</v>
      </c>
    </row>
    <row r="39" spans="1:25" s="15" customFormat="1" x14ac:dyDescent="0.3">
      <c r="A39" s="14" t="s">
        <v>57</v>
      </c>
      <c r="C39" s="15">
        <f t="shared" ref="C39" si="126">SUM(C33:C38)</f>
        <v>3669.3509999999997</v>
      </c>
      <c r="D39" s="15">
        <f t="shared" ref="D39" si="127">SUM(D33:D38)</f>
        <v>0</v>
      </c>
      <c r="E39" s="15">
        <f t="shared" ref="E39" si="128">SUM(E33:E38)</f>
        <v>0</v>
      </c>
      <c r="F39" s="15">
        <f t="shared" ref="F39" si="129">SUM(F33:F38)</f>
        <v>0</v>
      </c>
      <c r="G39" s="15">
        <f t="shared" ref="G39:H39" si="130">SUM(G33:G38)</f>
        <v>4261.7719999999999</v>
      </c>
      <c r="H39" s="15">
        <f t="shared" si="130"/>
        <v>4082.203</v>
      </c>
      <c r="I39" s="15">
        <f t="shared" ref="I39" si="131">SUM(I33:I38)</f>
        <v>0</v>
      </c>
      <c r="J39" s="15">
        <f t="shared" ref="J39" si="132">SUM(J33:J38)</f>
        <v>0</v>
      </c>
      <c r="K39" s="15">
        <f t="shared" ref="K39:O39" si="133">SUM(K33:K38)</f>
        <v>3955.1509999999998</v>
      </c>
      <c r="L39" s="15">
        <f t="shared" si="133"/>
        <v>0</v>
      </c>
      <c r="M39" s="15">
        <f t="shared" si="133"/>
        <v>0</v>
      </c>
      <c r="N39" s="15">
        <f t="shared" si="133"/>
        <v>0</v>
      </c>
      <c r="O39" s="15">
        <f t="shared" si="133"/>
        <v>4464.1399999999994</v>
      </c>
      <c r="P39" s="15">
        <f>SUM(P33:P38)</f>
        <v>4517.2839999999997</v>
      </c>
      <c r="Q39" s="15">
        <f t="shared" ref="Q39:S39" si="134">SUM(Q33:Q38)</f>
        <v>0</v>
      </c>
      <c r="R39" s="15">
        <f t="shared" si="134"/>
        <v>0</v>
      </c>
      <c r="S39" s="15">
        <f t="shared" si="134"/>
        <v>0</v>
      </c>
      <c r="V39" s="15">
        <f t="shared" ref="V39" si="135">SUM(V33:V38)</f>
        <v>3669.3509999999997</v>
      </c>
      <c r="W39" s="15">
        <f t="shared" ref="W39" si="136">SUM(W33:W38)</f>
        <v>4261.7719999999999</v>
      </c>
      <c r="X39" s="15">
        <f t="shared" ref="X39" si="137">SUM(X33:X38)</f>
        <v>3955.1509999999998</v>
      </c>
      <c r="Y39" s="15">
        <f t="shared" ref="Y39" si="138">SUM(Y33:Y38)</f>
        <v>4464.1399999999994</v>
      </c>
    </row>
    <row r="40" spans="1:25" s="3" customFormat="1" x14ac:dyDescent="0.3">
      <c r="A40" s="6" t="s">
        <v>58</v>
      </c>
      <c r="C40" s="3">
        <v>855.53899999999999</v>
      </c>
      <c r="G40" s="3">
        <v>1067.4780000000001</v>
      </c>
      <c r="H40" s="3">
        <v>1092.52</v>
      </c>
      <c r="K40" s="3">
        <v>1147.0050000000001</v>
      </c>
      <c r="O40" s="3">
        <v>1244.097</v>
      </c>
      <c r="P40" s="3">
        <v>1206.4010000000001</v>
      </c>
      <c r="V40" s="3">
        <v>855.53899999999999</v>
      </c>
      <c r="W40" s="3">
        <v>1067.4780000000001</v>
      </c>
      <c r="X40" s="3">
        <v>1147.0050000000001</v>
      </c>
      <c r="Y40" s="3">
        <v>1244.097</v>
      </c>
    </row>
    <row r="41" spans="1:25" s="3" customFormat="1" x14ac:dyDescent="0.3">
      <c r="A41" s="6" t="s">
        <v>59</v>
      </c>
      <c r="C41" s="3">
        <v>94.626000000000005</v>
      </c>
      <c r="G41" s="3">
        <v>89.456999999999994</v>
      </c>
      <c r="H41" s="3">
        <v>101.19799999999999</v>
      </c>
      <c r="K41" s="3">
        <v>138.04</v>
      </c>
      <c r="O41" s="3">
        <v>143.72399999999999</v>
      </c>
      <c r="P41" s="3">
        <v>136.285</v>
      </c>
      <c r="V41" s="3">
        <v>94.626000000000005</v>
      </c>
      <c r="W41" s="3">
        <v>89.456999999999994</v>
      </c>
      <c r="X41" s="3">
        <v>138.04</v>
      </c>
      <c r="Y41" s="3">
        <v>143.72399999999999</v>
      </c>
    </row>
    <row r="42" spans="1:25" s="3" customFormat="1" x14ac:dyDescent="0.3">
      <c r="A42" s="6" t="s">
        <v>60</v>
      </c>
      <c r="C42" s="3">
        <v>1131.175</v>
      </c>
      <c r="G42" s="3">
        <v>1268.6980000000001</v>
      </c>
      <c r="H42" s="3">
        <v>1238.5</v>
      </c>
      <c r="K42" s="3">
        <v>1208.3599999999999</v>
      </c>
      <c r="O42" s="3">
        <v>1125.191</v>
      </c>
      <c r="P42" s="3">
        <v>1133.6579999999999</v>
      </c>
      <c r="V42" s="3">
        <v>1131.175</v>
      </c>
      <c r="W42" s="3">
        <v>1268.6980000000001</v>
      </c>
      <c r="X42" s="3">
        <v>1208.3599999999999</v>
      </c>
      <c r="Y42" s="3">
        <v>1125.191</v>
      </c>
    </row>
    <row r="43" spans="1:25" s="3" customFormat="1" x14ac:dyDescent="0.3">
      <c r="A43" s="6" t="s">
        <v>61</v>
      </c>
      <c r="C43" s="3">
        <v>245.45500000000001</v>
      </c>
      <c r="G43" s="3">
        <v>260.20499999999998</v>
      </c>
      <c r="H43" s="3">
        <v>301.71800000000002</v>
      </c>
      <c r="K43" s="3">
        <v>441.07100000000003</v>
      </c>
      <c r="O43" s="3">
        <v>754.63499999999999</v>
      </c>
      <c r="P43" s="3">
        <v>763.08299999999997</v>
      </c>
      <c r="V43" s="3">
        <v>245.45500000000001</v>
      </c>
      <c r="W43" s="3">
        <v>260.20499999999998</v>
      </c>
      <c r="X43" s="3">
        <v>441.07100000000003</v>
      </c>
      <c r="Y43" s="3">
        <v>754.63499999999999</v>
      </c>
    </row>
    <row r="44" spans="1:25" s="3" customFormat="1" x14ac:dyDescent="0.3">
      <c r="A44" s="6" t="s">
        <v>62</v>
      </c>
      <c r="C44" s="3">
        <v>16.510000000000002</v>
      </c>
      <c r="G44" s="3">
        <v>12.361000000000001</v>
      </c>
      <c r="H44" s="3">
        <v>11.396000000000001</v>
      </c>
      <c r="K44" s="3">
        <v>9.8309999999999995</v>
      </c>
      <c r="O44" s="3">
        <v>11.057</v>
      </c>
      <c r="P44" s="3">
        <v>10.48</v>
      </c>
      <c r="V44" s="3">
        <v>16.510000000000002</v>
      </c>
      <c r="W44" s="3">
        <v>12.361000000000001</v>
      </c>
      <c r="X44" s="3">
        <v>9.8309999999999995</v>
      </c>
      <c r="Y44" s="3">
        <v>11.057</v>
      </c>
    </row>
    <row r="45" spans="1:25" s="3" customFormat="1" x14ac:dyDescent="0.3">
      <c r="A45" s="6" t="s">
        <v>63</v>
      </c>
      <c r="C45" s="3">
        <v>828.56600000000003</v>
      </c>
      <c r="G45" s="3">
        <f>575.08+215.993</f>
        <v>791.07300000000009</v>
      </c>
      <c r="H45" s="3">
        <f>572.996+209.325</f>
        <v>782.32099999999991</v>
      </c>
      <c r="K45" s="3">
        <f>567.994+178.461</f>
        <v>746.45500000000004</v>
      </c>
      <c r="O45" s="3">
        <f>608.474+186.601</f>
        <v>795.07500000000005</v>
      </c>
      <c r="P45" s="3">
        <f>601.618+176.647</f>
        <v>778.2650000000001</v>
      </c>
      <c r="V45" s="3">
        <v>828.56600000000003</v>
      </c>
      <c r="W45" s="3">
        <f>575.08+215.993</f>
        <v>791.07300000000009</v>
      </c>
      <c r="X45" s="3">
        <f>567.994+178.461</f>
        <v>746.45500000000004</v>
      </c>
      <c r="Y45" s="3">
        <f>608.474+186.601</f>
        <v>795.07500000000005</v>
      </c>
    </row>
    <row r="46" spans="1:25" s="3" customFormat="1" x14ac:dyDescent="0.3">
      <c r="A46" s="6" t="s">
        <v>64</v>
      </c>
      <c r="C46" s="3">
        <v>190.15100000000001</v>
      </c>
      <c r="G46" s="3">
        <v>103.383</v>
      </c>
      <c r="H46" s="3">
        <v>93.393000000000001</v>
      </c>
      <c r="K46" s="3">
        <v>85.257000000000005</v>
      </c>
      <c r="O46" s="3">
        <v>85.65</v>
      </c>
      <c r="P46" s="3">
        <v>88.123999999999995</v>
      </c>
      <c r="V46" s="3">
        <v>190.15100000000001</v>
      </c>
      <c r="W46" s="3">
        <v>103.383</v>
      </c>
      <c r="X46" s="3">
        <v>85.257000000000005</v>
      </c>
      <c r="Y46" s="3">
        <v>85.65</v>
      </c>
    </row>
    <row r="47" spans="1:25" s="15" customFormat="1" x14ac:dyDescent="0.3">
      <c r="A47" s="14" t="s">
        <v>65</v>
      </c>
      <c r="C47" s="15">
        <f t="shared" ref="C47" si="139">SUM(C40:C46)+C39</f>
        <v>7031.3729999999996</v>
      </c>
      <c r="D47" s="15">
        <f t="shared" ref="D47" si="140">SUM(D40:D46)+D39</f>
        <v>0</v>
      </c>
      <c r="E47" s="15">
        <f t="shared" ref="E47" si="141">SUM(E40:E46)+E39</f>
        <v>0</v>
      </c>
      <c r="F47" s="15">
        <f t="shared" ref="F47" si="142">SUM(F40:F46)+F39</f>
        <v>0</v>
      </c>
      <c r="G47" s="15">
        <f t="shared" ref="G47:H47" si="143">SUM(G40:G46)+G39</f>
        <v>7854.4269999999997</v>
      </c>
      <c r="H47" s="15">
        <f t="shared" si="143"/>
        <v>7703.2489999999998</v>
      </c>
      <c r="K47" s="15">
        <f t="shared" ref="K47:O47" si="144">SUM(K40:K46)+K39</f>
        <v>7731.17</v>
      </c>
      <c r="L47" s="15">
        <f t="shared" si="144"/>
        <v>0</v>
      </c>
      <c r="M47" s="15">
        <f t="shared" si="144"/>
        <v>0</v>
      </c>
      <c r="N47" s="15">
        <f t="shared" si="144"/>
        <v>0</v>
      </c>
      <c r="O47" s="15">
        <f t="shared" si="144"/>
        <v>8623.5689999999995</v>
      </c>
      <c r="P47" s="15">
        <f>SUM(P40:P46)+P39</f>
        <v>8633.58</v>
      </c>
      <c r="Q47" s="15">
        <f t="shared" ref="Q47:S47" si="145">SUM(Q40:Q46)+Q39</f>
        <v>0</v>
      </c>
      <c r="R47" s="15">
        <f t="shared" si="145"/>
        <v>0</v>
      </c>
      <c r="S47" s="15">
        <f t="shared" si="145"/>
        <v>0</v>
      </c>
      <c r="V47" s="15">
        <f t="shared" ref="V47" si="146">SUM(V40:V46)+V39</f>
        <v>7031.3729999999996</v>
      </c>
      <c r="W47" s="15">
        <f t="shared" ref="W47" si="147">SUM(W40:W46)+W39</f>
        <v>7854.4269999999997</v>
      </c>
      <c r="X47" s="15">
        <f t="shared" ref="X47" si="148">SUM(X40:X46)+X39</f>
        <v>7731.17</v>
      </c>
      <c r="Y47" s="15">
        <f t="shared" ref="Y47" si="149">SUM(Y40:Y46)+Y39</f>
        <v>8623.5689999999995</v>
      </c>
    </row>
    <row r="48" spans="1:25" s="3" customFormat="1" x14ac:dyDescent="0.3">
      <c r="A48" s="6" t="s">
        <v>66</v>
      </c>
      <c r="C48" s="3">
        <v>258.88499999999999</v>
      </c>
      <c r="G48" s="3">
        <v>370.048</v>
      </c>
      <c r="H48" s="3">
        <v>298.99200000000002</v>
      </c>
      <c r="K48" s="3">
        <v>212.417</v>
      </c>
      <c r="O48" s="3">
        <v>253.79</v>
      </c>
      <c r="P48" s="3">
        <v>243.08699999999999</v>
      </c>
      <c r="V48" s="3">
        <v>258.88499999999999</v>
      </c>
      <c r="W48" s="3">
        <v>370.048</v>
      </c>
      <c r="X48" s="3">
        <v>212.417</v>
      </c>
      <c r="Y48" s="3">
        <v>253.79</v>
      </c>
    </row>
    <row r="49" spans="1:25" s="3" customFormat="1" x14ac:dyDescent="0.3">
      <c r="A49" s="6" t="s">
        <v>67</v>
      </c>
      <c r="C49" s="3">
        <v>181.93700000000001</v>
      </c>
      <c r="G49" s="3">
        <v>211.37100000000001</v>
      </c>
      <c r="H49" s="3">
        <v>170.83500000000001</v>
      </c>
      <c r="K49" s="3">
        <v>176.114</v>
      </c>
      <c r="O49" s="3">
        <v>190.01400000000001</v>
      </c>
      <c r="P49" s="3">
        <v>192.83199999999999</v>
      </c>
      <c r="V49" s="3">
        <v>181.93700000000001</v>
      </c>
      <c r="W49" s="3">
        <v>211.37100000000001</v>
      </c>
      <c r="X49" s="3">
        <v>176.114</v>
      </c>
      <c r="Y49" s="3">
        <v>190.01400000000001</v>
      </c>
    </row>
    <row r="50" spans="1:25" s="3" customFormat="1" x14ac:dyDescent="0.3">
      <c r="A50" s="6" t="s">
        <v>68</v>
      </c>
      <c r="C50" s="3">
        <v>42.643000000000001</v>
      </c>
      <c r="G50" s="3">
        <v>45.466999999999999</v>
      </c>
      <c r="H50" s="3">
        <v>40.698</v>
      </c>
      <c r="K50" s="3">
        <v>50.951999999999998</v>
      </c>
      <c r="O50" s="3">
        <v>55.738</v>
      </c>
      <c r="P50" s="3">
        <v>55.219000000000001</v>
      </c>
      <c r="V50" s="3">
        <v>42.643000000000001</v>
      </c>
      <c r="W50" s="3">
        <v>45.466999999999999</v>
      </c>
      <c r="X50" s="3">
        <v>50.951999999999998</v>
      </c>
      <c r="Y50" s="3">
        <v>55.738</v>
      </c>
    </row>
    <row r="51" spans="1:25" s="3" customFormat="1" x14ac:dyDescent="0.3">
      <c r="A51" s="6" t="s">
        <v>69</v>
      </c>
      <c r="C51" s="3">
        <v>109.89100000000001</v>
      </c>
      <c r="G51" s="3">
        <v>121.514</v>
      </c>
      <c r="H51" s="3">
        <v>68.715000000000003</v>
      </c>
      <c r="K51" s="3">
        <v>97.772000000000006</v>
      </c>
      <c r="O51" s="3">
        <v>98.61</v>
      </c>
      <c r="P51" s="3">
        <v>77.591999999999999</v>
      </c>
      <c r="V51" s="3">
        <v>109.89100000000001</v>
      </c>
      <c r="W51" s="3">
        <v>121.514</v>
      </c>
      <c r="X51" s="3">
        <v>97.772000000000006</v>
      </c>
      <c r="Y51" s="3">
        <v>98.61</v>
      </c>
    </row>
    <row r="52" spans="1:25" s="3" customFormat="1" x14ac:dyDescent="0.3">
      <c r="A52" s="6" t="s">
        <v>70</v>
      </c>
      <c r="C52" s="3">
        <v>181.767</v>
      </c>
      <c r="G52" s="3">
        <v>225.988</v>
      </c>
      <c r="H52" s="3">
        <v>209.155</v>
      </c>
      <c r="K52" s="3">
        <v>197.376</v>
      </c>
      <c r="O52" s="3">
        <v>245.874</v>
      </c>
      <c r="P52" s="3">
        <v>191.47399999999999</v>
      </c>
      <c r="V52" s="3">
        <v>181.767</v>
      </c>
      <c r="W52" s="3">
        <v>225.988</v>
      </c>
      <c r="X52" s="3">
        <v>197.376</v>
      </c>
      <c r="Y52" s="3">
        <v>245.874</v>
      </c>
    </row>
    <row r="53" spans="1:25" s="3" customFormat="1" x14ac:dyDescent="0.3">
      <c r="A53" s="6" t="s">
        <v>71</v>
      </c>
      <c r="C53" s="3">
        <v>86.864999999999995</v>
      </c>
      <c r="G53" s="3">
        <v>87.653999999999996</v>
      </c>
      <c r="H53" s="3">
        <v>86.444000000000003</v>
      </c>
      <c r="K53" s="3">
        <v>91.091999999999999</v>
      </c>
      <c r="O53" s="3">
        <v>101.18899999999999</v>
      </c>
      <c r="P53" s="3">
        <v>100.74</v>
      </c>
      <c r="V53" s="3">
        <v>86.864999999999995</v>
      </c>
      <c r="W53" s="3">
        <v>87.653999999999996</v>
      </c>
      <c r="X53" s="3">
        <v>91.091999999999999</v>
      </c>
      <c r="Y53" s="3">
        <v>101.18899999999999</v>
      </c>
    </row>
    <row r="54" spans="1:25" s="3" customFormat="1" x14ac:dyDescent="0.3">
      <c r="A54" s="6" t="s">
        <v>72</v>
      </c>
      <c r="C54" s="3">
        <v>68.584999999999994</v>
      </c>
      <c r="G54" s="3">
        <v>128.083</v>
      </c>
      <c r="H54" s="3">
        <v>148.268</v>
      </c>
      <c r="K54" s="3">
        <v>246.18</v>
      </c>
      <c r="O54" s="3">
        <v>225.47499999999999</v>
      </c>
      <c r="P54" s="3">
        <v>256.44200000000001</v>
      </c>
      <c r="V54" s="3">
        <v>68.584999999999994</v>
      </c>
      <c r="W54" s="3">
        <v>128.083</v>
      </c>
      <c r="X54" s="3">
        <v>246.18</v>
      </c>
      <c r="Y54" s="3">
        <v>225.47499999999999</v>
      </c>
    </row>
    <row r="55" spans="1:25" s="3" customFormat="1" x14ac:dyDescent="0.3">
      <c r="A55" s="6" t="s">
        <v>73</v>
      </c>
      <c r="C55" s="3">
        <v>233.64400000000001</v>
      </c>
      <c r="G55" s="3">
        <v>258.02300000000002</v>
      </c>
      <c r="H55" s="3">
        <v>129.39400000000001</v>
      </c>
      <c r="K55" s="3">
        <v>139.732</v>
      </c>
      <c r="O55" s="3">
        <v>139.99700000000001</v>
      </c>
      <c r="P55" s="3">
        <v>0</v>
      </c>
      <c r="V55" s="3">
        <v>233.64400000000001</v>
      </c>
      <c r="W55" s="3">
        <v>258.02300000000002</v>
      </c>
      <c r="X55" s="3">
        <v>139.732</v>
      </c>
      <c r="Y55" s="3">
        <v>139.99700000000001</v>
      </c>
    </row>
    <row r="56" spans="1:25" s="15" customFormat="1" x14ac:dyDescent="0.3">
      <c r="A56" s="14" t="s">
        <v>74</v>
      </c>
      <c r="C56" s="15">
        <f t="shared" ref="C56" si="150">SUM(C48:C55)</f>
        <v>1164.2170000000001</v>
      </c>
      <c r="D56" s="15">
        <f t="shared" ref="D56" si="151">SUM(D48:D55)</f>
        <v>0</v>
      </c>
      <c r="E56" s="15">
        <f t="shared" ref="E56" si="152">SUM(E48:E55)</f>
        <v>0</v>
      </c>
      <c r="F56" s="15">
        <f t="shared" ref="F56" si="153">SUM(F48:F55)</f>
        <v>0</v>
      </c>
      <c r="G56" s="15">
        <f t="shared" ref="G56" si="154">SUM(G48:G55)</f>
        <v>1448.1480000000001</v>
      </c>
      <c r="H56" s="15">
        <f t="shared" ref="H56" si="155">SUM(H48:H55)</f>
        <v>1152.501</v>
      </c>
      <c r="K56" s="15">
        <f t="shared" ref="K56:O56" si="156">SUM(K48:K55)</f>
        <v>1211.635</v>
      </c>
      <c r="L56" s="15">
        <f t="shared" si="156"/>
        <v>0</v>
      </c>
      <c r="M56" s="15">
        <f t="shared" si="156"/>
        <v>0</v>
      </c>
      <c r="N56" s="15">
        <f t="shared" si="156"/>
        <v>0</v>
      </c>
      <c r="O56" s="15">
        <f t="shared" si="156"/>
        <v>1310.6869999999999</v>
      </c>
      <c r="P56" s="15">
        <f>SUM(P48:P55)</f>
        <v>1117.386</v>
      </c>
      <c r="Q56" s="15">
        <f t="shared" ref="Q56:S56" si="157">SUM(Q48:Q55)</f>
        <v>0</v>
      </c>
      <c r="R56" s="15">
        <f t="shared" si="157"/>
        <v>0</v>
      </c>
      <c r="S56" s="15">
        <f t="shared" si="157"/>
        <v>0</v>
      </c>
      <c r="V56" s="15">
        <f t="shared" ref="V56" si="158">SUM(V48:V55)</f>
        <v>1164.2170000000001</v>
      </c>
      <c r="W56" s="15">
        <f t="shared" ref="W56" si="159">SUM(W48:W55)</f>
        <v>1448.1480000000001</v>
      </c>
      <c r="X56" s="15">
        <f t="shared" ref="X56" si="160">SUM(X48:X55)</f>
        <v>1211.635</v>
      </c>
      <c r="Y56" s="15">
        <f t="shared" ref="Y56" si="161">SUM(Y48:Y55)</f>
        <v>1310.6869999999999</v>
      </c>
    </row>
    <row r="57" spans="1:25" s="3" customFormat="1" x14ac:dyDescent="0.3">
      <c r="A57" s="6" t="s">
        <v>75</v>
      </c>
      <c r="C57" s="3">
        <v>116.84399999999999</v>
      </c>
      <c r="G57" s="3">
        <v>117.595</v>
      </c>
      <c r="H57" s="3">
        <v>117.649</v>
      </c>
      <c r="K57" s="3">
        <v>129.965</v>
      </c>
      <c r="O57" s="3">
        <v>114.682</v>
      </c>
      <c r="P57" s="3">
        <v>113.932</v>
      </c>
      <c r="V57" s="3">
        <v>116.84399999999999</v>
      </c>
      <c r="W57" s="3">
        <v>117.595</v>
      </c>
      <c r="X57" s="3">
        <v>129.965</v>
      </c>
      <c r="Y57" s="3">
        <v>114.682</v>
      </c>
    </row>
    <row r="58" spans="1:25" s="3" customFormat="1" x14ac:dyDescent="0.3">
      <c r="A58" s="6" t="s">
        <v>72</v>
      </c>
      <c r="C58" s="3">
        <v>92.81</v>
      </c>
      <c r="G58" s="3">
        <v>62.539000000000001</v>
      </c>
      <c r="H58" s="3">
        <v>62.731999999999999</v>
      </c>
      <c r="K58" s="3">
        <v>34.627000000000002</v>
      </c>
      <c r="O58" s="3">
        <v>16.521000000000001</v>
      </c>
      <c r="P58" s="3">
        <v>16.128</v>
      </c>
      <c r="V58" s="3">
        <v>92.81</v>
      </c>
      <c r="W58" s="3">
        <v>62.539000000000001</v>
      </c>
      <c r="X58" s="3">
        <v>34.627000000000002</v>
      </c>
      <c r="Y58" s="3">
        <v>16.521000000000001</v>
      </c>
    </row>
    <row r="59" spans="1:25" s="3" customFormat="1" x14ac:dyDescent="0.3">
      <c r="A59" s="6" t="s">
        <v>71</v>
      </c>
      <c r="C59" s="3">
        <v>49.933999999999997</v>
      </c>
      <c r="G59" s="3">
        <v>41.618000000000002</v>
      </c>
      <c r="H59" s="3">
        <v>39.061</v>
      </c>
      <c r="K59" s="3">
        <v>35.701999999999998</v>
      </c>
      <c r="O59" s="3">
        <v>36.148000000000003</v>
      </c>
      <c r="P59" s="3">
        <v>33.927999999999997</v>
      </c>
      <c r="V59" s="3">
        <v>49.933999999999997</v>
      </c>
      <c r="W59" s="3">
        <v>41.618000000000002</v>
      </c>
      <c r="X59" s="3">
        <v>35.701999999999998</v>
      </c>
      <c r="Y59" s="3">
        <v>36.148000000000003</v>
      </c>
    </row>
    <row r="60" spans="1:25" s="3" customFormat="1" x14ac:dyDescent="0.3">
      <c r="A60" s="6" t="s">
        <v>59</v>
      </c>
      <c r="C60" s="3">
        <v>75.957999999999998</v>
      </c>
      <c r="G60" s="3">
        <v>70.043999999999997</v>
      </c>
      <c r="H60" s="3">
        <v>82.126999999999995</v>
      </c>
      <c r="K60" s="3">
        <v>114.541</v>
      </c>
      <c r="O60" s="3">
        <v>113.035</v>
      </c>
      <c r="P60" s="3">
        <v>105.85899999999999</v>
      </c>
      <c r="V60" s="3">
        <v>75.957999999999998</v>
      </c>
      <c r="W60" s="3">
        <v>70.043999999999997</v>
      </c>
      <c r="X60" s="3">
        <v>114.541</v>
      </c>
      <c r="Y60" s="3">
        <v>113.035</v>
      </c>
    </row>
    <row r="61" spans="1:25" s="3" customFormat="1" x14ac:dyDescent="0.3">
      <c r="A61" s="6" t="s">
        <v>76</v>
      </c>
      <c r="C61" s="3">
        <v>15.494</v>
      </c>
      <c r="G61" s="3">
        <v>0.32400000000000001</v>
      </c>
      <c r="H61" s="3">
        <v>0.33700000000000002</v>
      </c>
      <c r="K61" s="3">
        <v>0.36</v>
      </c>
      <c r="O61" s="3">
        <v>0.436</v>
      </c>
      <c r="P61" s="3">
        <v>0.55000000000000004</v>
      </c>
      <c r="V61" s="3">
        <v>15.494</v>
      </c>
      <c r="W61" s="3">
        <v>0.32400000000000001</v>
      </c>
      <c r="X61" s="3">
        <v>0.36</v>
      </c>
      <c r="Y61" s="3">
        <v>0.436</v>
      </c>
    </row>
    <row r="62" spans="1:25" s="15" customFormat="1" x14ac:dyDescent="0.3">
      <c r="A62" s="14" t="s">
        <v>77</v>
      </c>
      <c r="C62" s="15">
        <f t="shared" ref="C62" si="162">SUM(C57:C61)+C56</f>
        <v>1515.2570000000001</v>
      </c>
      <c r="D62" s="15">
        <f t="shared" ref="D62" si="163">SUM(D57:D61)+D56</f>
        <v>0</v>
      </c>
      <c r="E62" s="15">
        <f t="shared" ref="E62" si="164">SUM(E57:E61)+E56</f>
        <v>0</v>
      </c>
      <c r="F62" s="15">
        <f t="shared" ref="F62" si="165">SUM(F57:F61)+F56</f>
        <v>0</v>
      </c>
      <c r="G62" s="15">
        <f t="shared" ref="G62" si="166">SUM(G57:G61)+G56</f>
        <v>1740.268</v>
      </c>
      <c r="H62" s="15">
        <f t="shared" ref="H62" si="167">SUM(H57:H61)+H56</f>
        <v>1454.4069999999999</v>
      </c>
      <c r="K62" s="15">
        <f t="shared" ref="K62:O62" si="168">SUM(K57:K61)+K56</f>
        <v>1526.83</v>
      </c>
      <c r="L62" s="15">
        <f t="shared" si="168"/>
        <v>0</v>
      </c>
      <c r="M62" s="15">
        <f t="shared" si="168"/>
        <v>0</v>
      </c>
      <c r="N62" s="15">
        <f t="shared" si="168"/>
        <v>0</v>
      </c>
      <c r="O62" s="15">
        <f t="shared" si="168"/>
        <v>1591.5089999999998</v>
      </c>
      <c r="P62" s="15">
        <f>SUM(P57:P61)+P56</f>
        <v>1387.7829999999999</v>
      </c>
      <c r="Q62" s="15">
        <f t="shared" ref="Q62:S62" si="169">SUM(Q57:Q61)+Q56</f>
        <v>0</v>
      </c>
      <c r="R62" s="15">
        <f t="shared" si="169"/>
        <v>0</v>
      </c>
      <c r="S62" s="15">
        <f t="shared" si="169"/>
        <v>0</v>
      </c>
      <c r="V62" s="15">
        <f t="shared" ref="V62" si="170">SUM(V57:V61)+V56</f>
        <v>1515.2570000000001</v>
      </c>
      <c r="W62" s="15">
        <f t="shared" ref="W62" si="171">SUM(W57:W61)+W56</f>
        <v>1740.268</v>
      </c>
      <c r="X62" s="15">
        <f t="shared" ref="X62" si="172">SUM(X57:X61)+X56</f>
        <v>1526.83</v>
      </c>
      <c r="Y62" s="15">
        <f t="shared" ref="Y62" si="173">SUM(Y57:Y61)+Y56</f>
        <v>1591.5089999999998</v>
      </c>
    </row>
    <row r="63" spans="1:25" s="3" customFormat="1" x14ac:dyDescent="0.3">
      <c r="A63" s="6" t="s">
        <v>78</v>
      </c>
      <c r="C63" s="3">
        <v>5516.116</v>
      </c>
      <c r="G63" s="3">
        <v>6114.1589999999997</v>
      </c>
      <c r="H63" s="3">
        <v>6248.8419999999996</v>
      </c>
      <c r="K63" s="3">
        <v>6204.34</v>
      </c>
      <c r="O63" s="3">
        <v>7012.06</v>
      </c>
      <c r="P63" s="3">
        <v>7246.0969999999998</v>
      </c>
      <c r="V63" s="3">
        <v>5516.116</v>
      </c>
      <c r="W63" s="3">
        <v>6114.1589999999997</v>
      </c>
      <c r="X63" s="3">
        <v>6204.34</v>
      </c>
      <c r="Y63" s="3">
        <v>7012.06</v>
      </c>
    </row>
    <row r="64" spans="1:25" s="15" customFormat="1" x14ac:dyDescent="0.3">
      <c r="A64" s="14" t="s">
        <v>79</v>
      </c>
      <c r="C64" s="15">
        <f t="shared" ref="C64" si="174">C63+C62</f>
        <v>7031.3729999999996</v>
      </c>
      <c r="D64" s="15">
        <f t="shared" ref="D64" si="175">D63+D62</f>
        <v>0</v>
      </c>
      <c r="E64" s="15">
        <f t="shared" ref="E64" si="176">E63+E62</f>
        <v>0</v>
      </c>
      <c r="F64" s="15">
        <f t="shared" ref="F64" si="177">F63+F62</f>
        <v>0</v>
      </c>
      <c r="G64" s="15">
        <f t="shared" ref="G64" si="178">G63+G62</f>
        <v>7854.4269999999997</v>
      </c>
      <c r="H64" s="15">
        <f t="shared" ref="H64" si="179">H63+H62</f>
        <v>7703.2489999999998</v>
      </c>
      <c r="K64" s="15">
        <f t="shared" ref="K64:O64" si="180">K63+K62</f>
        <v>7731.17</v>
      </c>
      <c r="L64" s="15">
        <f t="shared" si="180"/>
        <v>0</v>
      </c>
      <c r="M64" s="15">
        <f t="shared" si="180"/>
        <v>0</v>
      </c>
      <c r="N64" s="15">
        <f t="shared" si="180"/>
        <v>0</v>
      </c>
      <c r="O64" s="15">
        <f t="shared" si="180"/>
        <v>8603.5689999999995</v>
      </c>
      <c r="P64" s="15">
        <f>P63+P62</f>
        <v>8633.8799999999992</v>
      </c>
      <c r="Q64" s="15">
        <f t="shared" ref="Q64:S64" si="181">Q63+Q62</f>
        <v>0</v>
      </c>
      <c r="R64" s="15">
        <f t="shared" si="181"/>
        <v>0</v>
      </c>
      <c r="S64" s="15">
        <f t="shared" si="181"/>
        <v>0</v>
      </c>
      <c r="V64" s="15">
        <f t="shared" ref="V64" si="182">V63+V62</f>
        <v>7031.3729999999996</v>
      </c>
      <c r="W64" s="15">
        <f t="shared" ref="W64" si="183">W63+W62</f>
        <v>7854.4269999999997</v>
      </c>
      <c r="X64" s="15">
        <f t="shared" ref="X64" si="184">X63+X62</f>
        <v>7731.17</v>
      </c>
      <c r="Y64" s="15">
        <f t="shared" ref="Y64" si="185">Y63+Y62</f>
        <v>8603.5689999999995</v>
      </c>
    </row>
    <row r="66" spans="1:17" x14ac:dyDescent="0.3">
      <c r="A66" s="7" t="s">
        <v>89</v>
      </c>
      <c r="C66" s="3">
        <f t="shared" ref="C66:K66" si="186">C17</f>
        <v>0</v>
      </c>
      <c r="D66" s="3">
        <f t="shared" si="186"/>
        <v>0</v>
      </c>
      <c r="E66" s="3">
        <f t="shared" si="186"/>
        <v>0</v>
      </c>
      <c r="F66" s="3">
        <f t="shared" si="186"/>
        <v>0</v>
      </c>
      <c r="G66" s="3">
        <f t="shared" si="186"/>
        <v>0</v>
      </c>
      <c r="H66" s="3">
        <f t="shared" si="186"/>
        <v>211.59200000000004</v>
      </c>
      <c r="I66" s="3">
        <f t="shared" si="186"/>
        <v>257.8730000000001</v>
      </c>
      <c r="J66" s="3">
        <f t="shared" si="186"/>
        <v>210.84800000000004</v>
      </c>
      <c r="K66" s="3">
        <f t="shared" si="186"/>
        <v>293.27200000000011</v>
      </c>
      <c r="L66" s="3">
        <f t="shared" ref="L66:O66" si="187">L17</f>
        <v>202.32699999999997</v>
      </c>
      <c r="M66" s="3">
        <f t="shared" si="187"/>
        <v>287.93900000000014</v>
      </c>
      <c r="N66" s="3">
        <f t="shared" si="187"/>
        <v>257.24299999999994</v>
      </c>
      <c r="O66" s="3">
        <f t="shared" si="187"/>
        <v>542.125</v>
      </c>
      <c r="P66" s="3">
        <f>P17</f>
        <v>275.96099999999984</v>
      </c>
      <c r="Q66" s="3"/>
    </row>
    <row r="67" spans="1:17" s="3" customFormat="1" x14ac:dyDescent="0.3">
      <c r="A67" s="6" t="s">
        <v>90</v>
      </c>
      <c r="P67" s="3">
        <v>275.96100000000001</v>
      </c>
    </row>
    <row r="68" spans="1:17" s="3" customFormat="1" x14ac:dyDescent="0.3">
      <c r="A68" s="6" t="s">
        <v>91</v>
      </c>
      <c r="P68" s="3">
        <v>33.892000000000003</v>
      </c>
    </row>
    <row r="69" spans="1:17" s="3" customFormat="1" x14ac:dyDescent="0.3">
      <c r="A69" s="6" t="s">
        <v>92</v>
      </c>
      <c r="P69" s="3">
        <v>10.933</v>
      </c>
    </row>
    <row r="70" spans="1:17" s="3" customFormat="1" x14ac:dyDescent="0.3">
      <c r="A70" s="6" t="s">
        <v>93</v>
      </c>
      <c r="P70" s="3">
        <v>-1.2E-2</v>
      </c>
    </row>
    <row r="71" spans="1:17" s="3" customFormat="1" x14ac:dyDescent="0.3">
      <c r="A71" s="6" t="s">
        <v>94</v>
      </c>
      <c r="P71" s="3">
        <v>2.9740000000000002</v>
      </c>
    </row>
    <row r="72" spans="1:17" s="3" customFormat="1" x14ac:dyDescent="0.3">
      <c r="A72" s="6" t="s">
        <v>61</v>
      </c>
      <c r="P72" s="3">
        <v>-9.6110000000000007</v>
      </c>
    </row>
    <row r="73" spans="1:17" s="3" customFormat="1" x14ac:dyDescent="0.3">
      <c r="A73" s="6" t="s">
        <v>95</v>
      </c>
      <c r="P73" s="3">
        <v>30.719000000000001</v>
      </c>
    </row>
    <row r="74" spans="1:17" s="3" customFormat="1" x14ac:dyDescent="0.3">
      <c r="A74" s="6" t="s">
        <v>96</v>
      </c>
      <c r="P74" s="3">
        <v>0</v>
      </c>
    </row>
    <row r="75" spans="1:17" s="3" customFormat="1" x14ac:dyDescent="0.3">
      <c r="A75" s="6" t="s">
        <v>53</v>
      </c>
      <c r="P75" s="3">
        <v>108.453</v>
      </c>
    </row>
    <row r="76" spans="1:17" s="3" customFormat="1" x14ac:dyDescent="0.3">
      <c r="A76" s="6" t="s">
        <v>54</v>
      </c>
      <c r="P76" s="3">
        <v>16.545000000000002</v>
      </c>
    </row>
    <row r="77" spans="1:17" s="3" customFormat="1" x14ac:dyDescent="0.3">
      <c r="A77" s="6" t="s">
        <v>97</v>
      </c>
      <c r="P77" s="3">
        <v>2.117</v>
      </c>
    </row>
    <row r="78" spans="1:17" s="3" customFormat="1" x14ac:dyDescent="0.3">
      <c r="A78" s="6" t="s">
        <v>66</v>
      </c>
      <c r="P78" s="3">
        <v>-1.2809999999999999</v>
      </c>
    </row>
    <row r="79" spans="1:17" s="3" customFormat="1" x14ac:dyDescent="0.3">
      <c r="A79" s="6" t="s">
        <v>98</v>
      </c>
      <c r="P79" s="3">
        <v>-64.698999999999998</v>
      </c>
    </row>
    <row r="80" spans="1:17" s="3" customFormat="1" x14ac:dyDescent="0.3">
      <c r="A80" s="6" t="s">
        <v>99</v>
      </c>
      <c r="P80" s="3">
        <v>-2.5489999999999999</v>
      </c>
    </row>
    <row r="81" spans="1:16" s="3" customFormat="1" x14ac:dyDescent="0.3">
      <c r="A81" s="6" t="s">
        <v>55</v>
      </c>
      <c r="P81" s="3">
        <v>-1.4510000000000001</v>
      </c>
    </row>
    <row r="82" spans="1:16" s="3" customFormat="1" x14ac:dyDescent="0.3">
      <c r="A82" s="6" t="s">
        <v>100</v>
      </c>
      <c r="P82" s="3">
        <v>33.314</v>
      </c>
    </row>
    <row r="83" spans="1:16" s="15" customFormat="1" x14ac:dyDescent="0.3">
      <c r="A83" s="14" t="s">
        <v>101</v>
      </c>
      <c r="P83" s="15">
        <f>SUM(P67:P82)</f>
        <v>435.30500000000001</v>
      </c>
    </row>
    <row r="84" spans="1:16" s="3" customFormat="1" x14ac:dyDescent="0.3">
      <c r="A84" s="6" t="s">
        <v>102</v>
      </c>
      <c r="P84" s="3">
        <v>-33.167999999999999</v>
      </c>
    </row>
    <row r="85" spans="1:16" s="3" customFormat="1" x14ac:dyDescent="0.3">
      <c r="A85" s="6" t="s">
        <v>103</v>
      </c>
      <c r="P85" s="3">
        <v>-85.626000000000005</v>
      </c>
    </row>
    <row r="86" spans="1:16" s="3" customFormat="1" x14ac:dyDescent="0.3">
      <c r="A86" s="6" t="s">
        <v>104</v>
      </c>
      <c r="P86" s="3">
        <v>77.131</v>
      </c>
    </row>
    <row r="87" spans="1:16" s="3" customFormat="1" x14ac:dyDescent="0.3">
      <c r="A87" s="6" t="s">
        <v>105</v>
      </c>
      <c r="P87" s="3">
        <v>5.0110000000000001</v>
      </c>
    </row>
    <row r="88" spans="1:16" s="3" customFormat="1" x14ac:dyDescent="0.3">
      <c r="A88" s="6" t="s">
        <v>106</v>
      </c>
      <c r="P88" s="3">
        <v>-0.223</v>
      </c>
    </row>
    <row r="89" spans="1:16" s="15" customFormat="1" x14ac:dyDescent="0.3">
      <c r="A89" s="14" t="s">
        <v>107</v>
      </c>
      <c r="P89" s="15">
        <f>SUM(P84:P88)</f>
        <v>-36.875000000000007</v>
      </c>
    </row>
    <row r="90" spans="1:16" s="3" customFormat="1" x14ac:dyDescent="0.3">
      <c r="A90" s="6" t="s">
        <v>108</v>
      </c>
      <c r="P90" s="3">
        <v>-140.21199999999999</v>
      </c>
    </row>
    <row r="91" spans="1:16" s="3" customFormat="1" x14ac:dyDescent="0.3">
      <c r="A91" s="6" t="s">
        <v>109</v>
      </c>
      <c r="P91" s="3">
        <v>-15.987</v>
      </c>
    </row>
    <row r="92" spans="1:16" s="3" customFormat="1" x14ac:dyDescent="0.3">
      <c r="A92" s="6" t="s">
        <v>110</v>
      </c>
      <c r="P92" s="3">
        <v>0</v>
      </c>
    </row>
    <row r="93" spans="1:16" s="15" customFormat="1" x14ac:dyDescent="0.3">
      <c r="A93" s="14" t="s">
        <v>107</v>
      </c>
      <c r="P93" s="15">
        <f>SUM(P90:P92)</f>
        <v>-156.19899999999998</v>
      </c>
    </row>
    <row r="94" spans="1:16" s="3" customFormat="1" x14ac:dyDescent="0.3">
      <c r="A94" s="6" t="s">
        <v>111</v>
      </c>
      <c r="P94" s="3">
        <v>-13.913</v>
      </c>
    </row>
    <row r="95" spans="1:16" s="3" customFormat="1" x14ac:dyDescent="0.3">
      <c r="A95" s="6" t="s">
        <v>112</v>
      </c>
      <c r="P95" s="3">
        <v>228.31800000000001</v>
      </c>
    </row>
    <row r="96" spans="1:16" s="3" customFormat="1" x14ac:dyDescent="0.3">
      <c r="A96" s="6" t="s">
        <v>113</v>
      </c>
      <c r="P96" s="3">
        <v>1694.1559999999999</v>
      </c>
    </row>
    <row r="97" spans="1:16" s="13" customFormat="1" x14ac:dyDescent="0.3">
      <c r="A97" s="12" t="s">
        <v>114</v>
      </c>
      <c r="P97" s="13">
        <f>SUM(P95:P96)</f>
        <v>1922.4739999999999</v>
      </c>
    </row>
    <row r="99" spans="1:16" s="35" customFormat="1" x14ac:dyDescent="0.3">
      <c r="A99" s="34" t="s">
        <v>115</v>
      </c>
      <c r="P99" s="20">
        <f>P93+P89+P83</f>
        <v>242.23100000000002</v>
      </c>
    </row>
    <row r="100" spans="1:16" s="37" customFormat="1" x14ac:dyDescent="0.3">
      <c r="A100" s="36" t="s">
        <v>116</v>
      </c>
      <c r="P100" s="23">
        <f>P83+P84</f>
        <v>402.137</v>
      </c>
    </row>
  </sheetData>
  <phoneticPr fontId="2" type="noConversion"/>
  <hyperlinks>
    <hyperlink ref="A1" location="Main!A1" display="Main" xr:uid="{F11DAF57-F530-4668-9C6A-3624BEB892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2024-04-17T23:07:06Z</dcterms:created>
  <dcterms:modified xsi:type="dcterms:W3CDTF">2024-06-04T01:44:14Z</dcterms:modified>
</cp:coreProperties>
</file>