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057fd7477d87051/Desktop/Kaupandi ehf/Greiningar/US/"/>
    </mc:Choice>
  </mc:AlternateContent>
  <xr:revisionPtr revIDLastSave="1274" documentId="8_{62B06EE6-04CF-4CE6-B9D9-5228329492F5}" xr6:coauthVersionLast="47" xr6:coauthVersionMax="47" xr10:uidLastSave="{7B7B4BB3-FA9B-4D84-ACA4-C94F0473B2C7}"/>
  <bookViews>
    <workbookView xWindow="-108" yWindow="-108" windowWidth="30936" windowHeight="17496" activeTab="1" xr2:uid="{8AE3CAB9-1DDD-4C7A-BCF0-E281925CF4F9}"/>
  </bookViews>
  <sheets>
    <sheet name="Main" sheetId="2" r:id="rId1"/>
    <sheet name="Mod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2" i="1" l="1"/>
  <c r="AJ38" i="1"/>
  <c r="AI38" i="1"/>
  <c r="AH38" i="1"/>
  <c r="AG38" i="1"/>
  <c r="AF38" i="1"/>
  <c r="AE38" i="1"/>
  <c r="AD38" i="1"/>
  <c r="AC38" i="1"/>
  <c r="AB38" i="1"/>
  <c r="AA38" i="1"/>
  <c r="Z38" i="1"/>
  <c r="AN47" i="1"/>
  <c r="AN49" i="1" s="1"/>
  <c r="AN50" i="1" s="1"/>
  <c r="AN51" i="1" s="1"/>
  <c r="AL34" i="1"/>
  <c r="AM34" i="1" s="1"/>
  <c r="AN34" i="1" s="1"/>
  <c r="AO34" i="1" s="1"/>
  <c r="AP34" i="1" s="1"/>
  <c r="AQ34" i="1" s="1"/>
  <c r="AR34" i="1" s="1"/>
  <c r="AS34" i="1" s="1"/>
  <c r="AT34" i="1" s="1"/>
  <c r="AU34" i="1" s="1"/>
  <c r="AV34" i="1" s="1"/>
  <c r="AW34" i="1" s="1"/>
  <c r="AX34" i="1" s="1"/>
  <c r="AY34" i="1" s="1"/>
  <c r="AZ34" i="1" s="1"/>
  <c r="BA34" i="1" s="1"/>
  <c r="BB34" i="1" s="1"/>
  <c r="BC34" i="1" s="1"/>
  <c r="BD34" i="1" s="1"/>
  <c r="BE34" i="1" s="1"/>
  <c r="BF34" i="1" s="1"/>
  <c r="BG34" i="1" s="1"/>
  <c r="BH34" i="1" s="1"/>
  <c r="BI34" i="1" s="1"/>
  <c r="BJ34" i="1" s="1"/>
  <c r="BK34" i="1" s="1"/>
  <c r="BL34" i="1" s="1"/>
  <c r="BM34" i="1" s="1"/>
  <c r="BN34" i="1" s="1"/>
  <c r="BO34" i="1" s="1"/>
  <c r="BP34" i="1" s="1"/>
  <c r="BQ34" i="1" s="1"/>
  <c r="BR34" i="1" s="1"/>
  <c r="BS34" i="1" s="1"/>
  <c r="BT34" i="1" s="1"/>
  <c r="BU34" i="1" s="1"/>
  <c r="BV34" i="1" s="1"/>
  <c r="BW34" i="1" s="1"/>
  <c r="BX34" i="1" s="1"/>
  <c r="BY34" i="1" s="1"/>
  <c r="BZ34" i="1" s="1"/>
  <c r="CA34" i="1" s="1"/>
  <c r="CB34" i="1" s="1"/>
  <c r="CC34" i="1" s="1"/>
  <c r="CD34" i="1" s="1"/>
  <c r="CE34" i="1" s="1"/>
  <c r="CF34" i="1" s="1"/>
  <c r="CG34" i="1" s="1"/>
  <c r="CH34" i="1" s="1"/>
  <c r="CI34" i="1" s="1"/>
  <c r="CJ34" i="1" s="1"/>
  <c r="CK34" i="1" s="1"/>
  <c r="CL34" i="1" s="1"/>
  <c r="CM34" i="1" s="1"/>
  <c r="CN34" i="1" s="1"/>
  <c r="CO34" i="1" s="1"/>
  <c r="CP34" i="1" s="1"/>
  <c r="CQ34" i="1" s="1"/>
  <c r="CR34" i="1" s="1"/>
  <c r="CS34" i="1" s="1"/>
  <c r="CT34" i="1" s="1"/>
  <c r="CU34" i="1" s="1"/>
  <c r="CV34" i="1" s="1"/>
  <c r="CW34" i="1" s="1"/>
  <c r="CX34" i="1" s="1"/>
  <c r="CY34" i="1" s="1"/>
  <c r="CZ34" i="1" s="1"/>
  <c r="DA34" i="1" s="1"/>
  <c r="DB34" i="1" s="1"/>
  <c r="DC34" i="1" s="1"/>
  <c r="DD34" i="1" s="1"/>
  <c r="DE34" i="1" s="1"/>
  <c r="DF34" i="1" s="1"/>
  <c r="DG34" i="1" s="1"/>
  <c r="DH34" i="1" s="1"/>
  <c r="DI34" i="1" s="1"/>
  <c r="DJ34" i="1" s="1"/>
  <c r="DK34" i="1" s="1"/>
  <c r="DL34" i="1" s="1"/>
  <c r="DM34" i="1" s="1"/>
  <c r="DN34" i="1" s="1"/>
  <c r="DO34" i="1" s="1"/>
  <c r="DP34" i="1" s="1"/>
  <c r="DQ34" i="1" s="1"/>
  <c r="DR34" i="1" s="1"/>
  <c r="DS34" i="1" s="1"/>
  <c r="DT34" i="1" s="1"/>
  <c r="DU34" i="1" s="1"/>
  <c r="DV34" i="1" s="1"/>
  <c r="DW34" i="1" s="1"/>
  <c r="DX34" i="1" s="1"/>
  <c r="DY34" i="1" s="1"/>
  <c r="DZ34" i="1" s="1"/>
  <c r="EA34" i="1" s="1"/>
  <c r="EB34" i="1" s="1"/>
  <c r="EC34" i="1" s="1"/>
  <c r="ED34" i="1" s="1"/>
  <c r="EE34" i="1" s="1"/>
  <c r="EF34" i="1" s="1"/>
  <c r="EG34" i="1" s="1"/>
  <c r="EH34" i="1" s="1"/>
  <c r="EI34" i="1" s="1"/>
  <c r="EJ34" i="1" s="1"/>
  <c r="EK34" i="1" s="1"/>
  <c r="EL34" i="1" s="1"/>
  <c r="EM34" i="1" s="1"/>
  <c r="EN34" i="1" s="1"/>
  <c r="EO34" i="1" s="1"/>
  <c r="EP34" i="1" s="1"/>
  <c r="EQ34" i="1" s="1"/>
  <c r="ER34" i="1" s="1"/>
  <c r="ES34" i="1" s="1"/>
  <c r="ET34" i="1" s="1"/>
  <c r="EU34" i="1" s="1"/>
  <c r="EV34" i="1" s="1"/>
  <c r="EW34" i="1" s="1"/>
  <c r="EX34" i="1" s="1"/>
  <c r="EY34" i="1" s="1"/>
  <c r="EZ34" i="1" s="1"/>
  <c r="FA34" i="1" s="1"/>
  <c r="FB34" i="1" s="1"/>
  <c r="FC34" i="1" s="1"/>
  <c r="FD34" i="1" s="1"/>
  <c r="FE34" i="1" s="1"/>
  <c r="FF34" i="1" s="1"/>
  <c r="FG34" i="1" s="1"/>
  <c r="FH34" i="1" s="1"/>
  <c r="FI34" i="1" s="1"/>
  <c r="FJ34" i="1" s="1"/>
  <c r="FK34" i="1" s="1"/>
  <c r="FL34" i="1" s="1"/>
  <c r="FM34" i="1" s="1"/>
  <c r="FN34" i="1" s="1"/>
  <c r="FO34" i="1" s="1"/>
  <c r="FP34" i="1" s="1"/>
  <c r="FQ34" i="1" s="1"/>
  <c r="FR34" i="1" s="1"/>
  <c r="FS34" i="1" s="1"/>
  <c r="FT34" i="1" s="1"/>
  <c r="FU34" i="1" s="1"/>
  <c r="FV34" i="1" s="1"/>
  <c r="FW34" i="1" s="1"/>
  <c r="FX34" i="1" s="1"/>
  <c r="FY34" i="1" s="1"/>
  <c r="FZ34" i="1" s="1"/>
  <c r="GA34" i="1" s="1"/>
  <c r="GB34" i="1" s="1"/>
  <c r="GC34" i="1" s="1"/>
  <c r="AK34" i="1"/>
  <c r="AJ13" i="1"/>
  <c r="AI13" i="1"/>
  <c r="AH13" i="1"/>
  <c r="AG13" i="1"/>
  <c r="AF13" i="1"/>
  <c r="AE13" i="1"/>
  <c r="AD13" i="1"/>
  <c r="AC13" i="1"/>
  <c r="AB13" i="1"/>
  <c r="AA13" i="1"/>
  <c r="Z13" i="1"/>
  <c r="AB21" i="1"/>
  <c r="AC21" i="1" s="1"/>
  <c r="AD21" i="1" s="1"/>
  <c r="AE21" i="1" s="1"/>
  <c r="AF21" i="1" s="1"/>
  <c r="AG21" i="1" s="1"/>
  <c r="AH21" i="1" s="1"/>
  <c r="AI21" i="1" s="1"/>
  <c r="AJ21" i="1" s="1"/>
  <c r="AA21" i="1"/>
  <c r="AC31" i="1" l="1"/>
  <c r="AB31" i="1"/>
  <c r="AA31" i="1"/>
  <c r="Z31" i="1"/>
  <c r="Z22" i="1"/>
  <c r="P24" i="1"/>
  <c r="P23" i="1"/>
  <c r="Q23" i="1" s="1"/>
  <c r="P21" i="1"/>
  <c r="Q21" i="1" s="1"/>
  <c r="P20" i="1"/>
  <c r="Q19" i="1"/>
  <c r="P19" i="1"/>
  <c r="J92" i="1"/>
  <c r="I92" i="1"/>
  <c r="H92" i="1"/>
  <c r="G92" i="1"/>
  <c r="F92" i="1"/>
  <c r="E92" i="1"/>
  <c r="D92" i="1"/>
  <c r="C92" i="1"/>
  <c r="Q24" i="1" l="1"/>
  <c r="Z24" i="1" s="1"/>
  <c r="Q20" i="1"/>
  <c r="R20" i="1" s="1"/>
  <c r="S20" i="1" s="1"/>
  <c r="AJ31" i="1"/>
  <c r="R24" i="1"/>
  <c r="S24" i="1" s="1"/>
  <c r="R23" i="1"/>
  <c r="S23" i="1" s="1"/>
  <c r="R21" i="1"/>
  <c r="S21" i="1" s="1"/>
  <c r="R19" i="1"/>
  <c r="S19" i="1" s="1"/>
  <c r="P11" i="1"/>
  <c r="P12" i="1"/>
  <c r="N55" i="1"/>
  <c r="M55" i="1"/>
  <c r="L55" i="1"/>
  <c r="N54" i="1"/>
  <c r="M54" i="1"/>
  <c r="L54" i="1"/>
  <c r="L53" i="1" s="1"/>
  <c r="L69" i="1"/>
  <c r="M69" i="1"/>
  <c r="N69" i="1"/>
  <c r="W31" i="1"/>
  <c r="W28" i="1"/>
  <c r="W26" i="1"/>
  <c r="W24" i="1"/>
  <c r="W23" i="1"/>
  <c r="W22" i="1"/>
  <c r="W21" i="1"/>
  <c r="W20" i="1"/>
  <c r="W19" i="1"/>
  <c r="W16" i="1"/>
  <c r="W15" i="1"/>
  <c r="W14" i="1"/>
  <c r="W13" i="1"/>
  <c r="W12" i="1"/>
  <c r="W11" i="1"/>
  <c r="W9" i="1"/>
  <c r="W8" i="1"/>
  <c r="W7" i="1"/>
  <c r="W5" i="1"/>
  <c r="W4" i="1"/>
  <c r="W3" i="1"/>
  <c r="D17" i="1"/>
  <c r="D6" i="1"/>
  <c r="D10" i="1" s="1"/>
  <c r="E17" i="1"/>
  <c r="E6" i="1"/>
  <c r="E10" i="1" s="1"/>
  <c r="V17" i="1"/>
  <c r="V6" i="1"/>
  <c r="V10" i="1" s="1"/>
  <c r="V40" i="1" s="1"/>
  <c r="F17" i="1"/>
  <c r="F6" i="1"/>
  <c r="F10" i="1" s="1"/>
  <c r="C17" i="1"/>
  <c r="C6" i="1"/>
  <c r="C10" i="1" s="1"/>
  <c r="C40" i="1" s="1"/>
  <c r="G17" i="1"/>
  <c r="G6" i="1"/>
  <c r="G10" i="1" s="1"/>
  <c r="G40" i="1" s="1"/>
  <c r="K55" i="1"/>
  <c r="K54" i="1"/>
  <c r="O55" i="1"/>
  <c r="O54" i="1"/>
  <c r="X87" i="1"/>
  <c r="X86" i="1"/>
  <c r="X84" i="1"/>
  <c r="X83" i="1"/>
  <c r="X82" i="1"/>
  <c r="X81" i="1"/>
  <c r="X79" i="1"/>
  <c r="X78" i="1"/>
  <c r="X77" i="1"/>
  <c r="X76" i="1"/>
  <c r="X75" i="1"/>
  <c r="X74" i="1"/>
  <c r="X73" i="1"/>
  <c r="X71" i="1"/>
  <c r="X70" i="1"/>
  <c r="X68" i="1"/>
  <c r="X67" i="1"/>
  <c r="X66" i="1"/>
  <c r="X65" i="1"/>
  <c r="X63" i="1"/>
  <c r="X62" i="1"/>
  <c r="X61" i="1"/>
  <c r="X60" i="1"/>
  <c r="X59" i="1"/>
  <c r="X58" i="1"/>
  <c r="X57" i="1"/>
  <c r="X56" i="1"/>
  <c r="Y87" i="1"/>
  <c r="Y86" i="1"/>
  <c r="Y84" i="1"/>
  <c r="Y83" i="1"/>
  <c r="Y82" i="1"/>
  <c r="Y81" i="1"/>
  <c r="Y79" i="1"/>
  <c r="Y78" i="1"/>
  <c r="Y77" i="1"/>
  <c r="Y76" i="1"/>
  <c r="Y75" i="1"/>
  <c r="Y74" i="1"/>
  <c r="Y73" i="1"/>
  <c r="Y71" i="1"/>
  <c r="Y70" i="1"/>
  <c r="Y68" i="1"/>
  <c r="Y67" i="1"/>
  <c r="Y66" i="1"/>
  <c r="Y65" i="1"/>
  <c r="Y63" i="1"/>
  <c r="Y62" i="1"/>
  <c r="Y61" i="1"/>
  <c r="Y60" i="1"/>
  <c r="Y59" i="1"/>
  <c r="Y58" i="1"/>
  <c r="Y57" i="1"/>
  <c r="Y56" i="1"/>
  <c r="X28" i="1"/>
  <c r="X26" i="1"/>
  <c r="X24" i="1"/>
  <c r="X23" i="1"/>
  <c r="X22" i="1"/>
  <c r="X21" i="1"/>
  <c r="X20" i="1"/>
  <c r="X19" i="1"/>
  <c r="X16" i="1"/>
  <c r="X15" i="1"/>
  <c r="X14" i="1"/>
  <c r="X13" i="1"/>
  <c r="X12" i="1"/>
  <c r="X11" i="1"/>
  <c r="X9" i="1"/>
  <c r="X8" i="1"/>
  <c r="X7" i="1"/>
  <c r="X5" i="1"/>
  <c r="X4" i="1"/>
  <c r="X3" i="1"/>
  <c r="X31" i="1"/>
  <c r="AH31" i="1" s="1"/>
  <c r="Y31" i="1"/>
  <c r="AI31" i="1" s="1"/>
  <c r="Y28" i="1"/>
  <c r="Y26" i="1"/>
  <c r="Y24" i="1"/>
  <c r="Y23" i="1"/>
  <c r="Y22" i="1"/>
  <c r="Y21" i="1"/>
  <c r="Y20" i="1"/>
  <c r="Y19" i="1"/>
  <c r="Y16" i="1"/>
  <c r="Y15" i="1"/>
  <c r="Y14" i="1"/>
  <c r="Y13" i="1"/>
  <c r="Y12" i="1"/>
  <c r="Y11" i="1"/>
  <c r="Y9" i="1"/>
  <c r="Y8" i="1"/>
  <c r="Y7" i="1"/>
  <c r="Y5" i="1"/>
  <c r="Y4" i="1"/>
  <c r="Y3" i="1"/>
  <c r="K69" i="1"/>
  <c r="X69" i="1" s="1"/>
  <c r="N64" i="1"/>
  <c r="N72" i="1" s="1"/>
  <c r="M64" i="1"/>
  <c r="L64" i="1"/>
  <c r="K64" i="1"/>
  <c r="N88" i="1"/>
  <c r="M88" i="1"/>
  <c r="L88" i="1"/>
  <c r="K88" i="1"/>
  <c r="N80" i="1"/>
  <c r="N85" i="1" s="1"/>
  <c r="M80" i="1"/>
  <c r="M85" i="1" s="1"/>
  <c r="L80" i="1"/>
  <c r="L85" i="1" s="1"/>
  <c r="K80" i="1"/>
  <c r="K85" i="1" s="1"/>
  <c r="O88" i="1"/>
  <c r="O80" i="1"/>
  <c r="O85" i="1" s="1"/>
  <c r="O69" i="1"/>
  <c r="Y69" i="1" s="1"/>
  <c r="O64" i="1"/>
  <c r="H17" i="1"/>
  <c r="H6" i="1"/>
  <c r="H10" i="1" s="1"/>
  <c r="H40" i="1" s="1"/>
  <c r="L17" i="1"/>
  <c r="L6" i="1"/>
  <c r="L10" i="1" s="1"/>
  <c r="P10" i="1" s="1"/>
  <c r="I17" i="1"/>
  <c r="I6" i="1"/>
  <c r="I10" i="1" s="1"/>
  <c r="I40" i="1" s="1"/>
  <c r="M17" i="1"/>
  <c r="M6" i="1"/>
  <c r="M10" i="1" s="1"/>
  <c r="J17" i="1"/>
  <c r="J6" i="1"/>
  <c r="J10" i="1" s="1"/>
  <c r="N17" i="1"/>
  <c r="N6" i="1"/>
  <c r="N10" i="1" s="1"/>
  <c r="K17" i="1"/>
  <c r="K6" i="1"/>
  <c r="K10" i="1" s="1"/>
  <c r="K40" i="1" s="1"/>
  <c r="O17" i="1"/>
  <c r="O6" i="1"/>
  <c r="O10" i="1" s="1"/>
  <c r="S10" i="1" s="1"/>
  <c r="S11" i="1" s="1"/>
  <c r="L3" i="2"/>
  <c r="S13" i="1" l="1"/>
  <c r="AG31" i="1"/>
  <c r="AF31" i="1"/>
  <c r="AD31" i="1"/>
  <c r="AE31" i="1"/>
  <c r="S12" i="1"/>
  <c r="S17" i="1" s="1"/>
  <c r="S18" i="1" s="1"/>
  <c r="Z20" i="1"/>
  <c r="AA24" i="1"/>
  <c r="AB24" i="1" s="1"/>
  <c r="P14" i="1"/>
  <c r="P37" i="1"/>
  <c r="P38" i="1"/>
  <c r="P16" i="1"/>
  <c r="P40" i="1" s="1"/>
  <c r="P15" i="1"/>
  <c r="AA20" i="1"/>
  <c r="AB20" i="1" s="1"/>
  <c r="AC20" i="1" s="1"/>
  <c r="AD20" i="1" s="1"/>
  <c r="AE20" i="1" s="1"/>
  <c r="AF20" i="1" s="1"/>
  <c r="AG20" i="1" s="1"/>
  <c r="AH20" i="1" s="1"/>
  <c r="AI20" i="1" s="1"/>
  <c r="AJ20" i="1" s="1"/>
  <c r="Z23" i="1"/>
  <c r="AA23" i="1" s="1"/>
  <c r="N93" i="1"/>
  <c r="Z19" i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Z21" i="1"/>
  <c r="N40" i="1"/>
  <c r="R10" i="1"/>
  <c r="S38" i="1" s="1"/>
  <c r="S14" i="1"/>
  <c r="S40" i="1" s="1"/>
  <c r="S15" i="1"/>
  <c r="S16" i="1"/>
  <c r="S37" i="1"/>
  <c r="M40" i="1"/>
  <c r="Q10" i="1"/>
  <c r="AA22" i="1"/>
  <c r="P13" i="1"/>
  <c r="P17" i="1"/>
  <c r="P18" i="1" s="1"/>
  <c r="P41" i="1" s="1"/>
  <c r="N53" i="1"/>
  <c r="K92" i="1"/>
  <c r="L92" i="1"/>
  <c r="M92" i="1"/>
  <c r="N92" i="1"/>
  <c r="J38" i="1"/>
  <c r="L72" i="1"/>
  <c r="L93" i="1" s="1"/>
  <c r="M53" i="1"/>
  <c r="M72" i="1"/>
  <c r="M93" i="1" s="1"/>
  <c r="W17" i="1"/>
  <c r="O53" i="1"/>
  <c r="X80" i="1"/>
  <c r="X85" i="1" s="1"/>
  <c r="X17" i="1"/>
  <c r="O38" i="1"/>
  <c r="X88" i="1"/>
  <c r="W10" i="1"/>
  <c r="W37" i="1" s="1"/>
  <c r="Y88" i="1"/>
  <c r="L37" i="1"/>
  <c r="K53" i="1"/>
  <c r="X54" i="1"/>
  <c r="L40" i="1"/>
  <c r="W6" i="1"/>
  <c r="D18" i="1"/>
  <c r="D40" i="1"/>
  <c r="E40" i="1"/>
  <c r="E18" i="1"/>
  <c r="V18" i="1"/>
  <c r="V41" i="1" s="1"/>
  <c r="Y17" i="1"/>
  <c r="J40" i="1"/>
  <c r="I38" i="1"/>
  <c r="X6" i="1"/>
  <c r="Y55" i="1"/>
  <c r="Y10" i="1"/>
  <c r="K38" i="1"/>
  <c r="Y64" i="1"/>
  <c r="Y80" i="1"/>
  <c r="Y85" i="1" s="1"/>
  <c r="X55" i="1"/>
  <c r="X10" i="1"/>
  <c r="X64" i="1"/>
  <c r="Y54" i="1"/>
  <c r="Y6" i="1"/>
  <c r="O37" i="1"/>
  <c r="N38" i="1"/>
  <c r="N37" i="1"/>
  <c r="O40" i="1"/>
  <c r="M38" i="1"/>
  <c r="L38" i="1"/>
  <c r="M37" i="1"/>
  <c r="F40" i="1"/>
  <c r="F18" i="1"/>
  <c r="C18" i="1"/>
  <c r="C34" i="1" s="1"/>
  <c r="G18" i="1"/>
  <c r="O89" i="1"/>
  <c r="O72" i="1"/>
  <c r="L89" i="1"/>
  <c r="M89" i="1"/>
  <c r="N89" i="1"/>
  <c r="K72" i="1"/>
  <c r="O18" i="1"/>
  <c r="K89" i="1"/>
  <c r="H18" i="1"/>
  <c r="L18" i="1"/>
  <c r="I18" i="1"/>
  <c r="M18" i="1"/>
  <c r="J18" i="1"/>
  <c r="N18" i="1"/>
  <c r="K18" i="1"/>
  <c r="AC24" i="1" l="1"/>
  <c r="AD24" i="1"/>
  <c r="AE24" i="1" s="1"/>
  <c r="AC22" i="1"/>
  <c r="AB23" i="1"/>
  <c r="Z14" i="1"/>
  <c r="AB22" i="1"/>
  <c r="Y89" i="1"/>
  <c r="Q14" i="1"/>
  <c r="Q37" i="1"/>
  <c r="Q38" i="1"/>
  <c r="Q15" i="1"/>
  <c r="Q16" i="1"/>
  <c r="Z16" i="1" s="1"/>
  <c r="Q11" i="1"/>
  <c r="Q40" i="1" s="1"/>
  <c r="Q12" i="1"/>
  <c r="Q13" i="1"/>
  <c r="R11" i="1"/>
  <c r="R14" i="1"/>
  <c r="R38" i="1"/>
  <c r="R15" i="1"/>
  <c r="Z15" i="1" s="1"/>
  <c r="R13" i="1"/>
  <c r="R16" i="1"/>
  <c r="R37" i="1"/>
  <c r="R12" i="1"/>
  <c r="Z10" i="1"/>
  <c r="S34" i="1"/>
  <c r="S41" i="1"/>
  <c r="S25" i="1"/>
  <c r="P34" i="1"/>
  <c r="P25" i="1"/>
  <c r="I34" i="1"/>
  <c r="L34" i="1"/>
  <c r="L49" i="1"/>
  <c r="G34" i="1"/>
  <c r="H34" i="1"/>
  <c r="K34" i="1"/>
  <c r="K91" i="1"/>
  <c r="O34" i="1"/>
  <c r="M34" i="1"/>
  <c r="M49" i="1"/>
  <c r="N34" i="1"/>
  <c r="N49" i="1"/>
  <c r="F34" i="1"/>
  <c r="Y72" i="1"/>
  <c r="O93" i="1"/>
  <c r="O49" i="1" s="1"/>
  <c r="X72" i="1"/>
  <c r="K93" i="1"/>
  <c r="K49" i="1" s="1"/>
  <c r="J34" i="1"/>
  <c r="Y53" i="1"/>
  <c r="X89" i="1"/>
  <c r="X53" i="1"/>
  <c r="Y37" i="1"/>
  <c r="W40" i="1"/>
  <c r="V25" i="1"/>
  <c r="V27" i="1" s="1"/>
  <c r="V29" i="1" s="1"/>
  <c r="V34" i="1"/>
  <c r="X40" i="1"/>
  <c r="X37" i="1"/>
  <c r="W18" i="1"/>
  <c r="D41" i="1"/>
  <c r="D25" i="1"/>
  <c r="D34" i="1"/>
  <c r="E25" i="1"/>
  <c r="E34" i="1"/>
  <c r="E41" i="1"/>
  <c r="Y40" i="1"/>
  <c r="J25" i="1"/>
  <c r="J43" i="1" s="1"/>
  <c r="J91" i="1" s="1"/>
  <c r="J41" i="1"/>
  <c r="C25" i="1"/>
  <c r="C41" i="1"/>
  <c r="M25" i="1"/>
  <c r="M41" i="1"/>
  <c r="L25" i="1"/>
  <c r="L41" i="1"/>
  <c r="Y18" i="1"/>
  <c r="O25" i="1"/>
  <c r="O41" i="1"/>
  <c r="G25" i="1"/>
  <c r="G41" i="1"/>
  <c r="I25" i="1"/>
  <c r="I41" i="1"/>
  <c r="K25" i="1"/>
  <c r="K27" i="1" s="1"/>
  <c r="K29" i="1" s="1"/>
  <c r="K41" i="1"/>
  <c r="N25" i="1"/>
  <c r="N41" i="1"/>
  <c r="H25" i="1"/>
  <c r="X18" i="1"/>
  <c r="H41" i="1"/>
  <c r="F25" i="1"/>
  <c r="F27" i="1" s="1"/>
  <c r="F41" i="1"/>
  <c r="AA10" i="1" l="1"/>
  <c r="Z37" i="1"/>
  <c r="R17" i="1"/>
  <c r="R18" i="1" s="1"/>
  <c r="R40" i="1"/>
  <c r="AF24" i="1"/>
  <c r="AD22" i="1"/>
  <c r="Z11" i="1"/>
  <c r="Z17" i="1" s="1"/>
  <c r="Z18" i="1" s="1"/>
  <c r="Q17" i="1"/>
  <c r="Q18" i="1" s="1"/>
  <c r="AC23" i="1"/>
  <c r="Z12" i="1"/>
  <c r="S26" i="1"/>
  <c r="S43" i="1" s="1"/>
  <c r="S27" i="1"/>
  <c r="S29" i="1" s="1"/>
  <c r="P26" i="1"/>
  <c r="O27" i="1"/>
  <c r="O29" i="1" s="1"/>
  <c r="O30" i="1" s="1"/>
  <c r="O33" i="1" s="1"/>
  <c r="O43" i="1"/>
  <c r="O91" i="1" s="1"/>
  <c r="V43" i="1"/>
  <c r="J27" i="1"/>
  <c r="J29" i="1" s="1"/>
  <c r="W25" i="1"/>
  <c r="W43" i="1" s="1"/>
  <c r="Y41" i="1"/>
  <c r="Y34" i="1"/>
  <c r="X41" i="1"/>
  <c r="X34" i="1"/>
  <c r="V30" i="1"/>
  <c r="V42" i="1"/>
  <c r="W41" i="1"/>
  <c r="W34" i="1"/>
  <c r="D43" i="1"/>
  <c r="D27" i="1"/>
  <c r="E27" i="1"/>
  <c r="E29" i="1" s="1"/>
  <c r="E43" i="1"/>
  <c r="E91" i="1" s="1"/>
  <c r="O42" i="1"/>
  <c r="L27" i="1"/>
  <c r="L43" i="1"/>
  <c r="L91" i="1" s="1"/>
  <c r="Y25" i="1"/>
  <c r="Y43" i="1" s="1"/>
  <c r="M27" i="1"/>
  <c r="M29" i="1" s="1"/>
  <c r="M43" i="1"/>
  <c r="M91" i="1" s="1"/>
  <c r="H27" i="1"/>
  <c r="H43" i="1"/>
  <c r="H91" i="1" s="1"/>
  <c r="X25" i="1"/>
  <c r="X43" i="1" s="1"/>
  <c r="G43" i="1"/>
  <c r="G91" i="1" s="1"/>
  <c r="G27" i="1"/>
  <c r="G29" i="1" s="1"/>
  <c r="K30" i="1"/>
  <c r="K42" i="1"/>
  <c r="I27" i="1"/>
  <c r="I29" i="1" s="1"/>
  <c r="I43" i="1"/>
  <c r="I91" i="1" s="1"/>
  <c r="C27" i="1"/>
  <c r="C29" i="1" s="1"/>
  <c r="C43" i="1"/>
  <c r="N27" i="1"/>
  <c r="N29" i="1" s="1"/>
  <c r="N43" i="1"/>
  <c r="N91" i="1" s="1"/>
  <c r="F43" i="1"/>
  <c r="F91" i="1" s="1"/>
  <c r="F29" i="1"/>
  <c r="L4" i="2"/>
  <c r="L7" i="2" s="1"/>
  <c r="L8" i="2"/>
  <c r="Z25" i="1" l="1"/>
  <c r="Z34" i="1"/>
  <c r="Z41" i="1"/>
  <c r="AF23" i="1"/>
  <c r="Q41" i="1"/>
  <c r="Q25" i="1"/>
  <c r="Q26" i="1" s="1"/>
  <c r="Q43" i="1" s="1"/>
  <c r="Q34" i="1"/>
  <c r="AA16" i="1"/>
  <c r="AA37" i="1"/>
  <c r="AB10" i="1"/>
  <c r="AA11" i="1"/>
  <c r="AA14" i="1"/>
  <c r="AA12" i="1"/>
  <c r="AA40" i="1" s="1"/>
  <c r="AA15" i="1"/>
  <c r="Z40" i="1"/>
  <c r="AE22" i="1"/>
  <c r="AG24" i="1"/>
  <c r="AH24" i="1" s="1"/>
  <c r="AE23" i="1"/>
  <c r="AD23" i="1"/>
  <c r="R34" i="1"/>
  <c r="R25" i="1"/>
  <c r="R41" i="1"/>
  <c r="Q27" i="1"/>
  <c r="Q29" i="1" s="1"/>
  <c r="S30" i="1"/>
  <c r="S42" i="1"/>
  <c r="P27" i="1"/>
  <c r="P29" i="1" s="1"/>
  <c r="P43" i="1"/>
  <c r="J42" i="1"/>
  <c r="J30" i="1"/>
  <c r="D29" i="1"/>
  <c r="W29" i="1" s="1"/>
  <c r="W42" i="1" s="1"/>
  <c r="W27" i="1"/>
  <c r="E30" i="1"/>
  <c r="E42" i="1"/>
  <c r="G30" i="1"/>
  <c r="G42" i="1"/>
  <c r="I30" i="1"/>
  <c r="I42" i="1"/>
  <c r="N30" i="1"/>
  <c r="N42" i="1"/>
  <c r="M30" i="1"/>
  <c r="M42" i="1"/>
  <c r="C30" i="1"/>
  <c r="C42" i="1"/>
  <c r="H29" i="1"/>
  <c r="X27" i="1"/>
  <c r="L29" i="1"/>
  <c r="Y27" i="1"/>
  <c r="F42" i="1"/>
  <c r="AA17" i="1" l="1"/>
  <c r="AA18" i="1" s="1"/>
  <c r="R26" i="1"/>
  <c r="R27" i="1" s="1"/>
  <c r="R29" i="1" s="1"/>
  <c r="AI24" i="1"/>
  <c r="AJ24" i="1" s="1"/>
  <c r="AF22" i="1"/>
  <c r="AG23" i="1"/>
  <c r="AB37" i="1"/>
  <c r="AB16" i="1"/>
  <c r="AB15" i="1"/>
  <c r="AB14" i="1"/>
  <c r="AB40" i="1" s="1"/>
  <c r="AC10" i="1"/>
  <c r="AB12" i="1"/>
  <c r="AB11" i="1"/>
  <c r="Q30" i="1"/>
  <c r="Q42" i="1"/>
  <c r="P30" i="1"/>
  <c r="P42" i="1"/>
  <c r="O50" i="1"/>
  <c r="N50" i="1"/>
  <c r="K47" i="1"/>
  <c r="K50" i="1"/>
  <c r="M50" i="1"/>
  <c r="L50" i="1"/>
  <c r="O47" i="1"/>
  <c r="N47" i="1"/>
  <c r="M47" i="1"/>
  <c r="L47" i="1"/>
  <c r="D42" i="1"/>
  <c r="D30" i="1"/>
  <c r="L30" i="1"/>
  <c r="Y30" i="1" s="1"/>
  <c r="Y29" i="1"/>
  <c r="Y42" i="1" s="1"/>
  <c r="L42" i="1"/>
  <c r="H30" i="1"/>
  <c r="X30" i="1" s="1"/>
  <c r="X29" i="1"/>
  <c r="X42" i="1" s="1"/>
  <c r="H42" i="1"/>
  <c r="R42" i="1" l="1"/>
  <c r="R30" i="1"/>
  <c r="AD10" i="1"/>
  <c r="AC16" i="1"/>
  <c r="AC15" i="1"/>
  <c r="AC14" i="1"/>
  <c r="AC40" i="1" s="1"/>
  <c r="AC11" i="1"/>
  <c r="AC12" i="1"/>
  <c r="AC37" i="1"/>
  <c r="AH22" i="1"/>
  <c r="R43" i="1"/>
  <c r="Z26" i="1"/>
  <c r="AA25" i="1"/>
  <c r="AA26" i="1" s="1"/>
  <c r="AA34" i="1"/>
  <c r="AA41" i="1"/>
  <c r="AB17" i="1"/>
  <c r="AB18" i="1" s="1"/>
  <c r="AG22" i="1"/>
  <c r="AI22" i="1" s="1"/>
  <c r="AH23" i="1"/>
  <c r="F30" i="1"/>
  <c r="W30" i="1" s="1"/>
  <c r="AI23" i="1" l="1"/>
  <c r="AJ22" i="1"/>
  <c r="AD15" i="1"/>
  <c r="AD14" i="1"/>
  <c r="AD12" i="1"/>
  <c r="AD11" i="1"/>
  <c r="AD37" i="1"/>
  <c r="AD16" i="1"/>
  <c r="AE10" i="1"/>
  <c r="AC17" i="1"/>
  <c r="AC18" i="1" s="1"/>
  <c r="Z43" i="1"/>
  <c r="Z27" i="1"/>
  <c r="Z29" i="1" s="1"/>
  <c r="AB25" i="1"/>
  <c r="AB26" i="1" s="1"/>
  <c r="AB34" i="1"/>
  <c r="AB41" i="1"/>
  <c r="AA27" i="1"/>
  <c r="AA29" i="1" s="1"/>
  <c r="AA43" i="1"/>
  <c r="AC25" i="1" l="1"/>
  <c r="AC26" i="1" s="1"/>
  <c r="AC34" i="1"/>
  <c r="AC41" i="1"/>
  <c r="AA30" i="1"/>
  <c r="AA42" i="1"/>
  <c r="AB27" i="1"/>
  <c r="AB29" i="1" s="1"/>
  <c r="AB43" i="1"/>
  <c r="AJ23" i="1"/>
  <c r="AE14" i="1"/>
  <c r="AE12" i="1"/>
  <c r="AF10" i="1"/>
  <c r="AE11" i="1"/>
  <c r="AE17" i="1" s="1"/>
  <c r="AE18" i="1" s="1"/>
  <c r="AE37" i="1"/>
  <c r="AE16" i="1"/>
  <c r="AE15" i="1"/>
  <c r="AD17" i="1"/>
  <c r="AD18" i="1" s="1"/>
  <c r="Z42" i="1"/>
  <c r="Z30" i="1"/>
  <c r="AD40" i="1"/>
  <c r="AE41" i="1" l="1"/>
  <c r="AE34" i="1"/>
  <c r="AE25" i="1"/>
  <c r="AB30" i="1"/>
  <c r="AB42" i="1"/>
  <c r="AE40" i="1"/>
  <c r="AF12" i="1"/>
  <c r="AG10" i="1"/>
  <c r="AF11" i="1"/>
  <c r="AF37" i="1"/>
  <c r="AF15" i="1"/>
  <c r="AF16" i="1"/>
  <c r="AF14" i="1"/>
  <c r="AD25" i="1"/>
  <c r="AD26" i="1" s="1"/>
  <c r="AD34" i="1"/>
  <c r="AD41" i="1"/>
  <c r="AC27" i="1"/>
  <c r="AC29" i="1" s="1"/>
  <c r="AC43" i="1"/>
  <c r="AC30" i="1" l="1"/>
  <c r="AC42" i="1"/>
  <c r="AF17" i="1"/>
  <c r="AF18" i="1" s="1"/>
  <c r="AF40" i="1"/>
  <c r="AE26" i="1"/>
  <c r="AE43" i="1" s="1"/>
  <c r="AD27" i="1"/>
  <c r="AD29" i="1" s="1"/>
  <c r="AD43" i="1"/>
  <c r="AH10" i="1"/>
  <c r="AG12" i="1"/>
  <c r="AG11" i="1"/>
  <c r="AG40" i="1" s="1"/>
  <c r="AG37" i="1"/>
  <c r="AG15" i="1"/>
  <c r="AG16" i="1"/>
  <c r="AG14" i="1"/>
  <c r="AE27" i="1" l="1"/>
  <c r="AE29" i="1" s="1"/>
  <c r="AE30" i="1" s="1"/>
  <c r="AD30" i="1"/>
  <c r="AD42" i="1"/>
  <c r="AG17" i="1"/>
  <c r="AG18" i="1" s="1"/>
  <c r="AE42" i="1"/>
  <c r="AF41" i="1"/>
  <c r="AF34" i="1"/>
  <c r="AF25" i="1"/>
  <c r="AF26" i="1" s="1"/>
  <c r="AH11" i="1"/>
  <c r="AI10" i="1"/>
  <c r="AH14" i="1"/>
  <c r="AH37" i="1"/>
  <c r="AH16" i="1"/>
  <c r="AH15" i="1"/>
  <c r="AH12" i="1"/>
  <c r="AF27" i="1" l="1"/>
  <c r="AF29" i="1" s="1"/>
  <c r="AF43" i="1"/>
  <c r="AI37" i="1"/>
  <c r="AI16" i="1"/>
  <c r="AI15" i="1"/>
  <c r="AI14" i="1"/>
  <c r="AI12" i="1"/>
  <c r="AI40" i="1" s="1"/>
  <c r="AI11" i="1"/>
  <c r="AJ10" i="1"/>
  <c r="AH17" i="1"/>
  <c r="AH18" i="1" s="1"/>
  <c r="AG34" i="1"/>
  <c r="AG41" i="1"/>
  <c r="AG25" i="1"/>
  <c r="AG26" i="1" s="1"/>
  <c r="AH40" i="1"/>
  <c r="AG27" i="1" l="1"/>
  <c r="AG29" i="1" s="1"/>
  <c r="AG43" i="1"/>
  <c r="AJ37" i="1"/>
  <c r="AJ16" i="1"/>
  <c r="AJ40" i="1" s="1"/>
  <c r="AJ15" i="1"/>
  <c r="AJ14" i="1"/>
  <c r="AJ11" i="1"/>
  <c r="AJ12" i="1"/>
  <c r="AH34" i="1"/>
  <c r="AH41" i="1"/>
  <c r="AH25" i="1"/>
  <c r="AH26" i="1" s="1"/>
  <c r="AI17" i="1"/>
  <c r="AI18" i="1" s="1"/>
  <c r="AF30" i="1"/>
  <c r="AF42" i="1"/>
  <c r="AH27" i="1" l="1"/>
  <c r="AH29" i="1" s="1"/>
  <c r="AH43" i="1"/>
  <c r="AI34" i="1"/>
  <c r="AI41" i="1"/>
  <c r="AI25" i="1"/>
  <c r="AI26" i="1" s="1"/>
  <c r="AJ17" i="1"/>
  <c r="AJ18" i="1" s="1"/>
  <c r="AJ34" i="1" s="1"/>
  <c r="AG30" i="1"/>
  <c r="AG42" i="1"/>
  <c r="AJ41" i="1" l="1"/>
  <c r="AJ25" i="1"/>
  <c r="AJ26" i="1" s="1"/>
  <c r="AI27" i="1"/>
  <c r="AI29" i="1" s="1"/>
  <c r="AI43" i="1"/>
  <c r="AH30" i="1"/>
  <c r="AH42" i="1"/>
  <c r="AI30" i="1" l="1"/>
  <c r="AI42" i="1"/>
  <c r="AJ27" i="1"/>
  <c r="AJ29" i="1" s="1"/>
  <c r="AK29" i="1" s="1"/>
  <c r="AL29" i="1" s="1"/>
  <c r="AM29" i="1" s="1"/>
  <c r="AN29" i="1" s="1"/>
  <c r="AO29" i="1" s="1"/>
  <c r="AP29" i="1" s="1"/>
  <c r="AQ29" i="1" s="1"/>
  <c r="AR29" i="1" s="1"/>
  <c r="AS29" i="1" s="1"/>
  <c r="AT29" i="1" s="1"/>
  <c r="AU29" i="1" s="1"/>
  <c r="AV29" i="1" s="1"/>
  <c r="AW29" i="1" s="1"/>
  <c r="AX29" i="1" s="1"/>
  <c r="AY29" i="1" s="1"/>
  <c r="AZ29" i="1" s="1"/>
  <c r="BA29" i="1" s="1"/>
  <c r="BB29" i="1" s="1"/>
  <c r="BC29" i="1" s="1"/>
  <c r="BD29" i="1" s="1"/>
  <c r="BE29" i="1" s="1"/>
  <c r="BF29" i="1" s="1"/>
  <c r="BG29" i="1" s="1"/>
  <c r="BH29" i="1" s="1"/>
  <c r="BI29" i="1" s="1"/>
  <c r="BJ29" i="1" s="1"/>
  <c r="BK29" i="1" s="1"/>
  <c r="BL29" i="1" s="1"/>
  <c r="BM29" i="1" s="1"/>
  <c r="BN29" i="1" s="1"/>
  <c r="BO29" i="1" s="1"/>
  <c r="BP29" i="1" s="1"/>
  <c r="BQ29" i="1" s="1"/>
  <c r="BR29" i="1" s="1"/>
  <c r="BS29" i="1" s="1"/>
  <c r="BT29" i="1" s="1"/>
  <c r="BU29" i="1" s="1"/>
  <c r="BV29" i="1" s="1"/>
  <c r="BW29" i="1" s="1"/>
  <c r="BX29" i="1" s="1"/>
  <c r="BY29" i="1" s="1"/>
  <c r="BZ29" i="1" s="1"/>
  <c r="CA29" i="1" s="1"/>
  <c r="CB29" i="1" s="1"/>
  <c r="CC29" i="1" s="1"/>
  <c r="CD29" i="1" s="1"/>
  <c r="CE29" i="1" s="1"/>
  <c r="CF29" i="1" s="1"/>
  <c r="CG29" i="1" s="1"/>
  <c r="CH29" i="1" s="1"/>
  <c r="CI29" i="1" s="1"/>
  <c r="CJ29" i="1" s="1"/>
  <c r="CK29" i="1" s="1"/>
  <c r="CL29" i="1" s="1"/>
  <c r="CM29" i="1" s="1"/>
  <c r="CN29" i="1" s="1"/>
  <c r="CO29" i="1" s="1"/>
  <c r="CP29" i="1" s="1"/>
  <c r="CQ29" i="1" s="1"/>
  <c r="CR29" i="1" s="1"/>
  <c r="CS29" i="1" s="1"/>
  <c r="CT29" i="1" s="1"/>
  <c r="CU29" i="1" s="1"/>
  <c r="CV29" i="1" s="1"/>
  <c r="CW29" i="1" s="1"/>
  <c r="CX29" i="1" s="1"/>
  <c r="CY29" i="1" s="1"/>
  <c r="CZ29" i="1" s="1"/>
  <c r="DA29" i="1" s="1"/>
  <c r="DB29" i="1" s="1"/>
  <c r="DC29" i="1" s="1"/>
  <c r="DD29" i="1" s="1"/>
  <c r="DE29" i="1" s="1"/>
  <c r="DF29" i="1" s="1"/>
  <c r="DG29" i="1" s="1"/>
  <c r="DH29" i="1" s="1"/>
  <c r="DI29" i="1" s="1"/>
  <c r="DJ29" i="1" s="1"/>
  <c r="DK29" i="1" s="1"/>
  <c r="DL29" i="1" s="1"/>
  <c r="DM29" i="1" s="1"/>
  <c r="DN29" i="1" s="1"/>
  <c r="DO29" i="1" s="1"/>
  <c r="DP29" i="1" s="1"/>
  <c r="DQ29" i="1" s="1"/>
  <c r="DR29" i="1" s="1"/>
  <c r="DS29" i="1" s="1"/>
  <c r="DT29" i="1" s="1"/>
  <c r="DU29" i="1" s="1"/>
  <c r="DV29" i="1" s="1"/>
  <c r="DW29" i="1" s="1"/>
  <c r="DX29" i="1" s="1"/>
  <c r="DY29" i="1" s="1"/>
  <c r="DZ29" i="1" s="1"/>
  <c r="EA29" i="1" s="1"/>
  <c r="EB29" i="1" s="1"/>
  <c r="EC29" i="1" s="1"/>
  <c r="ED29" i="1" s="1"/>
  <c r="EE29" i="1" s="1"/>
  <c r="EF29" i="1" s="1"/>
  <c r="EG29" i="1" s="1"/>
  <c r="EH29" i="1" s="1"/>
  <c r="EI29" i="1" s="1"/>
  <c r="EJ29" i="1" s="1"/>
  <c r="EK29" i="1" s="1"/>
  <c r="EL29" i="1" s="1"/>
  <c r="EM29" i="1" s="1"/>
  <c r="EN29" i="1" s="1"/>
  <c r="EO29" i="1" s="1"/>
  <c r="EP29" i="1" s="1"/>
  <c r="EQ29" i="1" s="1"/>
  <c r="ER29" i="1" s="1"/>
  <c r="ES29" i="1" s="1"/>
  <c r="ET29" i="1" s="1"/>
  <c r="EU29" i="1" s="1"/>
  <c r="EV29" i="1" s="1"/>
  <c r="EW29" i="1" s="1"/>
  <c r="EX29" i="1" s="1"/>
  <c r="EY29" i="1" s="1"/>
  <c r="EZ29" i="1" s="1"/>
  <c r="FA29" i="1" s="1"/>
  <c r="FB29" i="1" s="1"/>
  <c r="FC29" i="1" s="1"/>
  <c r="FD29" i="1" s="1"/>
  <c r="FE29" i="1" s="1"/>
  <c r="FF29" i="1" s="1"/>
  <c r="FG29" i="1" s="1"/>
  <c r="FH29" i="1" s="1"/>
  <c r="FI29" i="1" s="1"/>
  <c r="FJ29" i="1" s="1"/>
  <c r="FK29" i="1" s="1"/>
  <c r="FL29" i="1" s="1"/>
  <c r="FM29" i="1" s="1"/>
  <c r="FN29" i="1" s="1"/>
  <c r="FO29" i="1" s="1"/>
  <c r="FP29" i="1" s="1"/>
  <c r="FQ29" i="1" s="1"/>
  <c r="FR29" i="1" s="1"/>
  <c r="FS29" i="1" s="1"/>
  <c r="FT29" i="1" s="1"/>
  <c r="FU29" i="1" s="1"/>
  <c r="FV29" i="1" s="1"/>
  <c r="FW29" i="1" s="1"/>
  <c r="FX29" i="1" s="1"/>
  <c r="FY29" i="1" s="1"/>
  <c r="FZ29" i="1" s="1"/>
  <c r="GA29" i="1" s="1"/>
  <c r="AM47" i="1" s="1"/>
  <c r="AM49" i="1" s="1"/>
  <c r="AM50" i="1" s="1"/>
  <c r="AM51" i="1" s="1"/>
  <c r="AJ43" i="1"/>
  <c r="AJ30" i="1" l="1"/>
  <c r="AJ42" i="1"/>
</calcChain>
</file>

<file path=xl/sharedStrings.xml><?xml version="1.0" encoding="utf-8"?>
<sst xmlns="http://schemas.openxmlformats.org/spreadsheetml/2006/main" count="187" uniqueCount="160">
  <si>
    <t>Price</t>
  </si>
  <si>
    <t>Shares</t>
  </si>
  <si>
    <t>MC</t>
  </si>
  <si>
    <t>Cash</t>
  </si>
  <si>
    <t>Debt</t>
  </si>
  <si>
    <t>EV</t>
  </si>
  <si>
    <t>Net Cash</t>
  </si>
  <si>
    <t>CEO</t>
  </si>
  <si>
    <t>Q323</t>
  </si>
  <si>
    <t>Q423</t>
  </si>
  <si>
    <t>Q322</t>
  </si>
  <si>
    <t>Q422</t>
  </si>
  <si>
    <t>Q123</t>
  </si>
  <si>
    <t>Q223</t>
  </si>
  <si>
    <t>Q122</t>
  </si>
  <si>
    <t>Q222</t>
  </si>
  <si>
    <t>Main</t>
  </si>
  <si>
    <t/>
  </si>
  <si>
    <t>Model</t>
  </si>
  <si>
    <t>Q121</t>
  </si>
  <si>
    <t>Q221</t>
  </si>
  <si>
    <t>Q321</t>
  </si>
  <si>
    <t>Q421</t>
  </si>
  <si>
    <t>Q420</t>
  </si>
  <si>
    <t>Q124</t>
  </si>
  <si>
    <t>Q224</t>
  </si>
  <si>
    <t>Q324</t>
  </si>
  <si>
    <t>Q424</t>
  </si>
  <si>
    <t>H</t>
  </si>
  <si>
    <t>HYATT HOTELS CORPORATION</t>
  </si>
  <si>
    <t>Name</t>
  </si>
  <si>
    <t>Age</t>
  </si>
  <si>
    <t>Thomas J. Pritzker</t>
  </si>
  <si>
    <t>Mark S. Hoplamazian</t>
  </si>
  <si>
    <t>CEO and President</t>
  </si>
  <si>
    <t>Exec. Chairman</t>
  </si>
  <si>
    <t>Alessandro Bogliolo</t>
  </si>
  <si>
    <t>Susan D. Kronick</t>
  </si>
  <si>
    <t>Heidi O'Neill</t>
  </si>
  <si>
    <t>Jason Pritzker</t>
  </si>
  <si>
    <t>Michael A. Rocca</t>
  </si>
  <si>
    <t>Dion Camp Sanders</t>
  </si>
  <si>
    <t>Richard C. Tuttle</t>
  </si>
  <si>
    <t>James H. Wooten, Jr.</t>
  </si>
  <si>
    <t>Position</t>
  </si>
  <si>
    <t>Executives as of Feb 23, 2024</t>
  </si>
  <si>
    <t>Javier Águila</t>
  </si>
  <si>
    <t>Joan Bottarini</t>
  </si>
  <si>
    <t>James K. Chu</t>
  </si>
  <si>
    <t>Margaret C. Egan</t>
  </si>
  <si>
    <t>Malaika L. Myers</t>
  </si>
  <si>
    <t>Peter J. Sears</t>
  </si>
  <si>
    <t>David Udell</t>
  </si>
  <si>
    <t>Mark R. Vondrasek</t>
  </si>
  <si>
    <t>Group President EAME</t>
  </si>
  <si>
    <t>CFO and CAO</t>
  </si>
  <si>
    <t>Chief Growth Officer</t>
  </si>
  <si>
    <t>General Counsel and Secretary</t>
  </si>
  <si>
    <t>Chief Human Resources</t>
  </si>
  <si>
    <t>Group President - Americas</t>
  </si>
  <si>
    <t>Group President - ASPAC</t>
  </si>
  <si>
    <t>Chief Commercial Officer</t>
  </si>
  <si>
    <t>Board of Directors as of Feb 23, 2024</t>
  </si>
  <si>
    <t xml:space="preserve">Age </t>
  </si>
  <si>
    <t>Paul D. Ballew</t>
  </si>
  <si>
    <t>Cary D. McMillan</t>
  </si>
  <si>
    <t>Chairman</t>
  </si>
  <si>
    <t>President, CEO</t>
  </si>
  <si>
    <t>Director</t>
  </si>
  <si>
    <t>Principal Employment</t>
  </si>
  <si>
    <t>Executive Chairman, The Pritzker Organization, LLC</t>
  </si>
  <si>
    <t>President and CEO, Hyatt Hotels Corporation</t>
  </si>
  <si>
    <t>Chief Data and Analytics Ofiicer, The National Football League</t>
  </si>
  <si>
    <t>Retired</t>
  </si>
  <si>
    <t>President of Consumer and Marketplace, Nike, Inc.</t>
  </si>
  <si>
    <t>Managin Director and Vice Chairman, The Pritzker Organization, LLC</t>
  </si>
  <si>
    <t>Chief Emerging Business Officer, Peloton Interactive, Inc.</t>
  </si>
  <si>
    <t>Founding Principal, Prospect Partners, LLC.</t>
  </si>
  <si>
    <t>Owned and leased hotels</t>
  </si>
  <si>
    <t>Management, franchise, licence and other</t>
  </si>
  <si>
    <t>Contra revenue</t>
  </si>
  <si>
    <t>Net management, franchise…</t>
  </si>
  <si>
    <t>Distribution and destination management</t>
  </si>
  <si>
    <t>Other revenues</t>
  </si>
  <si>
    <t>Revenues for the cost incurred on managed properties</t>
  </si>
  <si>
    <t>Revenue</t>
  </si>
  <si>
    <t>D&amp;A</t>
  </si>
  <si>
    <t>Other direct cost</t>
  </si>
  <si>
    <t>SG&amp;A</t>
  </si>
  <si>
    <t>Costs on behalf of managed properties</t>
  </si>
  <si>
    <t>Operating expenses</t>
  </si>
  <si>
    <t>Net gains (loss) and interest income fro marketable securites</t>
  </si>
  <si>
    <t>Equity earnings (losses) from hospitality ventures</t>
  </si>
  <si>
    <t>Interest expense</t>
  </si>
  <si>
    <t>Gains on sale of real estate</t>
  </si>
  <si>
    <t>Asset impairment</t>
  </si>
  <si>
    <t>Other income (loss)</t>
  </si>
  <si>
    <t>Pretax</t>
  </si>
  <si>
    <t>Taxes</t>
  </si>
  <si>
    <t>Net income</t>
  </si>
  <si>
    <t>Non-controlling interest</t>
  </si>
  <si>
    <t>NI to Hyatt Hotels Corporation</t>
  </si>
  <si>
    <t>EPS</t>
  </si>
  <si>
    <t>Operating income</t>
  </si>
  <si>
    <t>Analyst estimates</t>
  </si>
  <si>
    <t>Surprise</t>
  </si>
  <si>
    <t>Restricted cash</t>
  </si>
  <si>
    <t>Short-term investments</t>
  </si>
  <si>
    <t>Receivables</t>
  </si>
  <si>
    <t>Inventories</t>
  </si>
  <si>
    <t>Prepaids</t>
  </si>
  <si>
    <t>Prepaid tax</t>
  </si>
  <si>
    <t>Assets held for sale</t>
  </si>
  <si>
    <t>Current assets</t>
  </si>
  <si>
    <t>Equity methot investments</t>
  </si>
  <si>
    <t>P&amp;E</t>
  </si>
  <si>
    <t>Financing receivables</t>
  </si>
  <si>
    <t>Leases</t>
  </si>
  <si>
    <t>Goodwill + Intangibles</t>
  </si>
  <si>
    <t>DT</t>
  </si>
  <si>
    <t>OA</t>
  </si>
  <si>
    <t>Assets</t>
  </si>
  <si>
    <t>Maturities of long-term debt</t>
  </si>
  <si>
    <t>A/P</t>
  </si>
  <si>
    <t>Accrued expenses</t>
  </si>
  <si>
    <t>Current contract liabilities</t>
  </si>
  <si>
    <t>Accrued compensations and benefits</t>
  </si>
  <si>
    <t>Operating leases</t>
  </si>
  <si>
    <t>Liabilities held for sale</t>
  </si>
  <si>
    <t>Current liabilities</t>
  </si>
  <si>
    <t>Long-term debt</t>
  </si>
  <si>
    <t>Long-term contract liabilities</t>
  </si>
  <si>
    <t>Long-term operating leases</t>
  </si>
  <si>
    <t>OLTL</t>
  </si>
  <si>
    <t>SE</t>
  </si>
  <si>
    <t>Equity</t>
  </si>
  <si>
    <t>L+SE</t>
  </si>
  <si>
    <t>Liabilities</t>
  </si>
  <si>
    <t>Revenue Y/Y</t>
  </si>
  <si>
    <t>Revenue Q/Q</t>
  </si>
  <si>
    <t>Gross Margin %</t>
  </si>
  <si>
    <t>Operating Margin %</t>
  </si>
  <si>
    <t>Net Margin %</t>
  </si>
  <si>
    <t>Tax Rate %</t>
  </si>
  <si>
    <t>Net cash</t>
  </si>
  <si>
    <t>EBITDA</t>
  </si>
  <si>
    <t>ROA</t>
  </si>
  <si>
    <t>ROE</t>
  </si>
  <si>
    <t>ROIC</t>
  </si>
  <si>
    <t>ROCE</t>
  </si>
  <si>
    <t>NOPAT</t>
  </si>
  <si>
    <t>Invested Capital</t>
  </si>
  <si>
    <t>Capital Employed</t>
  </si>
  <si>
    <t>Maturity</t>
  </si>
  <si>
    <t>Discount</t>
  </si>
  <si>
    <t>NPV</t>
  </si>
  <si>
    <t>Value</t>
  </si>
  <si>
    <t>Per share</t>
  </si>
  <si>
    <t>Upside</t>
  </si>
  <si>
    <t>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</si>
</sst>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00"/>
  </numFmts>
  <fonts count="18" x14ac:knownFonts="1"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8"/>
      <color theme="1"/>
      <name val="Times New Roman"/>
      <family val="1"/>
    </font>
    <font>
      <b/>
      <u/>
      <sz val="14"/>
      <color theme="10"/>
      <name val="Aptos Narrow"/>
      <family val="2"/>
      <scheme val="minor"/>
    </font>
    <font>
      <b/>
      <u/>
      <sz val="16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Times New Roman"/>
      <family val="1"/>
    </font>
    <font>
      <sz val="11"/>
      <color theme="9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1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i/>
      <sz val="1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16" fillId="0" borderId="0" applyFont="0" applyFill="0" applyBorder="0" applyAlignment="0" applyProtection="0"/>
  </cellStyleXfs>
  <cellXfs count="53">
    <xf numFmtId="0" fontId="0" fillId="0" borderId="0" xfId="0"/>
    <xf numFmtId="0" fontId="0" fillId="0" borderId="1" xfId="0" applyBorder="1"/>
    <xf numFmtId="3" fontId="0" fillId="0" borderId="1" xfId="0" applyNumberFormat="1" applyBorder="1"/>
    <xf numFmtId="3" fontId="0" fillId="0" borderId="0" xfId="0" applyNumberFormat="1"/>
    <xf numFmtId="2" fontId="0" fillId="0" borderId="1" xfId="0" applyNumberFormat="1" applyBorder="1"/>
    <xf numFmtId="0" fontId="0" fillId="0" borderId="0" xfId="0" quotePrefix="1"/>
    <xf numFmtId="3" fontId="0" fillId="2" borderId="0" xfId="0" applyNumberFormat="1" applyFill="1"/>
    <xf numFmtId="0" fontId="0" fillId="2" borderId="0" xfId="0" applyFill="1"/>
    <xf numFmtId="0" fontId="7" fillId="2" borderId="0" xfId="1" applyFont="1" applyFill="1" applyAlignment="1">
      <alignment horizontal="center"/>
    </xf>
    <xf numFmtId="0" fontId="6" fillId="0" borderId="0" xfId="1" applyFont="1" applyAlignment="1">
      <alignment horizontal="center"/>
    </xf>
    <xf numFmtId="0" fontId="3" fillId="2" borderId="0" xfId="0" applyFont="1" applyFill="1" applyAlignment="1">
      <alignment horizontal="right"/>
    </xf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3" fontId="8" fillId="2" borderId="0" xfId="0" applyNumberFormat="1" applyFont="1" applyFill="1"/>
    <xf numFmtId="3" fontId="8" fillId="0" borderId="0" xfId="0" applyNumberFormat="1" applyFont="1"/>
    <xf numFmtId="3" fontId="8" fillId="2" borderId="3" xfId="0" applyNumberFormat="1" applyFont="1" applyFill="1" applyBorder="1"/>
    <xf numFmtId="3" fontId="8" fillId="0" borderId="3" xfId="0" applyNumberFormat="1" applyFont="1" applyBorder="1"/>
    <xf numFmtId="3" fontId="0" fillId="2" borderId="3" xfId="0" applyNumberFormat="1" applyFill="1" applyBorder="1"/>
    <xf numFmtId="3" fontId="0" fillId="0" borderId="3" xfId="0" applyNumberFormat="1" applyBorder="1"/>
    <xf numFmtId="9" fontId="10" fillId="0" borderId="0" xfId="0" applyNumberFormat="1" applyFont="1"/>
    <xf numFmtId="164" fontId="0" fillId="0" borderId="0" xfId="0" applyNumberFormat="1"/>
    <xf numFmtId="1" fontId="0" fillId="0" borderId="0" xfId="0" applyNumberFormat="1"/>
    <xf numFmtId="3" fontId="10" fillId="0" borderId="0" xfId="0" applyNumberFormat="1" applyFont="1"/>
    <xf numFmtId="3" fontId="11" fillId="2" borderId="4" xfId="0" applyNumberFormat="1" applyFont="1" applyFill="1" applyBorder="1"/>
    <xf numFmtId="3" fontId="11" fillId="0" borderId="4" xfId="0" applyNumberFormat="1" applyFont="1" applyBorder="1"/>
    <xf numFmtId="3" fontId="11" fillId="2" borderId="2" xfId="0" applyNumberFormat="1" applyFont="1" applyFill="1" applyBorder="1"/>
    <xf numFmtId="3" fontId="11" fillId="0" borderId="2" xfId="0" applyNumberFormat="1" applyFont="1" applyBorder="1"/>
    <xf numFmtId="3" fontId="11" fillId="2" borderId="0" xfId="0" applyNumberFormat="1" applyFont="1" applyFill="1"/>
    <xf numFmtId="3" fontId="11" fillId="0" borderId="0" xfId="0" applyNumberFormat="1" applyFont="1"/>
    <xf numFmtId="9" fontId="12" fillId="0" borderId="4" xfId="0" applyNumberFormat="1" applyFont="1" applyBorder="1"/>
    <xf numFmtId="9" fontId="12" fillId="0" borderId="2" xfId="0" applyNumberFormat="1" applyFont="1" applyBorder="1"/>
    <xf numFmtId="9" fontId="12" fillId="0" borderId="0" xfId="0" applyNumberFormat="1" applyFont="1"/>
    <xf numFmtId="9" fontId="11" fillId="0" borderId="4" xfId="0" applyNumberFormat="1" applyFont="1" applyBorder="1"/>
    <xf numFmtId="3" fontId="11" fillId="2" borderId="5" xfId="0" applyNumberFormat="1" applyFont="1" applyFill="1" applyBorder="1"/>
    <xf numFmtId="3" fontId="11" fillId="0" borderId="5" xfId="0" applyNumberFormat="1" applyFont="1" applyBorder="1"/>
    <xf numFmtId="3" fontId="12" fillId="0" borderId="0" xfId="0" applyNumberFormat="1" applyFont="1"/>
    <xf numFmtId="3" fontId="12" fillId="0" borderId="5" xfId="0" applyNumberFormat="1" applyFont="1" applyBorder="1"/>
    <xf numFmtId="3" fontId="13" fillId="2" borderId="0" xfId="0" applyNumberFormat="1" applyFont="1" applyFill="1"/>
    <xf numFmtId="3" fontId="13" fillId="0" borderId="0" xfId="0" applyNumberFormat="1" applyFont="1"/>
    <xf numFmtId="3" fontId="14" fillId="0" borderId="0" xfId="0" applyNumberFormat="1" applyFont="1"/>
    <xf numFmtId="4" fontId="0" fillId="0" borderId="0" xfId="0" applyNumberFormat="1"/>
    <xf numFmtId="3" fontId="15" fillId="0" borderId="3" xfId="0" applyNumberFormat="1" applyFont="1" applyBorder="1"/>
    <xf numFmtId="165" fontId="10" fillId="0" borderId="0" xfId="0" applyNumberFormat="1" applyFont="1"/>
    <xf numFmtId="10" fontId="17" fillId="0" borderId="0" xfId="0" applyNumberFormat="1" applyFont="1"/>
    <xf numFmtId="3" fontId="17" fillId="0" borderId="0" xfId="0" applyNumberFormat="1" applyFont="1"/>
    <xf numFmtId="9" fontId="11" fillId="0" borderId="0" xfId="2" applyFont="1" applyBorder="1"/>
    <xf numFmtId="9" fontId="0" fillId="0" borderId="0" xfId="2" applyFont="1"/>
    <xf numFmtId="9" fontId="11" fillId="0" borderId="2" xfId="0" applyNumberFormat="1" applyFont="1" applyBorder="1"/>
    <xf numFmtId="9" fontId="8" fillId="0" borderId="0" xfId="0" applyNumberFormat="1" applyFont="1"/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</xdr:colOff>
      <xdr:row>0</xdr:row>
      <xdr:rowOff>181928</xdr:rowOff>
    </xdr:from>
    <xdr:to>
      <xdr:col>15</xdr:col>
      <xdr:colOff>4762</xdr:colOff>
      <xdr:row>114</xdr:row>
      <xdr:rowOff>70223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29A2687-277A-04E5-52C5-F70521D5044F}"/>
            </a:ext>
          </a:extLst>
        </xdr:cNvPr>
        <xdr:cNvCxnSpPr/>
      </xdr:nvCxnSpPr>
      <xdr:spPr>
        <a:xfrm>
          <a:off x="11633545" y="181928"/>
          <a:ext cx="0" cy="21489338"/>
        </a:xfrm>
        <a:prstGeom prst="line">
          <a:avLst/>
        </a:prstGeom>
        <a:ln w="3175"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1</xdr:row>
      <xdr:rowOff>0</xdr:rowOff>
    </xdr:from>
    <xdr:to>
      <xdr:col>25</xdr:col>
      <xdr:colOff>0</xdr:colOff>
      <xdr:row>114</xdr:row>
      <xdr:rowOff>156309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787F4C14-02EA-478E-A306-3E5A0A7C5FA7}"/>
            </a:ext>
          </a:extLst>
        </xdr:cNvPr>
        <xdr:cNvCxnSpPr/>
      </xdr:nvCxnSpPr>
      <xdr:spPr>
        <a:xfrm>
          <a:off x="16937421" y="268014"/>
          <a:ext cx="0" cy="17183067"/>
        </a:xfrm>
        <a:prstGeom prst="line">
          <a:avLst/>
        </a:prstGeom>
        <a:ln w="3175"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5A943-7190-4997-8580-4E0BDA41CD8D}">
  <dimension ref="B1:L46"/>
  <sheetViews>
    <sheetView workbookViewId="0">
      <selection activeCell="L3" sqref="L3"/>
    </sheetView>
  </sheetViews>
  <sheetFormatPr defaultRowHeight="14.4" x14ac:dyDescent="0.3"/>
  <cols>
    <col min="2" max="2" width="19.6640625" customWidth="1"/>
    <col min="4" max="4" width="26.88671875" customWidth="1"/>
    <col min="5" max="5" width="20.5546875" bestFit="1" customWidth="1"/>
    <col min="12" max="12" width="20" bestFit="1" customWidth="1"/>
    <col min="13" max="13" width="9.109375" customWidth="1"/>
  </cols>
  <sheetData>
    <row r="1" spans="2:12" ht="21" x14ac:dyDescent="0.4">
      <c r="B1" s="9" t="s">
        <v>18</v>
      </c>
      <c r="K1" s="49" t="s">
        <v>28</v>
      </c>
      <c r="L1" s="49"/>
    </row>
    <row r="2" spans="2:12" ht="22.8" x14ac:dyDescent="0.3">
      <c r="B2" s="50" t="s">
        <v>29</v>
      </c>
      <c r="C2" s="50"/>
      <c r="D2" s="50"/>
      <c r="E2" s="50"/>
      <c r="F2" s="50"/>
      <c r="G2" s="50"/>
      <c r="H2" s="50"/>
      <c r="I2" s="50"/>
      <c r="K2" s="1" t="s">
        <v>0</v>
      </c>
      <c r="L2" s="4">
        <v>154.26</v>
      </c>
    </row>
    <row r="3" spans="2:12" x14ac:dyDescent="0.3">
      <c r="K3" s="1" t="s">
        <v>1</v>
      </c>
      <c r="L3" s="3">
        <f>46.79164+58.917749</f>
        <v>105.709389</v>
      </c>
    </row>
    <row r="4" spans="2:12" x14ac:dyDescent="0.3">
      <c r="K4" s="1" t="s">
        <v>2</v>
      </c>
      <c r="L4" s="2">
        <f>L3*L2</f>
        <v>16306.730347139999</v>
      </c>
    </row>
    <row r="5" spans="2:12" x14ac:dyDescent="0.3">
      <c r="K5" s="1" t="s">
        <v>3</v>
      </c>
      <c r="L5" s="2">
        <v>930</v>
      </c>
    </row>
    <row r="6" spans="2:12" x14ac:dyDescent="0.3">
      <c r="K6" s="1" t="s">
        <v>4</v>
      </c>
      <c r="L6" s="2">
        <v>5088</v>
      </c>
    </row>
    <row r="7" spans="2:12" x14ac:dyDescent="0.3">
      <c r="K7" s="1" t="s">
        <v>5</v>
      </c>
      <c r="L7" s="2">
        <f>L4-L5+L6</f>
        <v>20464.730347140001</v>
      </c>
    </row>
    <row r="8" spans="2:12" x14ac:dyDescent="0.3">
      <c r="K8" s="1" t="s">
        <v>6</v>
      </c>
      <c r="L8" s="2">
        <f>L5-L6</f>
        <v>-4158</v>
      </c>
    </row>
    <row r="9" spans="2:12" x14ac:dyDescent="0.3">
      <c r="K9" s="1"/>
      <c r="L9" s="1"/>
    </row>
    <row r="10" spans="2:12" x14ac:dyDescent="0.3">
      <c r="K10" s="1" t="s">
        <v>7</v>
      </c>
      <c r="L10" s="1" t="s">
        <v>33</v>
      </c>
    </row>
    <row r="16" spans="2:12" x14ac:dyDescent="0.3">
      <c r="F16" s="5" t="s">
        <v>17</v>
      </c>
    </row>
    <row r="20" spans="2:4" ht="15.6" x14ac:dyDescent="0.3">
      <c r="B20" s="51" t="s">
        <v>45</v>
      </c>
      <c r="C20" s="51"/>
      <c r="D20" s="51"/>
    </row>
    <row r="21" spans="2:4" x14ac:dyDescent="0.3">
      <c r="B21" s="11" t="s">
        <v>30</v>
      </c>
      <c r="C21" s="11" t="s">
        <v>31</v>
      </c>
      <c r="D21" s="11" t="s">
        <v>44</v>
      </c>
    </row>
    <row r="22" spans="2:4" x14ac:dyDescent="0.3">
      <c r="B22" s="1" t="s">
        <v>32</v>
      </c>
      <c r="C22" s="12">
        <v>73</v>
      </c>
      <c r="D22" s="1" t="s">
        <v>35</v>
      </c>
    </row>
    <row r="23" spans="2:4" x14ac:dyDescent="0.3">
      <c r="B23" s="1" t="s">
        <v>33</v>
      </c>
      <c r="C23" s="12">
        <v>60</v>
      </c>
      <c r="D23" s="1" t="s">
        <v>34</v>
      </c>
    </row>
    <row r="24" spans="2:4" x14ac:dyDescent="0.3">
      <c r="B24" s="1" t="s">
        <v>46</v>
      </c>
      <c r="C24" s="12">
        <v>48</v>
      </c>
      <c r="D24" s="1" t="s">
        <v>54</v>
      </c>
    </row>
    <row r="25" spans="2:4" x14ac:dyDescent="0.3">
      <c r="B25" s="1" t="s">
        <v>47</v>
      </c>
      <c r="C25" s="12">
        <v>52</v>
      </c>
      <c r="D25" s="1" t="s">
        <v>55</v>
      </c>
    </row>
    <row r="26" spans="2:4" x14ac:dyDescent="0.3">
      <c r="B26" s="1" t="s">
        <v>48</v>
      </c>
      <c r="C26" s="12">
        <v>60</v>
      </c>
      <c r="D26" s="1" t="s">
        <v>56</v>
      </c>
    </row>
    <row r="27" spans="2:4" x14ac:dyDescent="0.3">
      <c r="B27" s="1" t="s">
        <v>49</v>
      </c>
      <c r="C27" s="12">
        <v>54</v>
      </c>
      <c r="D27" s="1" t="s">
        <v>57</v>
      </c>
    </row>
    <row r="28" spans="2:4" x14ac:dyDescent="0.3">
      <c r="B28" s="1" t="s">
        <v>50</v>
      </c>
      <c r="C28" s="12">
        <v>56</v>
      </c>
      <c r="D28" s="1" t="s">
        <v>58</v>
      </c>
    </row>
    <row r="29" spans="2:4" x14ac:dyDescent="0.3">
      <c r="B29" s="1" t="s">
        <v>51</v>
      </c>
      <c r="C29" s="12">
        <v>59</v>
      </c>
      <c r="D29" s="1" t="s">
        <v>59</v>
      </c>
    </row>
    <row r="30" spans="2:4" x14ac:dyDescent="0.3">
      <c r="B30" s="1" t="s">
        <v>52</v>
      </c>
      <c r="C30" s="12">
        <v>63</v>
      </c>
      <c r="D30" s="1" t="s">
        <v>60</v>
      </c>
    </row>
    <row r="31" spans="2:4" x14ac:dyDescent="0.3">
      <c r="B31" s="1" t="s">
        <v>53</v>
      </c>
      <c r="C31" s="12">
        <v>56</v>
      </c>
      <c r="D31" s="1" t="s">
        <v>61</v>
      </c>
    </row>
    <row r="33" spans="2:5" ht="15.6" x14ac:dyDescent="0.3">
      <c r="B33" s="52" t="s">
        <v>62</v>
      </c>
      <c r="C33" s="52"/>
      <c r="D33" s="52"/>
    </row>
    <row r="34" spans="2:5" x14ac:dyDescent="0.3">
      <c r="B34" s="11" t="s">
        <v>30</v>
      </c>
      <c r="C34" s="11" t="s">
        <v>63</v>
      </c>
      <c r="D34" s="11" t="s">
        <v>44</v>
      </c>
      <c r="E34" s="11" t="s">
        <v>69</v>
      </c>
    </row>
    <row r="35" spans="2:5" x14ac:dyDescent="0.3">
      <c r="B35" s="1" t="s">
        <v>32</v>
      </c>
      <c r="C35" s="1">
        <v>73</v>
      </c>
      <c r="D35" s="1" t="s">
        <v>66</v>
      </c>
      <c r="E35" t="s">
        <v>70</v>
      </c>
    </row>
    <row r="36" spans="2:5" x14ac:dyDescent="0.3">
      <c r="B36" s="1" t="s">
        <v>33</v>
      </c>
      <c r="C36" s="1">
        <v>60</v>
      </c>
      <c r="D36" s="1" t="s">
        <v>67</v>
      </c>
      <c r="E36" t="s">
        <v>71</v>
      </c>
    </row>
    <row r="37" spans="2:5" x14ac:dyDescent="0.3">
      <c r="B37" s="1" t="s">
        <v>64</v>
      </c>
      <c r="C37" s="1">
        <v>60</v>
      </c>
      <c r="D37" s="1" t="s">
        <v>68</v>
      </c>
      <c r="E37" t="s">
        <v>72</v>
      </c>
    </row>
    <row r="38" spans="2:5" x14ac:dyDescent="0.3">
      <c r="B38" s="1" t="s">
        <v>36</v>
      </c>
      <c r="C38" s="1">
        <v>58</v>
      </c>
      <c r="D38" s="1" t="s">
        <v>68</v>
      </c>
      <c r="E38" t="s">
        <v>73</v>
      </c>
    </row>
    <row r="39" spans="2:5" x14ac:dyDescent="0.3">
      <c r="B39" s="1" t="s">
        <v>37</v>
      </c>
      <c r="C39" s="1">
        <v>72</v>
      </c>
      <c r="D39" s="1" t="s">
        <v>68</v>
      </c>
      <c r="E39" t="s">
        <v>73</v>
      </c>
    </row>
    <row r="40" spans="2:5" x14ac:dyDescent="0.3">
      <c r="B40" s="1" t="s">
        <v>65</v>
      </c>
      <c r="C40" s="1">
        <v>65</v>
      </c>
      <c r="D40" s="1" t="s">
        <v>68</v>
      </c>
      <c r="E40" t="s">
        <v>73</v>
      </c>
    </row>
    <row r="41" spans="2:5" x14ac:dyDescent="0.3">
      <c r="B41" s="1" t="s">
        <v>38</v>
      </c>
      <c r="C41" s="1">
        <v>59</v>
      </c>
      <c r="D41" s="1" t="s">
        <v>68</v>
      </c>
      <c r="E41" t="s">
        <v>74</v>
      </c>
    </row>
    <row r="42" spans="2:5" x14ac:dyDescent="0.3">
      <c r="B42" s="1" t="s">
        <v>39</v>
      </c>
      <c r="C42" s="1">
        <v>44</v>
      </c>
      <c r="D42" s="1" t="s">
        <v>68</v>
      </c>
      <c r="E42" t="s">
        <v>75</v>
      </c>
    </row>
    <row r="43" spans="2:5" x14ac:dyDescent="0.3">
      <c r="B43" s="1" t="s">
        <v>40</v>
      </c>
      <c r="C43" s="1">
        <v>79</v>
      </c>
      <c r="D43" s="1" t="s">
        <v>68</v>
      </c>
      <c r="E43" t="s">
        <v>73</v>
      </c>
    </row>
    <row r="44" spans="2:5" x14ac:dyDescent="0.3">
      <c r="B44" s="1" t="s">
        <v>41</v>
      </c>
      <c r="C44" s="1">
        <v>49</v>
      </c>
      <c r="D44" s="1" t="s">
        <v>68</v>
      </c>
      <c r="E44" t="s">
        <v>76</v>
      </c>
    </row>
    <row r="45" spans="2:5" x14ac:dyDescent="0.3">
      <c r="B45" s="1" t="s">
        <v>42</v>
      </c>
      <c r="C45" s="1">
        <v>68</v>
      </c>
      <c r="D45" s="1" t="s">
        <v>68</v>
      </c>
      <c r="E45" t="s">
        <v>77</v>
      </c>
    </row>
    <row r="46" spans="2:5" x14ac:dyDescent="0.3">
      <c r="B46" s="1" t="s">
        <v>43</v>
      </c>
      <c r="C46" s="1">
        <v>75</v>
      </c>
      <c r="D46" s="1" t="s">
        <v>68</v>
      </c>
      <c r="E46" t="s">
        <v>73</v>
      </c>
    </row>
  </sheetData>
  <mergeCells count="4">
    <mergeCell ref="K1:L1"/>
    <mergeCell ref="B2:I2"/>
    <mergeCell ref="B20:D20"/>
    <mergeCell ref="B33:D33"/>
  </mergeCells>
  <hyperlinks>
    <hyperlink ref="B1" location="Model!A1" display="Model" xr:uid="{191EB341-8C2F-4D17-8524-64F231C50EB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46B5A-B7A0-44C9-84C2-DFF7588B118C}">
  <dimension ref="A1:GC93"/>
  <sheetViews>
    <sheetView tabSelected="1" zoomScale="115" zoomScaleNormal="115" workbookViewId="0">
      <pane xSplit="1" ySplit="2" topLeftCell="X21" activePane="bottomRight" state="frozen"/>
      <selection pane="topRight" activeCell="C1" sqref="C1"/>
      <selection pane="bottomLeft" activeCell="A3" sqref="A3"/>
      <selection pane="bottomRight" activeCell="AM50" sqref="AM50"/>
    </sheetView>
  </sheetViews>
  <sheetFormatPr defaultRowHeight="14.4" x14ac:dyDescent="0.3"/>
  <cols>
    <col min="1" max="1" width="34.5546875" style="7" customWidth="1"/>
    <col min="8" max="10" width="11" bestFit="1" customWidth="1"/>
    <col min="13" max="14" width="11" bestFit="1" customWidth="1"/>
    <col min="15" max="15" width="12" bestFit="1" customWidth="1"/>
    <col min="27" max="27" width="10" bestFit="1" customWidth="1"/>
    <col min="28" max="28" width="11.6640625" bestFit="1" customWidth="1"/>
  </cols>
  <sheetData>
    <row r="1" spans="1:44" s="7" customFormat="1" ht="21" x14ac:dyDescent="0.4">
      <c r="A1" s="8" t="s">
        <v>16</v>
      </c>
    </row>
    <row r="2" spans="1:44" s="10" customFormat="1" x14ac:dyDescent="0.3">
      <c r="C2" s="10" t="s">
        <v>23</v>
      </c>
      <c r="D2" s="10" t="s">
        <v>19</v>
      </c>
      <c r="E2" s="10" t="s">
        <v>20</v>
      </c>
      <c r="F2" s="10" t="s">
        <v>21</v>
      </c>
      <c r="G2" s="10" t="s">
        <v>22</v>
      </c>
      <c r="H2" s="10" t="s">
        <v>14</v>
      </c>
      <c r="I2" s="10" t="s">
        <v>15</v>
      </c>
      <c r="J2" s="10" t="s">
        <v>10</v>
      </c>
      <c r="K2" s="10" t="s">
        <v>11</v>
      </c>
      <c r="L2" s="10" t="s">
        <v>12</v>
      </c>
      <c r="M2" s="10" t="s">
        <v>13</v>
      </c>
      <c r="N2" s="10" t="s">
        <v>8</v>
      </c>
      <c r="O2" s="10" t="s">
        <v>9</v>
      </c>
      <c r="P2" s="10" t="s">
        <v>24</v>
      </c>
      <c r="Q2" s="10" t="s">
        <v>25</v>
      </c>
      <c r="R2" s="10" t="s">
        <v>26</v>
      </c>
      <c r="S2" s="10" t="s">
        <v>27</v>
      </c>
      <c r="U2" s="10">
        <v>2019</v>
      </c>
      <c r="V2" s="10">
        <v>2020</v>
      </c>
      <c r="W2" s="10">
        <v>2021</v>
      </c>
      <c r="X2" s="10">
        <v>2022</v>
      </c>
      <c r="Y2" s="10">
        <v>2023</v>
      </c>
      <c r="Z2" s="10">
        <v>2024</v>
      </c>
      <c r="AA2" s="10">
        <v>2025</v>
      </c>
      <c r="AB2" s="10">
        <v>2026</v>
      </c>
      <c r="AC2" s="10">
        <v>2027</v>
      </c>
      <c r="AD2" s="10">
        <v>2028</v>
      </c>
      <c r="AE2" s="10">
        <v>2029</v>
      </c>
      <c r="AF2" s="10">
        <v>2030</v>
      </c>
      <c r="AG2" s="10">
        <v>2031</v>
      </c>
      <c r="AH2" s="10">
        <v>2032</v>
      </c>
      <c r="AI2" s="10">
        <v>2033</v>
      </c>
      <c r="AJ2" s="10">
        <v>2034</v>
      </c>
      <c r="AK2" s="10">
        <v>2035</v>
      </c>
      <c r="AL2" s="10">
        <v>2036</v>
      </c>
      <c r="AM2" s="10">
        <v>2037</v>
      </c>
      <c r="AN2" s="10">
        <v>2038</v>
      </c>
      <c r="AO2" s="10">
        <v>2039</v>
      </c>
      <c r="AP2" s="10">
        <v>2040</v>
      </c>
      <c r="AQ2" s="10">
        <v>2041</v>
      </c>
      <c r="AR2" s="10">
        <v>2042</v>
      </c>
    </row>
    <row r="3" spans="1:44" s="3" customFormat="1" x14ac:dyDescent="0.3">
      <c r="A3" s="6" t="s">
        <v>78</v>
      </c>
      <c r="C3" s="3">
        <v>91</v>
      </c>
      <c r="D3" s="3">
        <v>104</v>
      </c>
      <c r="E3" s="3">
        <v>191</v>
      </c>
      <c r="F3" s="3">
        <v>263</v>
      </c>
      <c r="G3" s="3">
        <v>280</v>
      </c>
      <c r="H3" s="3">
        <v>271</v>
      </c>
      <c r="I3" s="3">
        <v>331</v>
      </c>
      <c r="J3" s="3">
        <v>309</v>
      </c>
      <c r="K3" s="3">
        <v>324</v>
      </c>
      <c r="L3" s="3">
        <v>314</v>
      </c>
      <c r="M3" s="3">
        <v>341</v>
      </c>
      <c r="N3" s="3">
        <v>329</v>
      </c>
      <c r="O3" s="3">
        <v>355</v>
      </c>
      <c r="V3" s="3">
        <v>513</v>
      </c>
      <c r="W3" s="3">
        <f>SUM(D3:G3)</f>
        <v>838</v>
      </c>
      <c r="X3" s="3">
        <f>SUM(H3:K3)</f>
        <v>1235</v>
      </c>
      <c r="Y3" s="3">
        <f>SUM(L3:O3)</f>
        <v>1339</v>
      </c>
    </row>
    <row r="4" spans="1:44" s="3" customFormat="1" x14ac:dyDescent="0.3">
      <c r="A4" s="6" t="s">
        <v>79</v>
      </c>
      <c r="C4" s="3">
        <v>59</v>
      </c>
      <c r="D4" s="3">
        <v>63</v>
      </c>
      <c r="E4" s="3">
        <v>93</v>
      </c>
      <c r="F4" s="3">
        <v>113</v>
      </c>
      <c r="G4" s="3">
        <v>149</v>
      </c>
      <c r="H4" s="3">
        <v>154</v>
      </c>
      <c r="I4" s="3">
        <v>204</v>
      </c>
      <c r="J4" s="3">
        <v>224</v>
      </c>
      <c r="K4" s="3">
        <v>226</v>
      </c>
      <c r="L4" s="3">
        <v>231</v>
      </c>
      <c r="M4" s="3">
        <v>248</v>
      </c>
      <c r="N4" s="3">
        <v>250</v>
      </c>
      <c r="O4" s="3">
        <v>256</v>
      </c>
      <c r="V4" s="3">
        <v>239</v>
      </c>
      <c r="W4" s="3">
        <f t="shared" ref="W4:W5" si="0">SUM(D4:G4)</f>
        <v>418</v>
      </c>
      <c r="X4" s="3">
        <f t="shared" ref="X4:X5" si="1">SUM(H4:K4)</f>
        <v>808</v>
      </c>
      <c r="Y4" s="3">
        <f t="shared" ref="Y4:Y5" si="2">SUM(L4:O4)</f>
        <v>985</v>
      </c>
    </row>
    <row r="5" spans="1:44" s="3" customFormat="1" x14ac:dyDescent="0.3">
      <c r="A5" s="6" t="s">
        <v>80</v>
      </c>
      <c r="C5" s="3">
        <v>-10</v>
      </c>
      <c r="D5" s="3">
        <v>-8</v>
      </c>
      <c r="E5" s="3">
        <v>-9</v>
      </c>
      <c r="F5" s="3">
        <v>-9</v>
      </c>
      <c r="G5" s="3">
        <v>-9</v>
      </c>
      <c r="H5" s="3">
        <v>-9</v>
      </c>
      <c r="I5" s="3">
        <v>-9</v>
      </c>
      <c r="J5" s="3">
        <v>-9</v>
      </c>
      <c r="K5" s="3">
        <v>-4</v>
      </c>
      <c r="L5" s="3">
        <v>-10</v>
      </c>
      <c r="M5" s="3">
        <v>-12</v>
      </c>
      <c r="N5" s="3">
        <v>-12</v>
      </c>
      <c r="O5" s="3">
        <v>-13</v>
      </c>
      <c r="V5" s="3">
        <v>-30</v>
      </c>
      <c r="W5" s="3">
        <f t="shared" si="0"/>
        <v>-35</v>
      </c>
      <c r="X5" s="3">
        <f t="shared" si="1"/>
        <v>-31</v>
      </c>
      <c r="Y5" s="3">
        <f t="shared" si="2"/>
        <v>-47</v>
      </c>
    </row>
    <row r="6" spans="1:44" s="18" customFormat="1" x14ac:dyDescent="0.3">
      <c r="A6" s="17" t="s">
        <v>81</v>
      </c>
      <c r="C6" s="18">
        <f t="shared" ref="C6:O6" si="3">C4+C5</f>
        <v>49</v>
      </c>
      <c r="D6" s="18">
        <f t="shared" si="3"/>
        <v>55</v>
      </c>
      <c r="E6" s="18">
        <f t="shared" si="3"/>
        <v>84</v>
      </c>
      <c r="F6" s="18">
        <f t="shared" si="3"/>
        <v>104</v>
      </c>
      <c r="G6" s="18">
        <f t="shared" si="3"/>
        <v>140</v>
      </c>
      <c r="H6" s="18">
        <f t="shared" si="3"/>
        <v>145</v>
      </c>
      <c r="I6" s="18">
        <f t="shared" si="3"/>
        <v>195</v>
      </c>
      <c r="J6" s="18">
        <f t="shared" si="3"/>
        <v>215</v>
      </c>
      <c r="K6" s="18">
        <f t="shared" si="3"/>
        <v>222</v>
      </c>
      <c r="L6" s="18">
        <f t="shared" si="3"/>
        <v>221</v>
      </c>
      <c r="M6" s="18">
        <f t="shared" si="3"/>
        <v>236</v>
      </c>
      <c r="N6" s="18">
        <f t="shared" si="3"/>
        <v>238</v>
      </c>
      <c r="O6" s="18">
        <f t="shared" si="3"/>
        <v>243</v>
      </c>
      <c r="V6" s="18">
        <f>V4+V5</f>
        <v>209</v>
      </c>
      <c r="W6" s="16">
        <f>SUM(D6:G6)</f>
        <v>383</v>
      </c>
      <c r="X6" s="18">
        <f>SUM(H6:K6)</f>
        <v>777</v>
      </c>
      <c r="Y6" s="18">
        <f>SUM(L6:O6)</f>
        <v>938</v>
      </c>
    </row>
    <row r="7" spans="1:44" s="3" customFormat="1" x14ac:dyDescent="0.3">
      <c r="A7" s="6" t="s">
        <v>82</v>
      </c>
      <c r="C7" s="3">
        <v>0</v>
      </c>
      <c r="G7" s="3">
        <v>115</v>
      </c>
      <c r="H7" s="3">
        <v>246</v>
      </c>
      <c r="I7" s="3">
        <v>256</v>
      </c>
      <c r="J7" s="3">
        <v>244</v>
      </c>
      <c r="K7" s="3">
        <v>240</v>
      </c>
      <c r="L7" s="3">
        <v>328</v>
      </c>
      <c r="M7" s="3">
        <v>273</v>
      </c>
      <c r="N7" s="3">
        <v>222</v>
      </c>
      <c r="O7" s="3">
        <v>209</v>
      </c>
      <c r="V7" s="3">
        <v>0</v>
      </c>
      <c r="W7" s="3">
        <f t="shared" ref="W7:W9" si="4">SUM(D7:G7)</f>
        <v>115</v>
      </c>
      <c r="X7" s="3">
        <f t="shared" ref="X7:X9" si="5">SUM(H7:K7)</f>
        <v>986</v>
      </c>
      <c r="Y7" s="3">
        <f t="shared" ref="Y7:Y9" si="6">SUM(L7:O7)</f>
        <v>1032</v>
      </c>
    </row>
    <row r="8" spans="1:44" s="3" customFormat="1" x14ac:dyDescent="0.3">
      <c r="A8" s="6" t="s">
        <v>83</v>
      </c>
      <c r="C8" s="3">
        <v>13</v>
      </c>
      <c r="D8" s="3">
        <v>19</v>
      </c>
      <c r="E8" s="3">
        <v>22</v>
      </c>
      <c r="F8" s="3">
        <v>28</v>
      </c>
      <c r="G8" s="3">
        <v>40</v>
      </c>
      <c r="H8" s="3">
        <v>77</v>
      </c>
      <c r="I8" s="3">
        <v>61</v>
      </c>
      <c r="J8" s="3">
        <v>68</v>
      </c>
      <c r="K8" s="3">
        <v>67</v>
      </c>
      <c r="L8" s="3">
        <v>88</v>
      </c>
      <c r="M8" s="3">
        <v>71</v>
      </c>
      <c r="N8" s="3">
        <v>79</v>
      </c>
      <c r="O8" s="3">
        <v>62</v>
      </c>
      <c r="V8" s="3">
        <v>58</v>
      </c>
      <c r="W8" s="3">
        <f t="shared" si="4"/>
        <v>109</v>
      </c>
      <c r="X8" s="3">
        <f t="shared" si="5"/>
        <v>273</v>
      </c>
      <c r="Y8" s="3">
        <f t="shared" si="6"/>
        <v>300</v>
      </c>
    </row>
    <row r="9" spans="1:44" s="3" customFormat="1" x14ac:dyDescent="0.3">
      <c r="A9" s="6" t="s">
        <v>84</v>
      </c>
      <c r="C9" s="3">
        <v>271</v>
      </c>
      <c r="D9" s="3">
        <v>260</v>
      </c>
      <c r="E9" s="3">
        <v>366</v>
      </c>
      <c r="F9" s="3">
        <v>456</v>
      </c>
      <c r="G9" s="3">
        <v>501</v>
      </c>
      <c r="H9" s="3">
        <v>540</v>
      </c>
      <c r="I9" s="3">
        <v>640</v>
      </c>
      <c r="J9" s="3">
        <v>705</v>
      </c>
      <c r="K9" s="3">
        <v>735</v>
      </c>
      <c r="L9" s="3">
        <v>729</v>
      </c>
      <c r="M9" s="3">
        <v>784</v>
      </c>
      <c r="N9" s="3">
        <v>754</v>
      </c>
      <c r="O9" s="3">
        <v>791</v>
      </c>
      <c r="V9" s="3">
        <v>1286</v>
      </c>
      <c r="W9" s="3">
        <f t="shared" si="4"/>
        <v>1583</v>
      </c>
      <c r="X9" s="3">
        <f t="shared" si="5"/>
        <v>2620</v>
      </c>
      <c r="Y9" s="3">
        <f t="shared" si="6"/>
        <v>3058</v>
      </c>
    </row>
    <row r="10" spans="1:44" s="16" customFormat="1" x14ac:dyDescent="0.3">
      <c r="A10" s="15" t="s">
        <v>85</v>
      </c>
      <c r="C10" s="16">
        <f t="shared" ref="C10:O10" si="7">C3+C6+C7+C8+C9</f>
        <v>424</v>
      </c>
      <c r="D10" s="16">
        <f t="shared" si="7"/>
        <v>438</v>
      </c>
      <c r="E10" s="16">
        <f t="shared" si="7"/>
        <v>663</v>
      </c>
      <c r="F10" s="16">
        <f t="shared" si="7"/>
        <v>851</v>
      </c>
      <c r="G10" s="16">
        <f t="shared" si="7"/>
        <v>1076</v>
      </c>
      <c r="H10" s="16">
        <f t="shared" si="7"/>
        <v>1279</v>
      </c>
      <c r="I10" s="16">
        <f t="shared" si="7"/>
        <v>1483</v>
      </c>
      <c r="J10" s="16">
        <f t="shared" si="7"/>
        <v>1541</v>
      </c>
      <c r="K10" s="16">
        <f t="shared" si="7"/>
        <v>1588</v>
      </c>
      <c r="L10" s="16">
        <f t="shared" si="7"/>
        <v>1680</v>
      </c>
      <c r="M10" s="16">
        <f t="shared" si="7"/>
        <v>1705</v>
      </c>
      <c r="N10" s="16">
        <f t="shared" si="7"/>
        <v>1622</v>
      </c>
      <c r="O10" s="16">
        <f t="shared" si="7"/>
        <v>1660</v>
      </c>
      <c r="P10" s="16">
        <f>L10*1.018</f>
        <v>1710.24</v>
      </c>
      <c r="Q10" s="16">
        <f>M10*1.027</f>
        <v>1751.0349999999999</v>
      </c>
      <c r="R10" s="16">
        <f>N10*1.035</f>
        <v>1678.77</v>
      </c>
      <c r="S10" s="16">
        <f>O10*1.035</f>
        <v>1718.1</v>
      </c>
      <c r="V10" s="16">
        <f>V3+V6+V7+V8+V9</f>
        <v>2066</v>
      </c>
      <c r="W10" s="16">
        <f>SUM(D10:G10)</f>
        <v>3028</v>
      </c>
      <c r="X10" s="16">
        <f>SUM(H10:K10)</f>
        <v>5891</v>
      </c>
      <c r="Y10" s="16">
        <f>SUM(L10:O10)</f>
        <v>6667</v>
      </c>
      <c r="Z10" s="16">
        <f>SUM(P10:S10)</f>
        <v>6858.1450000000004</v>
      </c>
      <c r="AA10" s="16">
        <f>Z10*1.095</f>
        <v>7509.6687750000001</v>
      </c>
      <c r="AB10" s="16">
        <f t="shared" ref="AB10:AE10" si="8">AA10*1.095</f>
        <v>8223.0873086249994</v>
      </c>
      <c r="AC10" s="16">
        <f t="shared" si="8"/>
        <v>9004.2806029443746</v>
      </c>
      <c r="AD10" s="16">
        <f t="shared" si="8"/>
        <v>9859.6872602240892</v>
      </c>
      <c r="AE10" s="16">
        <f t="shared" si="8"/>
        <v>10796.357549945378</v>
      </c>
      <c r="AF10" s="16">
        <f>AE10*1.05</f>
        <v>11336.175427442648</v>
      </c>
      <c r="AG10" s="16">
        <f t="shared" ref="AG10:AH10" si="9">AF10*1.05</f>
        <v>11902.98419881478</v>
      </c>
      <c r="AH10" s="16">
        <f t="shared" si="9"/>
        <v>12498.133408755519</v>
      </c>
      <c r="AI10" s="16">
        <f>AH10*1.05</f>
        <v>13123.040079193295</v>
      </c>
      <c r="AJ10" s="16">
        <f>AI10*1.025</f>
        <v>13451.116081173126</v>
      </c>
    </row>
    <row r="11" spans="1:44" s="3" customFormat="1" x14ac:dyDescent="0.3">
      <c r="A11" s="6" t="s">
        <v>78</v>
      </c>
      <c r="C11" s="3">
        <v>132</v>
      </c>
      <c r="D11" s="3">
        <v>124</v>
      </c>
      <c r="E11" s="3">
        <v>174</v>
      </c>
      <c r="F11" s="3">
        <v>208</v>
      </c>
      <c r="G11" s="3">
        <v>219</v>
      </c>
      <c r="H11" s="3">
        <v>210</v>
      </c>
      <c r="I11" s="3">
        <v>229</v>
      </c>
      <c r="J11" s="3">
        <v>236</v>
      </c>
      <c r="K11" s="3">
        <v>241</v>
      </c>
      <c r="L11" s="3">
        <v>240</v>
      </c>
      <c r="M11" s="3">
        <v>257</v>
      </c>
      <c r="N11" s="3">
        <v>256</v>
      </c>
      <c r="O11" s="3">
        <v>269</v>
      </c>
      <c r="P11" s="3">
        <f>P10*0.15</f>
        <v>256.536</v>
      </c>
      <c r="Q11" s="3">
        <f t="shared" ref="Q11:S11" si="10">Q10*0.15</f>
        <v>262.65524999999997</v>
      </c>
      <c r="R11" s="3">
        <f t="shared" si="10"/>
        <v>251.81549999999999</v>
      </c>
      <c r="S11" s="3">
        <f t="shared" si="10"/>
        <v>257.71499999999997</v>
      </c>
      <c r="V11" s="3">
        <v>627</v>
      </c>
      <c r="W11" s="3">
        <f t="shared" ref="W11:W16" si="11">SUM(D11:G11)</f>
        <v>725</v>
      </c>
      <c r="X11" s="3">
        <f t="shared" ref="X11:X16" si="12">SUM(H11:K11)</f>
        <v>916</v>
      </c>
      <c r="Y11" s="3">
        <f t="shared" ref="Y11:Y16" si="13">SUM(L11:O11)</f>
        <v>1022</v>
      </c>
      <c r="Z11" s="3">
        <f>SUM(P11:S11)</f>
        <v>1028.7217499999999</v>
      </c>
      <c r="AA11" s="3">
        <f t="shared" ref="AA11" si="14">AA10*0.15</f>
        <v>1126.45031625</v>
      </c>
      <c r="AB11" s="3">
        <f t="shared" ref="AB11" si="15">AB10*0.15</f>
        <v>1233.4630962937499</v>
      </c>
      <c r="AC11" s="3">
        <f t="shared" ref="AC11" si="16">AC10*0.15</f>
        <v>1350.6420904416561</v>
      </c>
      <c r="AD11" s="3">
        <f t="shared" ref="AD11" si="17">AD10*0.15</f>
        <v>1478.9530890336134</v>
      </c>
      <c r="AE11" s="3">
        <f t="shared" ref="AE11" si="18">AE10*0.15</f>
        <v>1619.4536324918067</v>
      </c>
      <c r="AF11" s="3">
        <f t="shared" ref="AF11" si="19">AF10*0.15</f>
        <v>1700.4263141163972</v>
      </c>
      <c r="AG11" s="3">
        <f t="shared" ref="AG11" si="20">AG10*0.15</f>
        <v>1785.4476298222169</v>
      </c>
      <c r="AH11" s="3">
        <f t="shared" ref="AH11" si="21">AH10*0.15</f>
        <v>1874.7200113133276</v>
      </c>
      <c r="AI11" s="3">
        <f t="shared" ref="AI11" si="22">AI10*0.15</f>
        <v>1968.4560118789941</v>
      </c>
      <c r="AJ11" s="3">
        <f t="shared" ref="AJ11" si="23">AJ10*0.15</f>
        <v>2017.6674121759688</v>
      </c>
    </row>
    <row r="12" spans="1:44" s="3" customFormat="1" x14ac:dyDescent="0.3">
      <c r="A12" s="6" t="s">
        <v>82</v>
      </c>
      <c r="C12" s="3">
        <v>0</v>
      </c>
      <c r="D12" s="3">
        <v>0</v>
      </c>
      <c r="E12" s="3">
        <v>0</v>
      </c>
      <c r="F12" s="3">
        <v>0</v>
      </c>
      <c r="G12" s="3">
        <v>112</v>
      </c>
      <c r="H12" s="3">
        <v>194</v>
      </c>
      <c r="I12" s="3">
        <v>206</v>
      </c>
      <c r="J12" s="3">
        <v>186</v>
      </c>
      <c r="K12" s="3">
        <v>189</v>
      </c>
      <c r="L12" s="3">
        <v>258</v>
      </c>
      <c r="M12" s="3">
        <v>224</v>
      </c>
      <c r="N12" s="3">
        <v>182</v>
      </c>
      <c r="O12" s="3">
        <v>184</v>
      </c>
      <c r="P12" s="3">
        <f>P10*0.12</f>
        <v>205.22880000000001</v>
      </c>
      <c r="Q12" s="3">
        <f t="shared" ref="Q12:S12" si="24">Q10*0.12</f>
        <v>210.12419999999997</v>
      </c>
      <c r="R12" s="3">
        <f t="shared" si="24"/>
        <v>201.45239999999998</v>
      </c>
      <c r="S12" s="3">
        <f t="shared" si="24"/>
        <v>206.17199999999997</v>
      </c>
      <c r="V12" s="3">
        <v>0</v>
      </c>
      <c r="W12" s="3">
        <f t="shared" si="11"/>
        <v>112</v>
      </c>
      <c r="X12" s="3">
        <f t="shared" si="12"/>
        <v>775</v>
      </c>
      <c r="Y12" s="3">
        <f t="shared" si="13"/>
        <v>848</v>
      </c>
      <c r="Z12" s="3">
        <f t="shared" ref="Z12:Z16" si="25">SUM(P12:S12)</f>
        <v>822.97739999999999</v>
      </c>
      <c r="AA12" s="3">
        <f t="shared" ref="AA12:AJ12" si="26">AA10*0.12</f>
        <v>901.16025300000001</v>
      </c>
      <c r="AB12" s="3">
        <f t="shared" si="26"/>
        <v>986.77047703499989</v>
      </c>
      <c r="AC12" s="3">
        <f t="shared" si="26"/>
        <v>1080.5136723533249</v>
      </c>
      <c r="AD12" s="3">
        <f t="shared" si="26"/>
        <v>1183.1624712268906</v>
      </c>
      <c r="AE12" s="3">
        <f t="shared" si="26"/>
        <v>1295.5629059934454</v>
      </c>
      <c r="AF12" s="3">
        <f t="shared" si="26"/>
        <v>1360.3410512931177</v>
      </c>
      <c r="AG12" s="3">
        <f t="shared" si="26"/>
        <v>1428.3581038577736</v>
      </c>
      <c r="AH12" s="3">
        <f t="shared" si="26"/>
        <v>1499.7760090506622</v>
      </c>
      <c r="AI12" s="3">
        <f t="shared" si="26"/>
        <v>1574.7648095031955</v>
      </c>
      <c r="AJ12" s="3">
        <f t="shared" si="26"/>
        <v>1614.1339297407751</v>
      </c>
    </row>
    <row r="13" spans="1:44" s="3" customFormat="1" x14ac:dyDescent="0.3">
      <c r="A13" s="6" t="s">
        <v>86</v>
      </c>
      <c r="C13" s="3">
        <v>77</v>
      </c>
      <c r="D13" s="3">
        <v>74</v>
      </c>
      <c r="E13" s="3">
        <v>74</v>
      </c>
      <c r="F13" s="3">
        <v>71</v>
      </c>
      <c r="G13" s="3">
        <v>91</v>
      </c>
      <c r="H13" s="3">
        <v>119</v>
      </c>
      <c r="I13" s="3">
        <v>105</v>
      </c>
      <c r="J13" s="3">
        <v>96</v>
      </c>
      <c r="K13" s="3">
        <v>106</v>
      </c>
      <c r="L13" s="3">
        <v>98</v>
      </c>
      <c r="M13" s="3">
        <v>99</v>
      </c>
      <c r="N13" s="3">
        <v>100</v>
      </c>
      <c r="O13" s="3">
        <v>100</v>
      </c>
      <c r="P13" s="3">
        <f>P10*0.06</f>
        <v>102.6144</v>
      </c>
      <c r="Q13" s="3">
        <f t="shared" ref="Q13:S13" si="27">Q10*0.06</f>
        <v>105.06209999999999</v>
      </c>
      <c r="R13" s="3">
        <f t="shared" si="27"/>
        <v>100.72619999999999</v>
      </c>
      <c r="S13" s="3">
        <f t="shared" si="27"/>
        <v>103.08599999999998</v>
      </c>
      <c r="V13" s="3">
        <v>310</v>
      </c>
      <c r="W13" s="3">
        <f t="shared" si="11"/>
        <v>310</v>
      </c>
      <c r="X13" s="3">
        <f t="shared" si="12"/>
        <v>426</v>
      </c>
      <c r="Y13" s="3">
        <f t="shared" si="13"/>
        <v>397</v>
      </c>
      <c r="Z13" s="3">
        <f t="shared" si="25"/>
        <v>411.48869999999999</v>
      </c>
      <c r="AA13" s="3">
        <f t="shared" ref="AA13:AJ13" si="28">AA10*0.06</f>
        <v>450.58012650000001</v>
      </c>
      <c r="AB13" s="3">
        <f t="shared" si="28"/>
        <v>493.38523851749994</v>
      </c>
      <c r="AC13" s="3">
        <f t="shared" si="28"/>
        <v>540.25683617666243</v>
      </c>
      <c r="AD13" s="3">
        <f t="shared" si="28"/>
        <v>591.5812356134453</v>
      </c>
      <c r="AE13" s="3">
        <f t="shared" si="28"/>
        <v>647.78145299672269</v>
      </c>
      <c r="AF13" s="3">
        <f t="shared" si="28"/>
        <v>680.17052564655887</v>
      </c>
      <c r="AG13" s="3">
        <f t="shared" si="28"/>
        <v>714.17905192888679</v>
      </c>
      <c r="AH13" s="3">
        <f t="shared" si="28"/>
        <v>749.8880045253311</v>
      </c>
      <c r="AI13" s="3">
        <f t="shared" si="28"/>
        <v>787.38240475159773</v>
      </c>
      <c r="AJ13" s="3">
        <f t="shared" si="28"/>
        <v>807.06696487038755</v>
      </c>
    </row>
    <row r="14" spans="1:44" s="3" customFormat="1" x14ac:dyDescent="0.3">
      <c r="A14" s="6" t="s">
        <v>87</v>
      </c>
      <c r="C14" s="3">
        <v>15</v>
      </c>
      <c r="D14" s="3">
        <v>23</v>
      </c>
      <c r="E14" s="3">
        <v>24</v>
      </c>
      <c r="F14" s="3">
        <v>31</v>
      </c>
      <c r="G14" s="3">
        <v>49</v>
      </c>
      <c r="H14" s="3">
        <v>67</v>
      </c>
      <c r="I14" s="3">
        <v>69</v>
      </c>
      <c r="J14" s="3">
        <v>73</v>
      </c>
      <c r="K14" s="3">
        <v>71</v>
      </c>
      <c r="L14" s="3">
        <v>98</v>
      </c>
      <c r="M14" s="3">
        <v>87</v>
      </c>
      <c r="N14" s="3">
        <v>81</v>
      </c>
      <c r="O14" s="3">
        <v>70</v>
      </c>
      <c r="P14" s="3">
        <f>P10*0.05</f>
        <v>85.512</v>
      </c>
      <c r="Q14" s="3">
        <f t="shared" ref="Q14:S14" si="29">Q10*0.05</f>
        <v>87.551749999999998</v>
      </c>
      <c r="R14" s="3">
        <f t="shared" si="29"/>
        <v>83.938500000000005</v>
      </c>
      <c r="S14" s="3">
        <f t="shared" si="29"/>
        <v>85.905000000000001</v>
      </c>
      <c r="V14" s="3">
        <v>65</v>
      </c>
      <c r="W14" s="3">
        <f t="shared" si="11"/>
        <v>127</v>
      </c>
      <c r="X14" s="3">
        <f t="shared" si="12"/>
        <v>280</v>
      </c>
      <c r="Y14" s="3">
        <f t="shared" si="13"/>
        <v>336</v>
      </c>
      <c r="Z14" s="3">
        <f t="shared" si="25"/>
        <v>342.90724999999998</v>
      </c>
      <c r="AA14" s="3">
        <f t="shared" ref="AA14:AJ14" si="30">AA10*0.05</f>
        <v>375.48343875</v>
      </c>
      <c r="AB14" s="3">
        <f t="shared" si="30"/>
        <v>411.15436543124997</v>
      </c>
      <c r="AC14" s="3">
        <f t="shared" si="30"/>
        <v>450.21403014721875</v>
      </c>
      <c r="AD14" s="3">
        <f t="shared" si="30"/>
        <v>492.98436301120449</v>
      </c>
      <c r="AE14" s="3">
        <f t="shared" si="30"/>
        <v>539.81787749726891</v>
      </c>
      <c r="AF14" s="3">
        <f t="shared" si="30"/>
        <v>566.80877137213236</v>
      </c>
      <c r="AG14" s="3">
        <f t="shared" si="30"/>
        <v>595.14920994073907</v>
      </c>
      <c r="AH14" s="3">
        <f t="shared" si="30"/>
        <v>624.90667043777603</v>
      </c>
      <c r="AI14" s="3">
        <f t="shared" si="30"/>
        <v>656.15200395966485</v>
      </c>
      <c r="AJ14" s="3">
        <f t="shared" si="30"/>
        <v>672.55580405865635</v>
      </c>
    </row>
    <row r="15" spans="1:44" s="3" customFormat="1" x14ac:dyDescent="0.3">
      <c r="A15" s="6" t="s">
        <v>88</v>
      </c>
      <c r="C15" s="3">
        <v>104</v>
      </c>
      <c r="D15" s="3">
        <v>95</v>
      </c>
      <c r="E15" s="3">
        <v>86</v>
      </c>
      <c r="F15" s="3">
        <v>69</v>
      </c>
      <c r="G15" s="3">
        <v>116</v>
      </c>
      <c r="H15" s="3">
        <v>111</v>
      </c>
      <c r="I15" s="3">
        <v>76</v>
      </c>
      <c r="J15" s="3">
        <v>108</v>
      </c>
      <c r="K15" s="3">
        <v>169</v>
      </c>
      <c r="L15" s="3">
        <v>161</v>
      </c>
      <c r="M15" s="3">
        <v>142</v>
      </c>
      <c r="N15" s="3">
        <v>131</v>
      </c>
      <c r="O15" s="3">
        <v>181</v>
      </c>
      <c r="P15" s="3">
        <f>P10*0.1</f>
        <v>171.024</v>
      </c>
      <c r="Q15" s="3">
        <f t="shared" ref="Q15:S15" si="31">Q10*0.1</f>
        <v>175.1035</v>
      </c>
      <c r="R15" s="3">
        <f t="shared" si="31"/>
        <v>167.87700000000001</v>
      </c>
      <c r="S15" s="3">
        <f t="shared" si="31"/>
        <v>171.81</v>
      </c>
      <c r="V15" s="3">
        <v>321</v>
      </c>
      <c r="W15" s="3">
        <f t="shared" si="11"/>
        <v>366</v>
      </c>
      <c r="X15" s="3">
        <f t="shared" si="12"/>
        <v>464</v>
      </c>
      <c r="Y15" s="3">
        <f t="shared" si="13"/>
        <v>615</v>
      </c>
      <c r="Z15" s="3">
        <f t="shared" si="25"/>
        <v>685.81449999999995</v>
      </c>
      <c r="AA15" s="3">
        <f t="shared" ref="AA15:AJ15" si="32">AA10*0.1</f>
        <v>750.96687750000001</v>
      </c>
      <c r="AB15" s="3">
        <f t="shared" si="32"/>
        <v>822.30873086249994</v>
      </c>
      <c r="AC15" s="3">
        <f t="shared" si="32"/>
        <v>900.4280602944375</v>
      </c>
      <c r="AD15" s="3">
        <f t="shared" si="32"/>
        <v>985.96872602240899</v>
      </c>
      <c r="AE15" s="3">
        <f t="shared" si="32"/>
        <v>1079.6357549945378</v>
      </c>
      <c r="AF15" s="3">
        <f t="shared" si="32"/>
        <v>1133.6175427442647</v>
      </c>
      <c r="AG15" s="3">
        <f t="shared" si="32"/>
        <v>1190.2984198814781</v>
      </c>
      <c r="AH15" s="3">
        <f t="shared" si="32"/>
        <v>1249.8133408755521</v>
      </c>
      <c r="AI15" s="3">
        <f t="shared" si="32"/>
        <v>1312.3040079193297</v>
      </c>
      <c r="AJ15" s="3">
        <f t="shared" si="32"/>
        <v>1345.1116081173127</v>
      </c>
    </row>
    <row r="16" spans="1:44" s="3" customFormat="1" x14ac:dyDescent="0.3">
      <c r="A16" s="6" t="s">
        <v>89</v>
      </c>
      <c r="C16" s="3">
        <v>307</v>
      </c>
      <c r="D16" s="3">
        <v>277</v>
      </c>
      <c r="E16" s="3">
        <v>375</v>
      </c>
      <c r="F16" s="3">
        <v>465</v>
      </c>
      <c r="G16" s="3">
        <v>522</v>
      </c>
      <c r="H16" s="3">
        <v>556</v>
      </c>
      <c r="I16" s="3">
        <v>628</v>
      </c>
      <c r="J16" s="3">
        <v>697</v>
      </c>
      <c r="K16" s="3">
        <v>751</v>
      </c>
      <c r="L16" s="3">
        <v>749</v>
      </c>
      <c r="M16" s="3">
        <v>789</v>
      </c>
      <c r="N16" s="3">
        <v>764</v>
      </c>
      <c r="O16" s="3">
        <v>842</v>
      </c>
      <c r="P16" s="3">
        <f>P10*0.47</f>
        <v>803.81279999999992</v>
      </c>
      <c r="Q16" s="3">
        <f t="shared" ref="Q16:S16" si="33">Q10*0.47</f>
        <v>822.98644999999988</v>
      </c>
      <c r="R16" s="3">
        <f t="shared" si="33"/>
        <v>789.02189999999996</v>
      </c>
      <c r="S16" s="3">
        <f t="shared" si="33"/>
        <v>807.50699999999995</v>
      </c>
      <c r="V16" s="3">
        <v>1375</v>
      </c>
      <c r="W16" s="3">
        <f t="shared" si="11"/>
        <v>1639</v>
      </c>
      <c r="X16" s="3">
        <f t="shared" si="12"/>
        <v>2632</v>
      </c>
      <c r="Y16" s="3">
        <f t="shared" si="13"/>
        <v>3144</v>
      </c>
      <c r="Z16" s="3">
        <f t="shared" si="25"/>
        <v>3223.3281499999998</v>
      </c>
      <c r="AA16" s="3">
        <f t="shared" ref="AA16:AJ16" si="34">AA10*0.47</f>
        <v>3529.54432425</v>
      </c>
      <c r="AB16" s="3">
        <f t="shared" si="34"/>
        <v>3864.8510350537495</v>
      </c>
      <c r="AC16" s="3">
        <f t="shared" si="34"/>
        <v>4232.011883383856</v>
      </c>
      <c r="AD16" s="3">
        <f t="shared" si="34"/>
        <v>4634.0530123053213</v>
      </c>
      <c r="AE16" s="3">
        <f t="shared" si="34"/>
        <v>5074.2880484743273</v>
      </c>
      <c r="AF16" s="3">
        <f t="shared" si="34"/>
        <v>5328.0024508980441</v>
      </c>
      <c r="AG16" s="3">
        <f t="shared" si="34"/>
        <v>5594.402573442946</v>
      </c>
      <c r="AH16" s="3">
        <f t="shared" si="34"/>
        <v>5874.1227021150935</v>
      </c>
      <c r="AI16" s="3">
        <f t="shared" si="34"/>
        <v>6167.8288372208481</v>
      </c>
      <c r="AJ16" s="3">
        <f t="shared" si="34"/>
        <v>6322.0245581513691</v>
      </c>
    </row>
    <row r="17" spans="1:183" s="14" customFormat="1" x14ac:dyDescent="0.3">
      <c r="A17" s="13" t="s">
        <v>90</v>
      </c>
      <c r="C17" s="14">
        <f t="shared" ref="C17:O17" si="35">SUM(C11:C16)</f>
        <v>635</v>
      </c>
      <c r="D17" s="14">
        <f t="shared" si="35"/>
        <v>593</v>
      </c>
      <c r="E17" s="14">
        <f t="shared" si="35"/>
        <v>733</v>
      </c>
      <c r="F17" s="14">
        <f t="shared" si="35"/>
        <v>844</v>
      </c>
      <c r="G17" s="14">
        <f t="shared" si="35"/>
        <v>1109</v>
      </c>
      <c r="H17" s="14">
        <f t="shared" si="35"/>
        <v>1257</v>
      </c>
      <c r="I17" s="14">
        <f t="shared" si="35"/>
        <v>1313</v>
      </c>
      <c r="J17" s="14">
        <f t="shared" si="35"/>
        <v>1396</v>
      </c>
      <c r="K17" s="14">
        <f t="shared" si="35"/>
        <v>1527</v>
      </c>
      <c r="L17" s="14">
        <f t="shared" si="35"/>
        <v>1604</v>
      </c>
      <c r="M17" s="14">
        <f t="shared" si="35"/>
        <v>1598</v>
      </c>
      <c r="N17" s="14">
        <f t="shared" si="35"/>
        <v>1514</v>
      </c>
      <c r="O17" s="14">
        <f t="shared" si="35"/>
        <v>1646</v>
      </c>
      <c r="P17" s="14">
        <f t="shared" ref="P17" si="36">SUM(P11:P16)</f>
        <v>1624.7280000000001</v>
      </c>
      <c r="Q17" s="14">
        <f t="shared" ref="Q17" si="37">SUM(Q11:Q16)</f>
        <v>1663.4832499999998</v>
      </c>
      <c r="R17" s="14">
        <f t="shared" ref="R17" si="38">SUM(R11:R16)</f>
        <v>1594.8314999999998</v>
      </c>
      <c r="S17" s="14">
        <f t="shared" ref="S17" si="39">SUM(S11:S16)</f>
        <v>1632.1949999999997</v>
      </c>
      <c r="V17" s="14">
        <f>SUM(V11:V16)</f>
        <v>2698</v>
      </c>
      <c r="W17" s="14">
        <f>SUM(D17:G17)</f>
        <v>3279</v>
      </c>
      <c r="X17" s="14">
        <f>SUM(H17:K17)</f>
        <v>5493</v>
      </c>
      <c r="Y17" s="14">
        <f>SUM(L17:O17)</f>
        <v>6362</v>
      </c>
      <c r="Z17" s="14">
        <f t="shared" ref="Z17" si="40">SUM(Z11:Z16)</f>
        <v>6515.2377499999993</v>
      </c>
      <c r="AA17" s="14">
        <f t="shared" ref="AA17" si="41">SUM(AA11:AA16)</f>
        <v>7134.1853362500005</v>
      </c>
      <c r="AB17" s="14">
        <f t="shared" ref="AB17" si="42">SUM(AB11:AB16)</f>
        <v>7811.9329431937495</v>
      </c>
      <c r="AC17" s="14">
        <f t="shared" ref="AC17" si="43">SUM(AC11:AC16)</f>
        <v>8554.0665727971555</v>
      </c>
      <c r="AD17" s="14">
        <f t="shared" ref="AD17" si="44">SUM(AD11:AD16)</f>
        <v>9366.7028972128828</v>
      </c>
      <c r="AE17" s="14">
        <f t="shared" ref="AE17" si="45">SUM(AE11:AE16)</f>
        <v>10256.539672448109</v>
      </c>
      <c r="AF17" s="14">
        <f t="shared" ref="AF17" si="46">SUM(AF11:AF16)</f>
        <v>10769.366656070515</v>
      </c>
      <c r="AG17" s="14">
        <f t="shared" ref="AG17" si="47">SUM(AG11:AG16)</f>
        <v>11307.834988874041</v>
      </c>
      <c r="AH17" s="14">
        <f t="shared" ref="AH17" si="48">SUM(AH11:AH16)</f>
        <v>11873.226738317742</v>
      </c>
      <c r="AI17" s="14">
        <f t="shared" ref="AI17" si="49">SUM(AI11:AI16)</f>
        <v>12466.88807523363</v>
      </c>
      <c r="AJ17" s="14">
        <f t="shared" ref="AJ17" si="50">SUM(AJ11:AJ16)</f>
        <v>12778.560277114469</v>
      </c>
    </row>
    <row r="18" spans="1:183" s="16" customFormat="1" x14ac:dyDescent="0.3">
      <c r="A18" s="15" t="s">
        <v>103</v>
      </c>
      <c r="C18" s="16">
        <f t="shared" ref="C18:O18" si="51">C10-C17</f>
        <v>-211</v>
      </c>
      <c r="D18" s="16">
        <f t="shared" si="51"/>
        <v>-155</v>
      </c>
      <c r="E18" s="16">
        <f t="shared" si="51"/>
        <v>-70</v>
      </c>
      <c r="F18" s="16">
        <f t="shared" si="51"/>
        <v>7</v>
      </c>
      <c r="G18" s="16">
        <f t="shared" si="51"/>
        <v>-33</v>
      </c>
      <c r="H18" s="16">
        <f t="shared" si="51"/>
        <v>22</v>
      </c>
      <c r="I18" s="16">
        <f t="shared" si="51"/>
        <v>170</v>
      </c>
      <c r="J18" s="16">
        <f t="shared" si="51"/>
        <v>145</v>
      </c>
      <c r="K18" s="16">
        <f t="shared" si="51"/>
        <v>61</v>
      </c>
      <c r="L18" s="16">
        <f t="shared" si="51"/>
        <v>76</v>
      </c>
      <c r="M18" s="16">
        <f t="shared" si="51"/>
        <v>107</v>
      </c>
      <c r="N18" s="16">
        <f t="shared" si="51"/>
        <v>108</v>
      </c>
      <c r="O18" s="16">
        <f t="shared" si="51"/>
        <v>14</v>
      </c>
      <c r="P18" s="16">
        <f t="shared" ref="P18" si="52">P10-P17</f>
        <v>85.511999999999944</v>
      </c>
      <c r="Q18" s="16">
        <f t="shared" ref="Q18" si="53">Q10-Q17</f>
        <v>87.551750000000084</v>
      </c>
      <c r="R18" s="16">
        <f t="shared" ref="R18" si="54">R10-R17</f>
        <v>83.938500000000204</v>
      </c>
      <c r="S18" s="16">
        <f t="shared" ref="S18" si="55">S10-S17</f>
        <v>85.9050000000002</v>
      </c>
      <c r="V18" s="16">
        <f>V10-V17</f>
        <v>-632</v>
      </c>
      <c r="W18" s="16">
        <f>SUM(D18:G18)</f>
        <v>-251</v>
      </c>
      <c r="X18" s="16">
        <f>SUM(H18:K18)</f>
        <v>398</v>
      </c>
      <c r="Y18" s="16">
        <f>SUM(L18:O18)</f>
        <v>305</v>
      </c>
      <c r="Z18" s="16">
        <f t="shared" ref="Z18" si="56">Z10-Z17</f>
        <v>342.90725000000111</v>
      </c>
      <c r="AA18" s="16">
        <f t="shared" ref="AA18" si="57">AA10-AA17</f>
        <v>375.48343874999955</v>
      </c>
      <c r="AB18" s="16">
        <f t="shared" ref="AB18" si="58">AB10-AB17</f>
        <v>411.15436543124997</v>
      </c>
      <c r="AC18" s="16">
        <f t="shared" ref="AC18" si="59">AC10-AC17</f>
        <v>450.21403014721909</v>
      </c>
      <c r="AD18" s="16">
        <f t="shared" ref="AD18" si="60">AD10-AD17</f>
        <v>492.98436301120637</v>
      </c>
      <c r="AE18" s="16">
        <f t="shared" ref="AE18" si="61">AE10-AE17</f>
        <v>539.81787749726936</v>
      </c>
      <c r="AF18" s="16">
        <f t="shared" ref="AF18" si="62">AF10-AF17</f>
        <v>566.80877137213247</v>
      </c>
      <c r="AG18" s="16">
        <f t="shared" ref="AG18" si="63">AG10-AG17</f>
        <v>595.14920994073873</v>
      </c>
      <c r="AH18" s="16">
        <f t="shared" ref="AH18" si="64">AH10-AH17</f>
        <v>624.90667043777648</v>
      </c>
      <c r="AI18" s="16">
        <f t="shared" ref="AI18" si="65">AI10-AI17</f>
        <v>656.15200395966531</v>
      </c>
      <c r="AJ18" s="16">
        <f t="shared" ref="AJ18" si="66">AJ10-AJ17</f>
        <v>672.55580405865658</v>
      </c>
    </row>
    <row r="19" spans="1:183" x14ac:dyDescent="0.3">
      <c r="A19" s="7" t="s">
        <v>91</v>
      </c>
      <c r="C19" s="3">
        <v>37</v>
      </c>
      <c r="D19" s="3">
        <v>12</v>
      </c>
      <c r="E19" s="3">
        <v>24</v>
      </c>
      <c r="F19" s="3">
        <v>-1</v>
      </c>
      <c r="G19" s="3">
        <v>8</v>
      </c>
      <c r="H19" s="3">
        <v>-31</v>
      </c>
      <c r="I19" s="3">
        <v>-46</v>
      </c>
      <c r="J19" s="3">
        <v>-12</v>
      </c>
      <c r="K19" s="3">
        <v>14</v>
      </c>
      <c r="L19" s="3">
        <v>18</v>
      </c>
      <c r="M19" s="3">
        <v>17</v>
      </c>
      <c r="N19" s="3">
        <v>-9</v>
      </c>
      <c r="O19" s="3">
        <v>29</v>
      </c>
      <c r="P19" s="3">
        <f>AVERAGE(H19:O19)</f>
        <v>-2.5</v>
      </c>
      <c r="Q19" s="3">
        <f t="shared" ref="Q19:S19" si="67">AVERAGE(I19:P19)</f>
        <v>1.0625</v>
      </c>
      <c r="R19" s="3">
        <f t="shared" si="67"/>
        <v>6.9453125</v>
      </c>
      <c r="S19" s="3">
        <f t="shared" si="67"/>
        <v>9.3134765625</v>
      </c>
      <c r="V19" s="3">
        <v>60</v>
      </c>
      <c r="W19" s="3">
        <f t="shared" ref="W19:W24" si="68">SUM(D19:G19)</f>
        <v>43</v>
      </c>
      <c r="X19" s="3">
        <f t="shared" ref="X19:X24" si="69">SUM(H19:K19)</f>
        <v>-75</v>
      </c>
      <c r="Y19" s="3">
        <f t="shared" ref="Y19:Y24" si="70">SUM(L19:O19)</f>
        <v>55</v>
      </c>
      <c r="Z19" s="3">
        <f t="shared" ref="Z19:Z24" si="71">SUM(P19:S19)</f>
        <v>14.8212890625</v>
      </c>
      <c r="AA19" s="21">
        <f>Z19*1.1</f>
        <v>16.303417968750001</v>
      </c>
      <c r="AB19" s="21">
        <f t="shared" ref="AB19:AJ19" si="72">AA19*1.1</f>
        <v>17.933759765625002</v>
      </c>
      <c r="AC19" s="21">
        <f t="shared" si="72"/>
        <v>19.727135742187503</v>
      </c>
      <c r="AD19" s="21">
        <f t="shared" si="72"/>
        <v>21.699849316406254</v>
      </c>
      <c r="AE19" s="21">
        <f t="shared" si="72"/>
        <v>23.869834248046882</v>
      </c>
      <c r="AF19" s="21">
        <f t="shared" si="72"/>
        <v>26.256817672851572</v>
      </c>
      <c r="AG19" s="21">
        <f t="shared" si="72"/>
        <v>28.88249944013673</v>
      </c>
      <c r="AH19" s="21">
        <f t="shared" si="72"/>
        <v>31.770749384150406</v>
      </c>
      <c r="AI19" s="21">
        <f t="shared" si="72"/>
        <v>34.947824322565452</v>
      </c>
      <c r="AJ19" s="21">
        <f t="shared" si="72"/>
        <v>38.442606754822002</v>
      </c>
    </row>
    <row r="20" spans="1:183" x14ac:dyDescent="0.3">
      <c r="A20" s="7" t="s">
        <v>92</v>
      </c>
      <c r="C20" s="3">
        <v>-25</v>
      </c>
      <c r="D20" s="3">
        <v>54</v>
      </c>
      <c r="E20" s="3">
        <v>-34</v>
      </c>
      <c r="F20" s="3">
        <v>-12</v>
      </c>
      <c r="G20" s="3">
        <v>20</v>
      </c>
      <c r="H20" s="3">
        <v>-9</v>
      </c>
      <c r="I20" s="3">
        <v>1</v>
      </c>
      <c r="J20" s="3">
        <v>2</v>
      </c>
      <c r="K20" s="3">
        <v>11</v>
      </c>
      <c r="L20" s="3">
        <v>-2</v>
      </c>
      <c r="M20" s="3">
        <v>-1</v>
      </c>
      <c r="N20" s="3">
        <v>7</v>
      </c>
      <c r="O20" s="3">
        <v>-5</v>
      </c>
      <c r="P20" s="3">
        <f>AVERAGE(H20:O20)</f>
        <v>0.5</v>
      </c>
      <c r="Q20" s="3">
        <f t="shared" ref="Q20:S20" si="73">AVERAGE(I20:P20)</f>
        <v>1.6875</v>
      </c>
      <c r="R20" s="3">
        <f t="shared" si="73"/>
        <v>1.7734375</v>
      </c>
      <c r="S20" s="3">
        <f t="shared" si="73"/>
        <v>1.7451171875</v>
      </c>
      <c r="V20" s="3">
        <v>-70</v>
      </c>
      <c r="W20" s="3">
        <f t="shared" si="68"/>
        <v>28</v>
      </c>
      <c r="X20" s="3">
        <f t="shared" si="69"/>
        <v>5</v>
      </c>
      <c r="Y20" s="3">
        <f t="shared" si="70"/>
        <v>-1</v>
      </c>
      <c r="Z20" s="3">
        <f t="shared" si="71"/>
        <v>5.7060546875</v>
      </c>
      <c r="AA20" s="3">
        <f>AVERAGE(W20:Z20)</f>
        <v>9.426513671875</v>
      </c>
      <c r="AB20" s="21">
        <f>AA20*1.01</f>
        <v>9.5207788085937501</v>
      </c>
      <c r="AC20" s="21">
        <f t="shared" ref="AC20:AJ20" si="74">AB20*1.01</f>
        <v>9.6159865966796882</v>
      </c>
      <c r="AD20" s="21">
        <f t="shared" si="74"/>
        <v>9.7121464626464853</v>
      </c>
      <c r="AE20" s="21">
        <f t="shared" si="74"/>
        <v>9.8092679272729502</v>
      </c>
      <c r="AF20" s="21">
        <f t="shared" si="74"/>
        <v>9.9073606065456801</v>
      </c>
      <c r="AG20" s="21">
        <f t="shared" si="74"/>
        <v>10.006434212611136</v>
      </c>
      <c r="AH20" s="21">
        <f t="shared" si="74"/>
        <v>10.106498554737248</v>
      </c>
      <c r="AI20" s="21">
        <f t="shared" si="74"/>
        <v>10.207563540284621</v>
      </c>
      <c r="AJ20" s="21">
        <f t="shared" si="74"/>
        <v>10.309639175687467</v>
      </c>
    </row>
    <row r="21" spans="1:183" x14ac:dyDescent="0.3">
      <c r="A21" s="7" t="s">
        <v>93</v>
      </c>
      <c r="C21" s="3">
        <v>-41</v>
      </c>
      <c r="D21" s="3">
        <v>-41</v>
      </c>
      <c r="E21" s="3">
        <v>-42</v>
      </c>
      <c r="F21" s="3">
        <v>-40</v>
      </c>
      <c r="G21" s="3">
        <v>-40</v>
      </c>
      <c r="H21" s="3">
        <v>-40</v>
      </c>
      <c r="I21" s="3">
        <v>-38</v>
      </c>
      <c r="J21" s="3">
        <v>-38</v>
      </c>
      <c r="K21" s="3">
        <v>-34</v>
      </c>
      <c r="L21" s="3">
        <v>-33</v>
      </c>
      <c r="M21" s="3">
        <v>-31</v>
      </c>
      <c r="N21" s="3">
        <v>-41</v>
      </c>
      <c r="O21" s="3">
        <v>-40</v>
      </c>
      <c r="P21" s="3">
        <f>AVERAGE(H21:O21)</f>
        <v>-36.875</v>
      </c>
      <c r="Q21" s="3">
        <f t="shared" ref="Q21:S21" si="75">AVERAGE(I21:P21)</f>
        <v>-36.484375</v>
      </c>
      <c r="R21" s="3">
        <f t="shared" si="75"/>
        <v>-36.294921875</v>
      </c>
      <c r="S21" s="3">
        <f t="shared" si="75"/>
        <v>-36.081787109375</v>
      </c>
      <c r="V21" s="3">
        <v>-128</v>
      </c>
      <c r="W21" s="3">
        <f t="shared" si="68"/>
        <v>-163</v>
      </c>
      <c r="X21" s="3">
        <f t="shared" si="69"/>
        <v>-150</v>
      </c>
      <c r="Y21" s="3">
        <f t="shared" si="70"/>
        <v>-145</v>
      </c>
      <c r="Z21" s="3">
        <f t="shared" si="71"/>
        <v>-145.736083984375</v>
      </c>
      <c r="AA21" s="3">
        <f>Z21*0.95</f>
        <v>-138.44927978515625</v>
      </c>
      <c r="AB21" s="3">
        <f t="shared" ref="AB21:AJ21" si="76">AA21*0.95</f>
        <v>-131.52681579589844</v>
      </c>
      <c r="AC21" s="3">
        <f t="shared" si="76"/>
        <v>-124.95047500610352</v>
      </c>
      <c r="AD21" s="3">
        <f t="shared" si="76"/>
        <v>-118.70295125579834</v>
      </c>
      <c r="AE21" s="3">
        <f t="shared" si="76"/>
        <v>-112.76780369300842</v>
      </c>
      <c r="AF21" s="3">
        <f t="shared" si="76"/>
        <v>-107.12941350835798</v>
      </c>
      <c r="AG21" s="3">
        <f t="shared" si="76"/>
        <v>-101.77294283294007</v>
      </c>
      <c r="AH21" s="3">
        <f t="shared" si="76"/>
        <v>-96.684295691293073</v>
      </c>
      <c r="AI21" s="3">
        <f t="shared" si="76"/>
        <v>-91.850080906728408</v>
      </c>
      <c r="AJ21" s="3">
        <f t="shared" si="76"/>
        <v>-87.257576861391982</v>
      </c>
    </row>
    <row r="22" spans="1:183" x14ac:dyDescent="0.3">
      <c r="A22" s="7" t="s">
        <v>94</v>
      </c>
      <c r="C22" s="3">
        <v>-44</v>
      </c>
      <c r="D22" s="3">
        <v>0</v>
      </c>
      <c r="E22" s="3">
        <v>105</v>
      </c>
      <c r="F22" s="3">
        <v>307</v>
      </c>
      <c r="G22" s="3">
        <v>2</v>
      </c>
      <c r="H22" s="3"/>
      <c r="I22" s="3">
        <v>251</v>
      </c>
      <c r="J22" s="3">
        <v>-1</v>
      </c>
      <c r="K22" s="3">
        <v>13</v>
      </c>
      <c r="L22" s="3">
        <v>0</v>
      </c>
      <c r="M22" s="3">
        <v>0</v>
      </c>
      <c r="N22" s="3">
        <v>18</v>
      </c>
      <c r="O22" s="3">
        <v>0</v>
      </c>
      <c r="P22" s="3">
        <v>10</v>
      </c>
      <c r="Q22" s="3">
        <v>5</v>
      </c>
      <c r="R22" s="3">
        <v>4</v>
      </c>
      <c r="S22" s="3">
        <v>1</v>
      </c>
      <c r="V22" s="3">
        <v>-36</v>
      </c>
      <c r="W22" s="3">
        <f t="shared" si="68"/>
        <v>414</v>
      </c>
      <c r="X22" s="3">
        <f t="shared" si="69"/>
        <v>263</v>
      </c>
      <c r="Y22" s="3">
        <f t="shared" si="70"/>
        <v>18</v>
      </c>
      <c r="Z22" s="3">
        <f t="shared" si="71"/>
        <v>20</v>
      </c>
      <c r="AA22" s="3">
        <f>AVERAGE(V22:Z22)</f>
        <v>135.80000000000001</v>
      </c>
      <c r="AB22" s="3">
        <f t="shared" ref="AB22:AJ22" si="77">AVERAGE(W22:AA22)</f>
        <v>170.16</v>
      </c>
      <c r="AC22" s="3">
        <f t="shared" si="77"/>
        <v>121.39200000000001</v>
      </c>
      <c r="AD22" s="3">
        <f t="shared" si="77"/>
        <v>93.070400000000006</v>
      </c>
      <c r="AE22" s="3">
        <f t="shared" si="77"/>
        <v>108.08448000000001</v>
      </c>
      <c r="AF22" s="3">
        <f t="shared" si="77"/>
        <v>125.70137600000001</v>
      </c>
      <c r="AG22" s="3">
        <f t="shared" si="77"/>
        <v>123.6816512</v>
      </c>
      <c r="AH22" s="3">
        <f t="shared" si="77"/>
        <v>114.38598143999999</v>
      </c>
      <c r="AI22" s="3">
        <f t="shared" si="77"/>
        <v>112.98477772800001</v>
      </c>
      <c r="AJ22" s="3">
        <f t="shared" si="77"/>
        <v>116.96765327360001</v>
      </c>
    </row>
    <row r="23" spans="1:183" x14ac:dyDescent="0.3">
      <c r="A23" s="7" t="s">
        <v>95</v>
      </c>
      <c r="C23" s="3">
        <v>-10</v>
      </c>
      <c r="D23" s="3">
        <v>0</v>
      </c>
      <c r="E23" s="3">
        <v>-2</v>
      </c>
      <c r="F23" s="3">
        <v>0</v>
      </c>
      <c r="G23" s="3">
        <v>-6</v>
      </c>
      <c r="H23" s="3">
        <v>-3</v>
      </c>
      <c r="I23" s="3">
        <v>-7</v>
      </c>
      <c r="J23" s="3">
        <v>-9</v>
      </c>
      <c r="K23" s="3">
        <v>-19</v>
      </c>
      <c r="L23" s="3">
        <v>-2</v>
      </c>
      <c r="M23" s="3">
        <v>-5</v>
      </c>
      <c r="N23" s="3">
        <v>-6</v>
      </c>
      <c r="O23" s="3">
        <v>-17</v>
      </c>
      <c r="P23" s="3">
        <f>AVERAGE(H23:O23)</f>
        <v>-8.5</v>
      </c>
      <c r="Q23" s="3">
        <f t="shared" ref="Q23:S23" si="78">AVERAGE(I23:P23)</f>
        <v>-9.1875</v>
      </c>
      <c r="R23" s="3">
        <f t="shared" si="78"/>
        <v>-9.4609375</v>
      </c>
      <c r="S23" s="3">
        <f t="shared" si="78"/>
        <v>-9.5185546875</v>
      </c>
      <c r="V23" s="3">
        <v>-62</v>
      </c>
      <c r="W23" s="3">
        <f t="shared" si="68"/>
        <v>-8</v>
      </c>
      <c r="X23" s="3">
        <f t="shared" si="69"/>
        <v>-38</v>
      </c>
      <c r="Y23" s="3">
        <f t="shared" si="70"/>
        <v>-30</v>
      </c>
      <c r="Z23" s="3">
        <f t="shared" si="71"/>
        <v>-36.6669921875</v>
      </c>
      <c r="AA23" s="3">
        <f>AVERAGE(V23:Z23)</f>
        <v>-34.933398437500003</v>
      </c>
      <c r="AB23" s="3">
        <f t="shared" ref="AB23:AJ23" si="79">AVERAGE(W23:AA23)</f>
        <v>-29.520078124999998</v>
      </c>
      <c r="AC23" s="3">
        <f t="shared" si="79"/>
        <v>-33.824093749999996</v>
      </c>
      <c r="AD23" s="3">
        <f t="shared" si="79"/>
        <v>-32.988912499999998</v>
      </c>
      <c r="AE23" s="3">
        <f t="shared" si="79"/>
        <v>-33.586694999999999</v>
      </c>
      <c r="AF23" s="3">
        <f t="shared" si="79"/>
        <v>-32.970635562499993</v>
      </c>
      <c r="AG23" s="3">
        <f t="shared" si="79"/>
        <v>-32.578082987499997</v>
      </c>
      <c r="AH23" s="3">
        <f t="shared" si="79"/>
        <v>-33.189683960000004</v>
      </c>
      <c r="AI23" s="3">
        <f t="shared" si="79"/>
        <v>-33.062802001999998</v>
      </c>
      <c r="AJ23" s="3">
        <f t="shared" si="79"/>
        <v>-33.077579902399997</v>
      </c>
    </row>
    <row r="24" spans="1:183" s="3" customFormat="1" x14ac:dyDescent="0.3">
      <c r="A24" s="6" t="s">
        <v>96</v>
      </c>
      <c r="C24" s="3">
        <v>22</v>
      </c>
      <c r="D24" s="3">
        <v>12</v>
      </c>
      <c r="E24" s="3">
        <v>25</v>
      </c>
      <c r="F24" s="3">
        <v>-3</v>
      </c>
      <c r="G24" s="3">
        <v>-53</v>
      </c>
      <c r="H24" s="3">
        <v>-10</v>
      </c>
      <c r="I24" s="3">
        <v>-19</v>
      </c>
      <c r="J24" s="3">
        <v>-24</v>
      </c>
      <c r="K24" s="3">
        <v>13</v>
      </c>
      <c r="L24" s="3">
        <v>48</v>
      </c>
      <c r="M24" s="3">
        <v>8</v>
      </c>
      <c r="N24" s="3">
        <v>24</v>
      </c>
      <c r="O24" s="3">
        <v>28</v>
      </c>
      <c r="P24" s="3">
        <f>AVERAGE(H24:O24)</f>
        <v>8.5</v>
      </c>
      <c r="Q24" s="3">
        <f t="shared" ref="Q24:S24" si="80">AVERAGE(I24:P24)</f>
        <v>10.8125</v>
      </c>
      <c r="R24" s="3">
        <f t="shared" si="80"/>
        <v>14.5390625</v>
      </c>
      <c r="S24" s="3">
        <f t="shared" si="80"/>
        <v>19.3564453125</v>
      </c>
      <c r="V24" s="3">
        <v>-92</v>
      </c>
      <c r="W24" s="3">
        <f t="shared" si="68"/>
        <v>-19</v>
      </c>
      <c r="X24" s="3">
        <f t="shared" si="69"/>
        <v>-40</v>
      </c>
      <c r="Y24" s="3">
        <f t="shared" si="70"/>
        <v>108</v>
      </c>
      <c r="Z24" s="3">
        <f t="shared" si="71"/>
        <v>53.2080078125</v>
      </c>
      <c r="AA24" s="3">
        <f>AVERAGE(V24:Z24)</f>
        <v>2.0416015624999999</v>
      </c>
      <c r="AB24" s="3">
        <f t="shared" ref="AB24:AJ24" si="81">AVERAGE(W24:AA24)</f>
        <v>20.849921875</v>
      </c>
      <c r="AC24" s="3">
        <f t="shared" si="81"/>
        <v>28.819906250000003</v>
      </c>
      <c r="AD24" s="3">
        <f t="shared" si="81"/>
        <v>42.583887500000003</v>
      </c>
      <c r="AE24" s="3">
        <f t="shared" si="81"/>
        <v>29.500665000000005</v>
      </c>
      <c r="AF24" s="3">
        <f t="shared" si="81"/>
        <v>24.759196437500002</v>
      </c>
      <c r="AG24" s="3">
        <f t="shared" si="81"/>
        <v>29.302715412500003</v>
      </c>
      <c r="AH24" s="3">
        <f t="shared" si="81"/>
        <v>30.993274120000002</v>
      </c>
      <c r="AI24" s="3">
        <f t="shared" si="81"/>
        <v>31.427947694000004</v>
      </c>
      <c r="AJ24" s="3">
        <f t="shared" si="81"/>
        <v>29.196759732800007</v>
      </c>
    </row>
    <row r="25" spans="1:183" s="18" customFormat="1" x14ac:dyDescent="0.3">
      <c r="A25" s="17" t="s">
        <v>97</v>
      </c>
      <c r="C25" s="18">
        <f t="shared" ref="C25:O25" si="82">C18+C19+C20+C21+C22+C23+C24</f>
        <v>-272</v>
      </c>
      <c r="D25" s="18">
        <f t="shared" si="82"/>
        <v>-118</v>
      </c>
      <c r="E25" s="18">
        <f t="shared" si="82"/>
        <v>6</v>
      </c>
      <c r="F25" s="18">
        <f t="shared" si="82"/>
        <v>258</v>
      </c>
      <c r="G25" s="18">
        <f t="shared" si="82"/>
        <v>-102</v>
      </c>
      <c r="H25" s="18">
        <f t="shared" si="82"/>
        <v>-71</v>
      </c>
      <c r="I25" s="18">
        <f t="shared" si="82"/>
        <v>312</v>
      </c>
      <c r="J25" s="18">
        <f t="shared" si="82"/>
        <v>63</v>
      </c>
      <c r="K25" s="18">
        <f t="shared" si="82"/>
        <v>59</v>
      </c>
      <c r="L25" s="18">
        <f t="shared" si="82"/>
        <v>105</v>
      </c>
      <c r="M25" s="18">
        <f t="shared" si="82"/>
        <v>95</v>
      </c>
      <c r="N25" s="18">
        <f t="shared" si="82"/>
        <v>101</v>
      </c>
      <c r="O25" s="18">
        <f t="shared" si="82"/>
        <v>9</v>
      </c>
      <c r="P25" s="18">
        <f t="shared" ref="P25" si="83">P18+P19+P20+P21+P22+P23+P24</f>
        <v>56.636999999999944</v>
      </c>
      <c r="Q25" s="18">
        <f t="shared" ref="Q25" si="84">Q18+Q19+Q20+Q21+Q22+Q23+Q24</f>
        <v>60.442375000000084</v>
      </c>
      <c r="R25" s="18">
        <f t="shared" ref="R25" si="85">R18+R19+R20+R21+R22+R23+R24</f>
        <v>65.440453125000204</v>
      </c>
      <c r="S25" s="18">
        <f t="shared" ref="S25" si="86">S18+S19+S20+S21+S22+S23+S24</f>
        <v>71.7196972656252</v>
      </c>
      <c r="V25" s="18">
        <f>V18+V19+V20+V21+V22+V23+V24</f>
        <v>-960</v>
      </c>
      <c r="W25" s="16">
        <f>SUM(D25:G25)</f>
        <v>44</v>
      </c>
      <c r="X25" s="18">
        <f>SUM(H25:K25)</f>
        <v>363</v>
      </c>
      <c r="Y25" s="18">
        <f>SUM(L25:O25)</f>
        <v>310</v>
      </c>
      <c r="Z25" s="18">
        <f t="shared" ref="Z25" si="87">Z18+Z19+Z20+Z21+Z22+Z23+Z24</f>
        <v>254.23952539062611</v>
      </c>
      <c r="AA25" s="18">
        <f t="shared" ref="AA25" si="88">AA18+AA19+AA20+AA21+AA22+AA23+AA24</f>
        <v>365.67229373046831</v>
      </c>
      <c r="AB25" s="18">
        <f t="shared" ref="AB25" si="89">AB18+AB19+AB20+AB21+AB22+AB23+AB24</f>
        <v>468.57193195957029</v>
      </c>
      <c r="AC25" s="18">
        <f t="shared" ref="AC25" si="90">AC18+AC19+AC20+AC21+AC22+AC23+AC24</f>
        <v>470.99448997998275</v>
      </c>
      <c r="AD25" s="18">
        <f t="shared" ref="AD25" si="91">AD18+AD19+AD20+AD21+AD22+AD23+AD24</f>
        <v>508.35878253446077</v>
      </c>
      <c r="AE25" s="18">
        <f t="shared" ref="AE25" si="92">AE18+AE19+AE20+AE21+AE22+AE23+AE24</f>
        <v>564.72762597958081</v>
      </c>
      <c r="AF25" s="18">
        <f t="shared" ref="AF25" si="93">AF18+AF19+AF20+AF21+AF22+AF23+AF24</f>
        <v>613.33347301817173</v>
      </c>
      <c r="AG25" s="18">
        <f t="shared" ref="AG25" si="94">AG18+AG19+AG20+AG21+AG22+AG23+AG24</f>
        <v>652.67148438554648</v>
      </c>
      <c r="AH25" s="18">
        <f t="shared" ref="AH25" si="95">AH18+AH19+AH20+AH21+AH22+AH23+AH24</f>
        <v>682.28919428537108</v>
      </c>
      <c r="AI25" s="18">
        <f t="shared" ref="AI25" si="96">AI18+AI19+AI20+AI21+AI22+AI23+AI24</f>
        <v>720.80723433578692</v>
      </c>
      <c r="AJ25" s="18">
        <f t="shared" ref="AJ25" si="97">AJ18+AJ19+AJ20+AJ21+AJ22+AJ23+AJ24</f>
        <v>747.13730623177423</v>
      </c>
    </row>
    <row r="26" spans="1:183" s="3" customFormat="1" x14ac:dyDescent="0.3">
      <c r="A26" s="6" t="s">
        <v>98</v>
      </c>
      <c r="C26" s="3">
        <v>69</v>
      </c>
      <c r="D26" s="3">
        <v>186</v>
      </c>
      <c r="E26" s="3">
        <v>15</v>
      </c>
      <c r="F26" s="3">
        <v>138</v>
      </c>
      <c r="G26" s="3">
        <v>73</v>
      </c>
      <c r="H26" s="3">
        <v>2</v>
      </c>
      <c r="I26" s="3">
        <v>106</v>
      </c>
      <c r="J26" s="3">
        <v>35</v>
      </c>
      <c r="K26" s="3">
        <v>235</v>
      </c>
      <c r="L26" s="3">
        <v>47</v>
      </c>
      <c r="M26" s="3">
        <v>27</v>
      </c>
      <c r="N26" s="3">
        <v>33</v>
      </c>
      <c r="O26" s="3">
        <v>17</v>
      </c>
      <c r="P26" s="3">
        <f>P25*0.19</f>
        <v>10.761029999999989</v>
      </c>
      <c r="Q26" s="3">
        <f t="shared" ref="Q26:S26" si="98">Q25*0.19</f>
        <v>11.484051250000016</v>
      </c>
      <c r="R26" s="3">
        <f t="shared" si="98"/>
        <v>12.433686093750039</v>
      </c>
      <c r="S26" s="3">
        <f t="shared" si="98"/>
        <v>13.626742480468788</v>
      </c>
      <c r="V26" s="3">
        <v>257</v>
      </c>
      <c r="W26" s="3">
        <f t="shared" ref="W26:W28" si="99">SUM(D26:G26)</f>
        <v>412</v>
      </c>
      <c r="X26" s="3">
        <f t="shared" ref="X26:X28" si="100">SUM(H26:K26)</f>
        <v>378</v>
      </c>
      <c r="Y26" s="3">
        <f t="shared" ref="Y26:Y28" si="101">SUM(L26:O26)</f>
        <v>124</v>
      </c>
      <c r="Z26" s="3">
        <f>SUM(P26:S26)</f>
        <v>48.305509824218831</v>
      </c>
      <c r="AA26" s="3">
        <f t="shared" ref="AA26" si="102">AA25*0.19</f>
        <v>69.477735808788978</v>
      </c>
      <c r="AB26" s="3">
        <f t="shared" ref="AB26" si="103">AB25*0.19</f>
        <v>89.028667072318356</v>
      </c>
      <c r="AC26" s="3">
        <f t="shared" ref="AC26" si="104">AC25*0.19</f>
        <v>89.488953096196724</v>
      </c>
      <c r="AD26" s="3">
        <f t="shared" ref="AD26" si="105">AD25*0.19</f>
        <v>96.588168681547543</v>
      </c>
      <c r="AE26" s="3">
        <f t="shared" ref="AE26" si="106">AE25*0.19</f>
        <v>107.29824893612036</v>
      </c>
      <c r="AF26" s="3">
        <f t="shared" ref="AF26" si="107">AF25*0.19</f>
        <v>116.53335987345262</v>
      </c>
      <c r="AG26" s="3">
        <f t="shared" ref="AG26" si="108">AG25*0.19</f>
        <v>124.00758203325383</v>
      </c>
      <c r="AH26" s="3">
        <f t="shared" ref="AH26" si="109">AH25*0.19</f>
        <v>129.63494691422051</v>
      </c>
      <c r="AI26" s="3">
        <f t="shared" ref="AI26" si="110">AI25*0.19</f>
        <v>136.95337452379951</v>
      </c>
      <c r="AJ26" s="3">
        <f t="shared" ref="AJ26" si="111">AJ25*0.19</f>
        <v>141.9560881840371</v>
      </c>
    </row>
    <row r="27" spans="1:183" s="3" customFormat="1" x14ac:dyDescent="0.3">
      <c r="A27" s="6" t="s">
        <v>99</v>
      </c>
      <c r="C27" s="3">
        <f>C25+C26</f>
        <v>-203</v>
      </c>
      <c r="D27" s="3">
        <f>D25-D26</f>
        <v>-304</v>
      </c>
      <c r="E27" s="3">
        <f>E25-E26</f>
        <v>-9</v>
      </c>
      <c r="F27" s="3">
        <f>F25-F26</f>
        <v>120</v>
      </c>
      <c r="G27" s="3">
        <f>G25+G26</f>
        <v>-29</v>
      </c>
      <c r="H27" s="3">
        <f>H25-H26</f>
        <v>-73</v>
      </c>
      <c r="I27" s="3">
        <f>I25-I26</f>
        <v>206</v>
      </c>
      <c r="J27" s="3">
        <f>J25-J26</f>
        <v>28</v>
      </c>
      <c r="K27" s="3">
        <f>K25+K26</f>
        <v>294</v>
      </c>
      <c r="L27" s="3">
        <f>L25-L26</f>
        <v>58</v>
      </c>
      <c r="M27" s="3">
        <f>M25-M26</f>
        <v>68</v>
      </c>
      <c r="N27" s="3">
        <f>N25+N26</f>
        <v>134</v>
      </c>
      <c r="O27" s="3">
        <f>O25+O26</f>
        <v>26</v>
      </c>
      <c r="P27" s="3">
        <f>P25-P26</f>
        <v>45.875969999999953</v>
      </c>
      <c r="Q27" s="3">
        <f t="shared" ref="Q27:S27" si="112">Q25-Q26</f>
        <v>48.958323750000069</v>
      </c>
      <c r="R27" s="3">
        <f t="shared" si="112"/>
        <v>53.006767031250163</v>
      </c>
      <c r="S27" s="3">
        <f t="shared" si="112"/>
        <v>58.092954785156408</v>
      </c>
      <c r="V27" s="3">
        <f>V25+V26</f>
        <v>-703</v>
      </c>
      <c r="W27" s="3">
        <f t="shared" si="99"/>
        <v>-222</v>
      </c>
      <c r="X27" s="3">
        <f t="shared" si="100"/>
        <v>455</v>
      </c>
      <c r="Y27" s="3">
        <f t="shared" si="101"/>
        <v>286</v>
      </c>
      <c r="Z27" s="3">
        <f t="shared" ref="Z27" si="113">Z25-Z26</f>
        <v>205.93401556640728</v>
      </c>
      <c r="AA27" s="3">
        <f t="shared" ref="AA27" si="114">AA25-AA26</f>
        <v>296.19455792167935</v>
      </c>
      <c r="AB27" s="3">
        <f t="shared" ref="AB27" si="115">AB25-AB26</f>
        <v>379.54326488725195</v>
      </c>
      <c r="AC27" s="3">
        <f t="shared" ref="AC27" si="116">AC25-AC26</f>
        <v>381.50553688378602</v>
      </c>
      <c r="AD27" s="3">
        <f t="shared" ref="AD27" si="117">AD25-AD26</f>
        <v>411.77061385291324</v>
      </c>
      <c r="AE27" s="3">
        <f t="shared" ref="AE27" si="118">AE25-AE26</f>
        <v>457.42937704346048</v>
      </c>
      <c r="AF27" s="3">
        <f t="shared" ref="AF27" si="119">AF25-AF26</f>
        <v>496.80011314471909</v>
      </c>
      <c r="AG27" s="3">
        <f t="shared" ref="AG27" si="120">AG25-AG26</f>
        <v>528.66390235229267</v>
      </c>
      <c r="AH27" s="3">
        <f t="shared" ref="AH27" si="121">AH25-AH26</f>
        <v>552.65424737115063</v>
      </c>
      <c r="AI27" s="3">
        <f t="shared" ref="AI27" si="122">AI25-AI26</f>
        <v>583.85385981198738</v>
      </c>
      <c r="AJ27" s="3">
        <f t="shared" ref="AJ27" si="123">AJ25-AJ26</f>
        <v>605.18121804773716</v>
      </c>
    </row>
    <row r="28" spans="1:183" s="3" customFormat="1" x14ac:dyDescent="0.3">
      <c r="A28" s="6" t="s">
        <v>100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V28" s="3">
        <v>0</v>
      </c>
      <c r="W28" s="3">
        <f t="shared" si="99"/>
        <v>0</v>
      </c>
      <c r="X28" s="3">
        <f t="shared" si="100"/>
        <v>0</v>
      </c>
      <c r="Y28" s="3">
        <f t="shared" si="101"/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</row>
    <row r="29" spans="1:183" s="16" customFormat="1" x14ac:dyDescent="0.3">
      <c r="A29" s="15" t="s">
        <v>101</v>
      </c>
      <c r="C29" s="16">
        <f t="shared" ref="C29:J29" si="124">C27-C28</f>
        <v>-203</v>
      </c>
      <c r="D29" s="16">
        <f t="shared" si="124"/>
        <v>-304</v>
      </c>
      <c r="E29" s="16">
        <f t="shared" si="124"/>
        <v>-9</v>
      </c>
      <c r="F29" s="16">
        <f t="shared" si="124"/>
        <v>120</v>
      </c>
      <c r="G29" s="16">
        <f t="shared" si="124"/>
        <v>-29</v>
      </c>
      <c r="H29" s="16">
        <f t="shared" si="124"/>
        <v>-73</v>
      </c>
      <c r="I29" s="16">
        <f t="shared" si="124"/>
        <v>206</v>
      </c>
      <c r="J29" s="16">
        <f t="shared" si="124"/>
        <v>28</v>
      </c>
      <c r="K29" s="16">
        <f>K27+K28</f>
        <v>294</v>
      </c>
      <c r="L29" s="16">
        <f>L27-L28</f>
        <v>58</v>
      </c>
      <c r="M29" s="16">
        <f>M27-M28</f>
        <v>68</v>
      </c>
      <c r="N29" s="16">
        <f>N27-N28</f>
        <v>134</v>
      </c>
      <c r="O29" s="16">
        <f>O27+O28</f>
        <v>26</v>
      </c>
      <c r="P29" s="16">
        <f t="shared" ref="P29:S29" si="125">P27+P28</f>
        <v>45.875969999999953</v>
      </c>
      <c r="Q29" s="16">
        <f t="shared" si="125"/>
        <v>48.958323750000069</v>
      </c>
      <c r="R29" s="16">
        <f t="shared" si="125"/>
        <v>53.006767031250163</v>
      </c>
      <c r="S29" s="16">
        <f t="shared" si="125"/>
        <v>58.092954785156408</v>
      </c>
      <c r="V29" s="16">
        <f>V27-V28</f>
        <v>-703</v>
      </c>
      <c r="W29" s="16">
        <f>SUM(D29:G29)</f>
        <v>-222</v>
      </c>
      <c r="X29" s="16">
        <f>SUM(H29:K29)</f>
        <v>455</v>
      </c>
      <c r="Y29" s="16">
        <f>SUM(L29:O29)</f>
        <v>286</v>
      </c>
      <c r="Z29" s="16">
        <f t="shared" ref="Z29" si="126">Z27+Z28</f>
        <v>205.93401556640728</v>
      </c>
      <c r="AA29" s="16">
        <f t="shared" ref="AA29" si="127">AA27+AA28</f>
        <v>296.19455792167935</v>
      </c>
      <c r="AB29" s="16">
        <f t="shared" ref="AB29" si="128">AB27+AB28</f>
        <v>379.54326488725195</v>
      </c>
      <c r="AC29" s="16">
        <f t="shared" ref="AC29" si="129">AC27+AC28</f>
        <v>381.50553688378602</v>
      </c>
      <c r="AD29" s="16">
        <f t="shared" ref="AD29" si="130">AD27+AD28</f>
        <v>411.77061385291324</v>
      </c>
      <c r="AE29" s="16">
        <f t="shared" ref="AE29" si="131">AE27+AE28</f>
        <v>457.42937704346048</v>
      </c>
      <c r="AF29" s="16">
        <f t="shared" ref="AF29" si="132">AF27+AF28</f>
        <v>496.80011314471909</v>
      </c>
      <c r="AG29" s="16">
        <f t="shared" ref="AG29" si="133">AG27+AG28</f>
        <v>528.66390235229267</v>
      </c>
      <c r="AH29" s="16">
        <f t="shared" ref="AH29" si="134">AH27+AH28</f>
        <v>552.65424737115063</v>
      </c>
      <c r="AI29" s="16">
        <f t="shared" ref="AI29" si="135">AI27+AI28</f>
        <v>583.85385981198738</v>
      </c>
      <c r="AJ29" s="16">
        <f t="shared" ref="AJ29" si="136">AJ27+AJ28</f>
        <v>605.18121804773716</v>
      </c>
      <c r="AK29" s="16">
        <f>AJ29*(1+$AM$45)</f>
        <v>599.12940586725983</v>
      </c>
      <c r="AL29" s="16">
        <f t="shared" ref="AL29:CW29" si="137">AK29*(1+$AM$45)</f>
        <v>593.13811180858727</v>
      </c>
      <c r="AM29" s="16">
        <f t="shared" si="137"/>
        <v>587.20673069050144</v>
      </c>
      <c r="AN29" s="16">
        <f t="shared" si="137"/>
        <v>581.33466338359642</v>
      </c>
      <c r="AO29" s="16">
        <f t="shared" si="137"/>
        <v>575.52131674976044</v>
      </c>
      <c r="AP29" s="16">
        <f t="shared" si="137"/>
        <v>569.76610358226287</v>
      </c>
      <c r="AQ29" s="16">
        <f t="shared" si="137"/>
        <v>564.06844254644022</v>
      </c>
      <c r="AR29" s="16">
        <f t="shared" si="137"/>
        <v>558.4277581209758</v>
      </c>
      <c r="AS29" s="16">
        <f t="shared" si="137"/>
        <v>552.84348053976601</v>
      </c>
      <c r="AT29" s="16">
        <f t="shared" si="137"/>
        <v>547.31504573436837</v>
      </c>
      <c r="AU29" s="16">
        <f t="shared" si="137"/>
        <v>541.84189527702472</v>
      </c>
      <c r="AV29" s="16">
        <f t="shared" si="137"/>
        <v>536.42347632425447</v>
      </c>
      <c r="AW29" s="16">
        <f t="shared" si="137"/>
        <v>531.05924156101196</v>
      </c>
      <c r="AX29" s="16">
        <f t="shared" si="137"/>
        <v>525.74864914540183</v>
      </c>
      <c r="AY29" s="16">
        <f t="shared" si="137"/>
        <v>520.49116265394775</v>
      </c>
      <c r="AZ29" s="16">
        <f t="shared" si="137"/>
        <v>515.2862510274083</v>
      </c>
      <c r="BA29" s="16">
        <f t="shared" si="137"/>
        <v>510.13338851713422</v>
      </c>
      <c r="BB29" s="16">
        <f t="shared" si="137"/>
        <v>505.03205463196286</v>
      </c>
      <c r="BC29" s="16">
        <f t="shared" si="137"/>
        <v>499.98173408564321</v>
      </c>
      <c r="BD29" s="16">
        <f t="shared" si="137"/>
        <v>494.98191674478676</v>
      </c>
      <c r="BE29" s="16">
        <f t="shared" si="137"/>
        <v>490.0320975773389</v>
      </c>
      <c r="BF29" s="16">
        <f t="shared" si="137"/>
        <v>485.13177660156549</v>
      </c>
      <c r="BG29" s="16">
        <f t="shared" si="137"/>
        <v>480.28045883554984</v>
      </c>
      <c r="BH29" s="16">
        <f t="shared" si="137"/>
        <v>475.47765424719432</v>
      </c>
      <c r="BI29" s="16">
        <f t="shared" si="137"/>
        <v>470.72287770472235</v>
      </c>
      <c r="BJ29" s="16">
        <f t="shared" si="137"/>
        <v>466.0156489276751</v>
      </c>
      <c r="BK29" s="16">
        <f t="shared" si="137"/>
        <v>461.35549243839836</v>
      </c>
      <c r="BL29" s="16">
        <f t="shared" si="137"/>
        <v>456.74193751401435</v>
      </c>
      <c r="BM29" s="16">
        <f t="shared" si="137"/>
        <v>452.17451813887419</v>
      </c>
      <c r="BN29" s="16">
        <f t="shared" si="137"/>
        <v>447.65277295748547</v>
      </c>
      <c r="BO29" s="16">
        <f t="shared" si="137"/>
        <v>443.17624522791061</v>
      </c>
      <c r="BP29" s="16">
        <f t="shared" si="137"/>
        <v>438.74448277563152</v>
      </c>
      <c r="BQ29" s="16">
        <f t="shared" si="137"/>
        <v>434.3570379478752</v>
      </c>
      <c r="BR29" s="16">
        <f t="shared" si="137"/>
        <v>430.01346756839644</v>
      </c>
      <c r="BS29" s="16">
        <f t="shared" si="137"/>
        <v>425.71333289271246</v>
      </c>
      <c r="BT29" s="16">
        <f t="shared" si="137"/>
        <v>421.45619956378533</v>
      </c>
      <c r="BU29" s="16">
        <f t="shared" si="137"/>
        <v>417.2416375681475</v>
      </c>
      <c r="BV29" s="16">
        <f t="shared" si="137"/>
        <v>413.06922119246605</v>
      </c>
      <c r="BW29" s="16">
        <f t="shared" si="137"/>
        <v>408.93852898054138</v>
      </c>
      <c r="BX29" s="16">
        <f t="shared" si="137"/>
        <v>404.84914369073596</v>
      </c>
      <c r="BY29" s="16">
        <f t="shared" si="137"/>
        <v>400.80065225382862</v>
      </c>
      <c r="BZ29" s="16">
        <f t="shared" si="137"/>
        <v>396.79264573129035</v>
      </c>
      <c r="CA29" s="16">
        <f t="shared" si="137"/>
        <v>392.82471927397745</v>
      </c>
      <c r="CB29" s="16">
        <f t="shared" si="137"/>
        <v>388.89647208123768</v>
      </c>
      <c r="CC29" s="16">
        <f t="shared" si="137"/>
        <v>385.00750736042528</v>
      </c>
      <c r="CD29" s="16">
        <f t="shared" si="137"/>
        <v>381.15743228682101</v>
      </c>
      <c r="CE29" s="16">
        <f t="shared" si="137"/>
        <v>377.34585796395277</v>
      </c>
      <c r="CF29" s="16">
        <f t="shared" si="137"/>
        <v>373.57239938431326</v>
      </c>
      <c r="CG29" s="16">
        <f t="shared" si="137"/>
        <v>369.83667539047013</v>
      </c>
      <c r="CH29" s="16">
        <f t="shared" si="137"/>
        <v>366.13830863656545</v>
      </c>
      <c r="CI29" s="16">
        <f t="shared" si="137"/>
        <v>362.47692555019978</v>
      </c>
      <c r="CJ29" s="16">
        <f t="shared" si="137"/>
        <v>358.85215629469781</v>
      </c>
      <c r="CK29" s="16">
        <f t="shared" si="137"/>
        <v>355.26363473175081</v>
      </c>
      <c r="CL29" s="16">
        <f t="shared" si="137"/>
        <v>351.71099838443331</v>
      </c>
      <c r="CM29" s="16">
        <f t="shared" si="137"/>
        <v>348.19388840058895</v>
      </c>
      <c r="CN29" s="16">
        <f t="shared" si="137"/>
        <v>344.71194951658305</v>
      </c>
      <c r="CO29" s="16">
        <f t="shared" si="137"/>
        <v>341.2648300214172</v>
      </c>
      <c r="CP29" s="16">
        <f t="shared" si="137"/>
        <v>337.85218172120301</v>
      </c>
      <c r="CQ29" s="16">
        <f t="shared" si="137"/>
        <v>334.47365990399095</v>
      </c>
      <c r="CR29" s="16">
        <f t="shared" si="137"/>
        <v>331.12892330495106</v>
      </c>
      <c r="CS29" s="16">
        <f t="shared" si="137"/>
        <v>327.81763407190152</v>
      </c>
      <c r="CT29" s="16">
        <f t="shared" si="137"/>
        <v>324.53945773118249</v>
      </c>
      <c r="CU29" s="16">
        <f t="shared" si="137"/>
        <v>321.29406315387064</v>
      </c>
      <c r="CV29" s="16">
        <f t="shared" si="137"/>
        <v>318.08112252233195</v>
      </c>
      <c r="CW29" s="16">
        <f t="shared" si="137"/>
        <v>314.90031129710866</v>
      </c>
      <c r="CX29" s="16">
        <f t="shared" ref="CX29:FI29" si="138">CW29*(1+$AM$45)</f>
        <v>311.75130818413754</v>
      </c>
      <c r="CY29" s="16">
        <f t="shared" si="138"/>
        <v>308.63379510229618</v>
      </c>
      <c r="CZ29" s="16">
        <f t="shared" si="138"/>
        <v>305.54745715127319</v>
      </c>
      <c r="DA29" s="16">
        <f t="shared" si="138"/>
        <v>302.49198257976047</v>
      </c>
      <c r="DB29" s="16">
        <f t="shared" si="138"/>
        <v>299.46706275396286</v>
      </c>
      <c r="DC29" s="16">
        <f t="shared" si="138"/>
        <v>296.47239212642324</v>
      </c>
      <c r="DD29" s="16">
        <f t="shared" si="138"/>
        <v>293.50766820515901</v>
      </c>
      <c r="DE29" s="16">
        <f t="shared" si="138"/>
        <v>290.57259152310741</v>
      </c>
      <c r="DF29" s="16">
        <f t="shared" si="138"/>
        <v>287.66686560787633</v>
      </c>
      <c r="DG29" s="16">
        <f t="shared" si="138"/>
        <v>284.79019695179755</v>
      </c>
      <c r="DH29" s="16">
        <f t="shared" si="138"/>
        <v>281.94229498227958</v>
      </c>
      <c r="DI29" s="16">
        <f t="shared" si="138"/>
        <v>279.12287203245677</v>
      </c>
      <c r="DJ29" s="16">
        <f t="shared" si="138"/>
        <v>276.3316433121322</v>
      </c>
      <c r="DK29" s="16">
        <f t="shared" si="138"/>
        <v>273.5683268790109</v>
      </c>
      <c r="DL29" s="16">
        <f t="shared" si="138"/>
        <v>270.83264361022077</v>
      </c>
      <c r="DM29" s="16">
        <f t="shared" si="138"/>
        <v>268.12431717411857</v>
      </c>
      <c r="DN29" s="16">
        <f t="shared" si="138"/>
        <v>265.44307400237739</v>
      </c>
      <c r="DO29" s="16">
        <f t="shared" si="138"/>
        <v>262.78864326235362</v>
      </c>
      <c r="DP29" s="16">
        <f t="shared" si="138"/>
        <v>260.16075682973008</v>
      </c>
      <c r="DQ29" s="16">
        <f t="shared" si="138"/>
        <v>257.55914926143276</v>
      </c>
      <c r="DR29" s="16">
        <f t="shared" si="138"/>
        <v>254.98355776881843</v>
      </c>
      <c r="DS29" s="16">
        <f t="shared" si="138"/>
        <v>252.43372219113024</v>
      </c>
      <c r="DT29" s="16">
        <f t="shared" si="138"/>
        <v>249.90938496921893</v>
      </c>
      <c r="DU29" s="16">
        <f t="shared" si="138"/>
        <v>247.41029111952673</v>
      </c>
      <c r="DV29" s="16">
        <f t="shared" si="138"/>
        <v>244.93618820833146</v>
      </c>
      <c r="DW29" s="16">
        <f t="shared" si="138"/>
        <v>242.48682632624815</v>
      </c>
      <c r="DX29" s="16">
        <f t="shared" si="138"/>
        <v>240.06195806298567</v>
      </c>
      <c r="DY29" s="16">
        <f t="shared" si="138"/>
        <v>237.6613384823558</v>
      </c>
      <c r="DZ29" s="16">
        <f t="shared" si="138"/>
        <v>235.28472509753223</v>
      </c>
      <c r="EA29" s="16">
        <f t="shared" si="138"/>
        <v>232.93187784655692</v>
      </c>
      <c r="EB29" s="16">
        <f t="shared" si="138"/>
        <v>230.60255906809135</v>
      </c>
      <c r="EC29" s="16">
        <f t="shared" si="138"/>
        <v>228.29653347741043</v>
      </c>
      <c r="ED29" s="16">
        <f t="shared" si="138"/>
        <v>226.01356814263633</v>
      </c>
      <c r="EE29" s="16">
        <f t="shared" si="138"/>
        <v>223.75343246120997</v>
      </c>
      <c r="EF29" s="16">
        <f t="shared" si="138"/>
        <v>221.51589813659785</v>
      </c>
      <c r="EG29" s="16">
        <f t="shared" si="138"/>
        <v>219.30073915523187</v>
      </c>
      <c r="EH29" s="16">
        <f t="shared" si="138"/>
        <v>217.10773176367954</v>
      </c>
      <c r="EI29" s="16">
        <f t="shared" si="138"/>
        <v>214.93665444604275</v>
      </c>
      <c r="EJ29" s="16">
        <f t="shared" si="138"/>
        <v>212.78728790158232</v>
      </c>
      <c r="EK29" s="16">
        <f t="shared" si="138"/>
        <v>210.65941502256649</v>
      </c>
      <c r="EL29" s="16">
        <f t="shared" si="138"/>
        <v>208.55282087234082</v>
      </c>
      <c r="EM29" s="16">
        <f t="shared" si="138"/>
        <v>206.4672926636174</v>
      </c>
      <c r="EN29" s="16">
        <f t="shared" si="138"/>
        <v>204.40261973698122</v>
      </c>
      <c r="EO29" s="16">
        <f t="shared" si="138"/>
        <v>202.35859353961141</v>
      </c>
      <c r="EP29" s="16">
        <f t="shared" si="138"/>
        <v>200.33500760421529</v>
      </c>
      <c r="EQ29" s="16">
        <f t="shared" si="138"/>
        <v>198.33165752817314</v>
      </c>
      <c r="ER29" s="16">
        <f t="shared" si="138"/>
        <v>196.34834095289142</v>
      </c>
      <c r="ES29" s="16">
        <f t="shared" si="138"/>
        <v>194.3848575433625</v>
      </c>
      <c r="ET29" s="16">
        <f t="shared" si="138"/>
        <v>192.44100896792887</v>
      </c>
      <c r="EU29" s="16">
        <f t="shared" si="138"/>
        <v>190.51659887824957</v>
      </c>
      <c r="EV29" s="16">
        <f t="shared" si="138"/>
        <v>188.61143288946707</v>
      </c>
      <c r="EW29" s="16">
        <f t="shared" si="138"/>
        <v>186.72531856057239</v>
      </c>
      <c r="EX29" s="16">
        <f t="shared" si="138"/>
        <v>184.85806537496666</v>
      </c>
      <c r="EY29" s="16">
        <f t="shared" si="138"/>
        <v>183.00948472121698</v>
      </c>
      <c r="EZ29" s="16">
        <f t="shared" si="138"/>
        <v>181.17938987400481</v>
      </c>
      <c r="FA29" s="16">
        <f t="shared" si="138"/>
        <v>179.36759597526475</v>
      </c>
      <c r="FB29" s="16">
        <f t="shared" si="138"/>
        <v>177.5739200155121</v>
      </c>
      <c r="FC29" s="16">
        <f t="shared" si="138"/>
        <v>175.79818081535697</v>
      </c>
      <c r="FD29" s="16">
        <f t="shared" si="138"/>
        <v>174.0401990072034</v>
      </c>
      <c r="FE29" s="16">
        <f t="shared" si="138"/>
        <v>172.29979701713137</v>
      </c>
      <c r="FF29" s="16">
        <f t="shared" si="138"/>
        <v>170.57679904696005</v>
      </c>
      <c r="FG29" s="16">
        <f t="shared" si="138"/>
        <v>168.87103105649044</v>
      </c>
      <c r="FH29" s="16">
        <f t="shared" si="138"/>
        <v>167.18232074592552</v>
      </c>
      <c r="FI29" s="16">
        <f t="shared" si="138"/>
        <v>165.51049753846627</v>
      </c>
      <c r="FJ29" s="16">
        <f t="shared" ref="FJ29:GA29" si="139">FI29*(1+$AM$45)</f>
        <v>163.85539256308161</v>
      </c>
      <c r="FK29" s="16">
        <f t="shared" si="139"/>
        <v>162.21683863745079</v>
      </c>
      <c r="FL29" s="16">
        <f t="shared" si="139"/>
        <v>160.59467025107628</v>
      </c>
      <c r="FM29" s="16">
        <f t="shared" si="139"/>
        <v>158.9887235485655</v>
      </c>
      <c r="FN29" s="16">
        <f t="shared" si="139"/>
        <v>157.39883631307984</v>
      </c>
      <c r="FO29" s="16">
        <f t="shared" si="139"/>
        <v>155.82484794994903</v>
      </c>
      <c r="FP29" s="16">
        <f t="shared" si="139"/>
        <v>154.26659947044953</v>
      </c>
      <c r="FQ29" s="16">
        <f t="shared" si="139"/>
        <v>152.72393347574504</v>
      </c>
      <c r="FR29" s="16">
        <f t="shared" si="139"/>
        <v>151.1966941409876</v>
      </c>
      <c r="FS29" s="16">
        <f t="shared" si="139"/>
        <v>149.68472719957774</v>
      </c>
      <c r="FT29" s="16">
        <f t="shared" si="139"/>
        <v>148.18787992758195</v>
      </c>
      <c r="FU29" s="16">
        <f t="shared" si="139"/>
        <v>146.70600112830613</v>
      </c>
      <c r="FV29" s="16">
        <f t="shared" si="139"/>
        <v>145.23894111702307</v>
      </c>
      <c r="FW29" s="16">
        <f t="shared" si="139"/>
        <v>143.78655170585284</v>
      </c>
      <c r="FX29" s="16">
        <f t="shared" si="139"/>
        <v>142.34868618879432</v>
      </c>
      <c r="FY29" s="16">
        <f t="shared" si="139"/>
        <v>140.92519932690638</v>
      </c>
      <c r="FZ29" s="16">
        <f t="shared" si="139"/>
        <v>139.51594733363731</v>
      </c>
      <c r="GA29" s="16">
        <f t="shared" si="139"/>
        <v>138.12078786030094</v>
      </c>
    </row>
    <row r="30" spans="1:183" s="3" customFormat="1" x14ac:dyDescent="0.3">
      <c r="A30" s="6" t="s">
        <v>102</v>
      </c>
      <c r="C30" s="40">
        <f t="shared" ref="C30:O30" si="140">C29/C31</f>
        <v>-2.0039486673247779</v>
      </c>
      <c r="D30" s="40">
        <f t="shared" si="140"/>
        <v>-2.9943087941027087</v>
      </c>
      <c r="E30" s="40">
        <f t="shared" si="140"/>
        <v>-8.8322947715965133E-2</v>
      </c>
      <c r="F30" s="40">
        <f t="shared" si="140"/>
        <v>1.1776393028795351</v>
      </c>
      <c r="G30" s="40">
        <f t="shared" si="140"/>
        <v>-0.2633969118982743</v>
      </c>
      <c r="H30" s="40">
        <f t="shared" si="140"/>
        <v>-0.66259736879680309</v>
      </c>
      <c r="I30" s="40">
        <f t="shared" si="140"/>
        <v>1.840487585544925</v>
      </c>
      <c r="J30" s="40">
        <f t="shared" si="140"/>
        <v>0.25219774345888901</v>
      </c>
      <c r="K30" s="40">
        <f t="shared" si="140"/>
        <v>2.6873857404021937</v>
      </c>
      <c r="L30" s="40">
        <f t="shared" si="140"/>
        <v>0.53245099715770317</v>
      </c>
      <c r="M30" s="40">
        <f t="shared" si="140"/>
        <v>0.62974407395314336</v>
      </c>
      <c r="N30" s="40">
        <f t="shared" si="140"/>
        <v>1.2539800179407108</v>
      </c>
      <c r="O30" s="40">
        <f t="shared" si="140"/>
        <v>0.24505183788878418</v>
      </c>
      <c r="P30" s="40">
        <f t="shared" ref="P30" si="141">P29/P31</f>
        <v>0.43691399999999952</v>
      </c>
      <c r="Q30" s="40">
        <f t="shared" ref="Q30" si="142">Q29/Q31</f>
        <v>0.47075311298076988</v>
      </c>
      <c r="R30" s="40">
        <f t="shared" ref="R30" si="143">R29/R31</f>
        <v>0.51462880612864237</v>
      </c>
      <c r="S30" s="40">
        <f t="shared" ref="S30" si="144">S29/S31</f>
        <v>0.56953877240349415</v>
      </c>
      <c r="V30" s="40">
        <f>V29/V31</f>
        <v>-6.9397828232971372</v>
      </c>
      <c r="W30" s="3">
        <f>SUM(D30:G30)</f>
        <v>-2.1683893508374128</v>
      </c>
      <c r="X30" s="3">
        <f>SUM(H30:K30)</f>
        <v>4.1174737006092048</v>
      </c>
      <c r="Y30" s="3">
        <f>SUM(L30:O30)</f>
        <v>2.6612269269403415</v>
      </c>
      <c r="Z30" s="40">
        <f t="shared" ref="Z30" si="145">Z29/Z31</f>
        <v>1.9897006334918579</v>
      </c>
      <c r="AA30" s="40">
        <f t="shared" ref="AA30" si="146">AA29/AA31</f>
        <v>2.875675319627955</v>
      </c>
      <c r="AB30" s="40">
        <f t="shared" ref="AB30" si="147">AB29/AB31</f>
        <v>3.7028611208512388</v>
      </c>
      <c r="AC30" s="40">
        <f t="shared" ref="AC30" si="148">AC29/AC31</f>
        <v>3.7531287445527397</v>
      </c>
      <c r="AD30" s="40">
        <f t="shared" ref="AD30" si="149">AD29/AD31</f>
        <v>4.0142220970926683</v>
      </c>
      <c r="AE30" s="40">
        <f t="shared" ref="AE30" si="150">AE29/AE31</f>
        <v>4.3456171786712083</v>
      </c>
      <c r="AF30" s="40">
        <f t="shared" ref="AF30" si="151">AF29/AF31</f>
        <v>4.6950509327562591</v>
      </c>
      <c r="AG30" s="40">
        <f t="shared" ref="AG30" si="152">AG29/AG31</f>
        <v>4.9703473566605947</v>
      </c>
      <c r="AH30" s="40">
        <f t="shared" ref="AH30" si="153">AH29/AH31</f>
        <v>5.2063712033629734</v>
      </c>
      <c r="AI30" s="40">
        <f t="shared" ref="AI30" si="154">AI29/AI31</f>
        <v>5.6076763728060879</v>
      </c>
      <c r="AJ30" s="40">
        <f t="shared" ref="AJ30" si="155">AJ29/AJ31</f>
        <v>5.8948614932203798</v>
      </c>
    </row>
    <row r="31" spans="1:183" s="3" customFormat="1" x14ac:dyDescent="0.3">
      <c r="A31" s="6" t="s">
        <v>1</v>
      </c>
      <c r="C31" s="3">
        <v>101.3</v>
      </c>
      <c r="D31" s="3">
        <v>101.525935</v>
      </c>
      <c r="E31" s="3">
        <v>101.89877300000001</v>
      </c>
      <c r="F31" s="3">
        <v>101.89877300000001</v>
      </c>
      <c r="G31" s="3">
        <v>110.1</v>
      </c>
      <c r="H31" s="3">
        <v>110.172487</v>
      </c>
      <c r="I31" s="3">
        <v>111.926862</v>
      </c>
      <c r="J31" s="3">
        <v>111.023991</v>
      </c>
      <c r="K31" s="3">
        <v>109.4</v>
      </c>
      <c r="L31" s="3">
        <v>108.930212</v>
      </c>
      <c r="M31" s="3">
        <v>107.980373</v>
      </c>
      <c r="N31" s="3">
        <v>106.859757</v>
      </c>
      <c r="O31" s="3">
        <v>106.1</v>
      </c>
      <c r="P31" s="3">
        <v>105</v>
      </c>
      <c r="Q31" s="3">
        <v>104</v>
      </c>
      <c r="R31" s="3">
        <v>103</v>
      </c>
      <c r="S31" s="3">
        <v>102</v>
      </c>
      <c r="V31" s="3">
        <v>101.3</v>
      </c>
      <c r="W31" s="3">
        <f>AVERAGE(D31:G31)</f>
        <v>103.85587025000001</v>
      </c>
      <c r="X31" s="3">
        <f>AVERAGE(H31:K31)</f>
        <v>110.63083499999999</v>
      </c>
      <c r="Y31" s="3">
        <f>AVERAGE(L31:O31)</f>
        <v>107.46758550000001</v>
      </c>
      <c r="Z31" s="3">
        <f>AVERAGE(P31:S31)</f>
        <v>103.5</v>
      </c>
      <c r="AA31" s="3">
        <f t="shared" ref="AA31:AJ31" si="156">AVERAGE(Q31:T31)</f>
        <v>103</v>
      </c>
      <c r="AB31" s="3">
        <f t="shared" si="156"/>
        <v>102.5</v>
      </c>
      <c r="AC31" s="3">
        <f t="shared" si="156"/>
        <v>101.65</v>
      </c>
      <c r="AD31" s="3">
        <f t="shared" si="156"/>
        <v>102.57793512500001</v>
      </c>
      <c r="AE31" s="3">
        <f t="shared" si="156"/>
        <v>105.26223508333334</v>
      </c>
      <c r="AF31" s="3">
        <f t="shared" si="156"/>
        <v>105.8135726875</v>
      </c>
      <c r="AG31" s="3">
        <f t="shared" si="156"/>
        <v>106.36357268750001</v>
      </c>
      <c r="AH31" s="3">
        <f t="shared" si="156"/>
        <v>106.14960512499999</v>
      </c>
      <c r="AI31" s="3">
        <f t="shared" si="156"/>
        <v>104.11689637500001</v>
      </c>
      <c r="AJ31" s="3">
        <f t="shared" si="156"/>
        <v>102.66249999999999</v>
      </c>
    </row>
    <row r="32" spans="1:183" s="3" customFormat="1" x14ac:dyDescent="0.3">
      <c r="A32" s="6" t="s">
        <v>104</v>
      </c>
      <c r="L32" s="3">
        <v>0.51</v>
      </c>
      <c r="M32" s="3">
        <v>0.85</v>
      </c>
      <c r="N32" s="3">
        <v>0.59</v>
      </c>
      <c r="O32" s="3">
        <v>0.38</v>
      </c>
      <c r="V32" s="3">
        <v>0.59</v>
      </c>
    </row>
    <row r="33" spans="1:185" s="3" customFormat="1" x14ac:dyDescent="0.3">
      <c r="A33" s="6" t="s">
        <v>105</v>
      </c>
      <c r="O33" s="19">
        <f>O30/O32</f>
        <v>0.6448732576020636</v>
      </c>
    </row>
    <row r="34" spans="1:185" s="16" customFormat="1" x14ac:dyDescent="0.3">
      <c r="A34" s="15" t="s">
        <v>145</v>
      </c>
      <c r="C34" s="41">
        <f t="shared" ref="C34:N34" si="157">C18+C13</f>
        <v>-134</v>
      </c>
      <c r="D34" s="41">
        <f t="shared" si="157"/>
        <v>-81</v>
      </c>
      <c r="E34" s="41">
        <f t="shared" si="157"/>
        <v>4</v>
      </c>
      <c r="F34" s="41">
        <f t="shared" si="157"/>
        <v>78</v>
      </c>
      <c r="G34" s="41">
        <f t="shared" si="157"/>
        <v>58</v>
      </c>
      <c r="H34" s="41">
        <f t="shared" si="157"/>
        <v>141</v>
      </c>
      <c r="I34" s="41">
        <f t="shared" si="157"/>
        <v>275</v>
      </c>
      <c r="J34" s="41">
        <f t="shared" si="157"/>
        <v>241</v>
      </c>
      <c r="K34" s="41">
        <f t="shared" si="157"/>
        <v>167</v>
      </c>
      <c r="L34" s="41">
        <f t="shared" si="157"/>
        <v>174</v>
      </c>
      <c r="M34" s="41">
        <f t="shared" si="157"/>
        <v>206</v>
      </c>
      <c r="N34" s="41">
        <f t="shared" si="157"/>
        <v>208</v>
      </c>
      <c r="O34" s="41">
        <f>O18+O13</f>
        <v>114</v>
      </c>
      <c r="P34" s="41">
        <f t="shared" ref="P34:S34" si="158">P18+P13</f>
        <v>188.12639999999993</v>
      </c>
      <c r="Q34" s="41">
        <f t="shared" si="158"/>
        <v>192.61385000000007</v>
      </c>
      <c r="R34" s="41">
        <f t="shared" si="158"/>
        <v>184.66470000000021</v>
      </c>
      <c r="S34" s="41">
        <f t="shared" si="158"/>
        <v>188.99100000000018</v>
      </c>
      <c r="V34" s="41">
        <f t="shared" ref="V34:AJ34" si="159">V18+V13</f>
        <v>-322</v>
      </c>
      <c r="W34" s="41">
        <f t="shared" si="159"/>
        <v>59</v>
      </c>
      <c r="X34" s="41">
        <f t="shared" si="159"/>
        <v>824</v>
      </c>
      <c r="Y34" s="41">
        <f t="shared" si="159"/>
        <v>702</v>
      </c>
      <c r="Z34" s="41">
        <f t="shared" si="159"/>
        <v>754.39595000000111</v>
      </c>
      <c r="AA34" s="41">
        <f t="shared" si="159"/>
        <v>826.06356524999956</v>
      </c>
      <c r="AB34" s="41">
        <f t="shared" si="159"/>
        <v>904.53960394874991</v>
      </c>
      <c r="AC34" s="41">
        <f t="shared" si="159"/>
        <v>990.47086632388152</v>
      </c>
      <c r="AD34" s="41">
        <f t="shared" si="159"/>
        <v>1084.5655986246516</v>
      </c>
      <c r="AE34" s="41">
        <f t="shared" si="159"/>
        <v>1187.5993304939921</v>
      </c>
      <c r="AF34" s="41">
        <f t="shared" si="159"/>
        <v>1246.9792970186913</v>
      </c>
      <c r="AG34" s="41">
        <f t="shared" si="159"/>
        <v>1309.3282618696255</v>
      </c>
      <c r="AH34" s="41">
        <f t="shared" si="159"/>
        <v>1374.7946749631076</v>
      </c>
      <c r="AI34" s="41">
        <f t="shared" si="159"/>
        <v>1443.534408711263</v>
      </c>
      <c r="AJ34" s="41">
        <f t="shared" si="159"/>
        <v>1479.622768929044</v>
      </c>
      <c r="AK34" s="16">
        <f>AJ34*(1+$AM$45)</f>
        <v>1464.8265412397536</v>
      </c>
      <c r="AL34" s="16">
        <f t="shared" ref="AL34:CW34" si="160">AK34*(1+$AM$45)</f>
        <v>1450.1782758273562</v>
      </c>
      <c r="AM34" s="16">
        <f t="shared" si="160"/>
        <v>1435.6764930690827</v>
      </c>
      <c r="AN34" s="16">
        <f t="shared" si="160"/>
        <v>1421.3197281383918</v>
      </c>
      <c r="AO34" s="16">
        <f t="shared" si="160"/>
        <v>1407.106530857008</v>
      </c>
      <c r="AP34" s="16">
        <f t="shared" si="160"/>
        <v>1393.035465548438</v>
      </c>
      <c r="AQ34" s="16">
        <f t="shared" si="160"/>
        <v>1379.1051108929537</v>
      </c>
      <c r="AR34" s="16">
        <f t="shared" si="160"/>
        <v>1365.314059784024</v>
      </c>
      <c r="AS34" s="16">
        <f t="shared" si="160"/>
        <v>1351.6609191861837</v>
      </c>
      <c r="AT34" s="16">
        <f t="shared" si="160"/>
        <v>1338.1443099943219</v>
      </c>
      <c r="AU34" s="16">
        <f t="shared" si="160"/>
        <v>1324.7628668943787</v>
      </c>
      <c r="AV34" s="16">
        <f t="shared" si="160"/>
        <v>1311.5152382254348</v>
      </c>
      <c r="AW34" s="16">
        <f t="shared" si="160"/>
        <v>1298.4000858431805</v>
      </c>
      <c r="AX34" s="16">
        <f t="shared" si="160"/>
        <v>1285.4160849847487</v>
      </c>
      <c r="AY34" s="16">
        <f t="shared" si="160"/>
        <v>1272.5619241349013</v>
      </c>
      <c r="AZ34" s="16">
        <f t="shared" si="160"/>
        <v>1259.8363048935523</v>
      </c>
      <c r="BA34" s="16">
        <f t="shared" si="160"/>
        <v>1247.2379418446169</v>
      </c>
      <c r="BB34" s="16">
        <f t="shared" si="160"/>
        <v>1234.7655624261706</v>
      </c>
      <c r="BC34" s="16">
        <f t="shared" si="160"/>
        <v>1222.4179068019089</v>
      </c>
      <c r="BD34" s="16">
        <f t="shared" si="160"/>
        <v>1210.1937277338898</v>
      </c>
      <c r="BE34" s="16">
        <f t="shared" si="160"/>
        <v>1198.0917904565508</v>
      </c>
      <c r="BF34" s="16">
        <f t="shared" si="160"/>
        <v>1186.1108725519853</v>
      </c>
      <c r="BG34" s="16">
        <f t="shared" si="160"/>
        <v>1174.2497638264654</v>
      </c>
      <c r="BH34" s="16">
        <f t="shared" si="160"/>
        <v>1162.5072661882007</v>
      </c>
      <c r="BI34" s="16">
        <f t="shared" si="160"/>
        <v>1150.8821935263186</v>
      </c>
      <c r="BJ34" s="16">
        <f t="shared" si="160"/>
        <v>1139.3733715910555</v>
      </c>
      <c r="BK34" s="16">
        <f t="shared" si="160"/>
        <v>1127.979637875145</v>
      </c>
      <c r="BL34" s="16">
        <f t="shared" si="160"/>
        <v>1116.6998414963937</v>
      </c>
      <c r="BM34" s="16">
        <f t="shared" si="160"/>
        <v>1105.5328430814297</v>
      </c>
      <c r="BN34" s="16">
        <f t="shared" si="160"/>
        <v>1094.4775146506154</v>
      </c>
      <c r="BO34" s="16">
        <f t="shared" si="160"/>
        <v>1083.5327395041093</v>
      </c>
      <c r="BP34" s="16">
        <f t="shared" si="160"/>
        <v>1072.6974121090682</v>
      </c>
      <c r="BQ34" s="16">
        <f t="shared" si="160"/>
        <v>1061.9704379879774</v>
      </c>
      <c r="BR34" s="16">
        <f t="shared" si="160"/>
        <v>1051.3507336080977</v>
      </c>
      <c r="BS34" s="16">
        <f t="shared" si="160"/>
        <v>1040.8372262720168</v>
      </c>
      <c r="BT34" s="16">
        <f t="shared" si="160"/>
        <v>1030.4288540092966</v>
      </c>
      <c r="BU34" s="16">
        <f t="shared" si="160"/>
        <v>1020.1245654692036</v>
      </c>
      <c r="BV34" s="16">
        <f t="shared" si="160"/>
        <v>1009.9233198145116</v>
      </c>
      <c r="BW34" s="16">
        <f t="shared" si="160"/>
        <v>999.82408661636646</v>
      </c>
      <c r="BX34" s="16">
        <f t="shared" si="160"/>
        <v>989.8258457502028</v>
      </c>
      <c r="BY34" s="16">
        <f t="shared" si="160"/>
        <v>979.92758729270076</v>
      </c>
      <c r="BZ34" s="16">
        <f t="shared" si="160"/>
        <v>970.12831141977369</v>
      </c>
      <c r="CA34" s="16">
        <f t="shared" si="160"/>
        <v>960.42702830557596</v>
      </c>
      <c r="CB34" s="16">
        <f t="shared" si="160"/>
        <v>950.82275802252025</v>
      </c>
      <c r="CC34" s="16">
        <f t="shared" si="160"/>
        <v>941.31453044229499</v>
      </c>
      <c r="CD34" s="16">
        <f t="shared" si="160"/>
        <v>931.90138513787201</v>
      </c>
      <c r="CE34" s="16">
        <f t="shared" si="160"/>
        <v>922.5823712864933</v>
      </c>
      <c r="CF34" s="16">
        <f t="shared" si="160"/>
        <v>913.3565475736284</v>
      </c>
      <c r="CG34" s="16">
        <f t="shared" si="160"/>
        <v>904.2229820978921</v>
      </c>
      <c r="CH34" s="16">
        <f t="shared" si="160"/>
        <v>895.18075227691315</v>
      </c>
      <c r="CI34" s="16">
        <f t="shared" si="160"/>
        <v>886.22894475414398</v>
      </c>
      <c r="CJ34" s="16">
        <f t="shared" si="160"/>
        <v>877.36665530660252</v>
      </c>
      <c r="CK34" s="16">
        <f t="shared" si="160"/>
        <v>868.59298875353647</v>
      </c>
      <c r="CL34" s="16">
        <f t="shared" si="160"/>
        <v>859.90705886600108</v>
      </c>
      <c r="CM34" s="16">
        <f t="shared" si="160"/>
        <v>851.30798827734111</v>
      </c>
      <c r="CN34" s="16">
        <f t="shared" si="160"/>
        <v>842.79490839456764</v>
      </c>
      <c r="CO34" s="16">
        <f t="shared" si="160"/>
        <v>834.36695931062195</v>
      </c>
      <c r="CP34" s="16">
        <f t="shared" si="160"/>
        <v>826.02328971751569</v>
      </c>
      <c r="CQ34" s="16">
        <f t="shared" si="160"/>
        <v>817.76305682034058</v>
      </c>
      <c r="CR34" s="16">
        <f t="shared" si="160"/>
        <v>809.58542625213715</v>
      </c>
      <c r="CS34" s="16">
        <f t="shared" si="160"/>
        <v>801.4895719896158</v>
      </c>
      <c r="CT34" s="16">
        <f t="shared" si="160"/>
        <v>793.47467626971968</v>
      </c>
      <c r="CU34" s="16">
        <f t="shared" si="160"/>
        <v>785.53992950702252</v>
      </c>
      <c r="CV34" s="16">
        <f t="shared" si="160"/>
        <v>777.68453021195228</v>
      </c>
      <c r="CW34" s="16">
        <f t="shared" si="160"/>
        <v>769.90768490983271</v>
      </c>
      <c r="CX34" s="16">
        <f t="shared" ref="CX34:FI34" si="161">CW34*(1+$AM$45)</f>
        <v>762.20860806073438</v>
      </c>
      <c r="CY34" s="16">
        <f t="shared" si="161"/>
        <v>754.58652198012703</v>
      </c>
      <c r="CZ34" s="16">
        <f t="shared" si="161"/>
        <v>747.04065676032576</v>
      </c>
      <c r="DA34" s="16">
        <f t="shared" si="161"/>
        <v>739.57025019272248</v>
      </c>
      <c r="DB34" s="16">
        <f t="shared" si="161"/>
        <v>732.17454769079529</v>
      </c>
      <c r="DC34" s="16">
        <f t="shared" si="161"/>
        <v>724.85280221388734</v>
      </c>
      <c r="DD34" s="16">
        <f t="shared" si="161"/>
        <v>717.60427419174846</v>
      </c>
      <c r="DE34" s="16">
        <f t="shared" si="161"/>
        <v>710.42823144983095</v>
      </c>
      <c r="DF34" s="16">
        <f t="shared" si="161"/>
        <v>703.32394913533267</v>
      </c>
      <c r="DG34" s="16">
        <f t="shared" si="161"/>
        <v>696.29070964397931</v>
      </c>
      <c r="DH34" s="16">
        <f t="shared" si="161"/>
        <v>689.32780254753948</v>
      </c>
      <c r="DI34" s="16">
        <f t="shared" si="161"/>
        <v>682.43452452206407</v>
      </c>
      <c r="DJ34" s="16">
        <f t="shared" si="161"/>
        <v>675.61017927684338</v>
      </c>
      <c r="DK34" s="16">
        <f t="shared" si="161"/>
        <v>668.85407748407499</v>
      </c>
      <c r="DL34" s="16">
        <f t="shared" si="161"/>
        <v>662.16553670923429</v>
      </c>
      <c r="DM34" s="16">
        <f t="shared" si="161"/>
        <v>655.54388134214196</v>
      </c>
      <c r="DN34" s="16">
        <f t="shared" si="161"/>
        <v>648.9884425287205</v>
      </c>
      <c r="DO34" s="16">
        <f t="shared" si="161"/>
        <v>642.49855810343331</v>
      </c>
      <c r="DP34" s="16">
        <f t="shared" si="161"/>
        <v>636.07357252239899</v>
      </c>
      <c r="DQ34" s="16">
        <f t="shared" si="161"/>
        <v>629.71283679717499</v>
      </c>
      <c r="DR34" s="16">
        <f t="shared" si="161"/>
        <v>623.41570842920328</v>
      </c>
      <c r="DS34" s="16">
        <f t="shared" si="161"/>
        <v>617.18155134491121</v>
      </c>
      <c r="DT34" s="16">
        <f t="shared" si="161"/>
        <v>611.00973583146208</v>
      </c>
      <c r="DU34" s="16">
        <f t="shared" si="161"/>
        <v>604.89963847314743</v>
      </c>
      <c r="DV34" s="16">
        <f t="shared" si="161"/>
        <v>598.85064208841595</v>
      </c>
      <c r="DW34" s="16">
        <f t="shared" si="161"/>
        <v>592.86213566753179</v>
      </c>
      <c r="DX34" s="16">
        <f t="shared" si="161"/>
        <v>586.93351431085648</v>
      </c>
      <c r="DY34" s="16">
        <f t="shared" si="161"/>
        <v>581.06417916774797</v>
      </c>
      <c r="DZ34" s="16">
        <f t="shared" si="161"/>
        <v>575.25353737607043</v>
      </c>
      <c r="EA34" s="16">
        <f t="shared" si="161"/>
        <v>569.50100200230975</v>
      </c>
      <c r="EB34" s="16">
        <f t="shared" si="161"/>
        <v>563.80599198228663</v>
      </c>
      <c r="EC34" s="16">
        <f t="shared" si="161"/>
        <v>558.16793206246371</v>
      </c>
      <c r="ED34" s="16">
        <f t="shared" si="161"/>
        <v>552.58625274183908</v>
      </c>
      <c r="EE34" s="16">
        <f t="shared" si="161"/>
        <v>547.06039021442064</v>
      </c>
      <c r="EF34" s="16">
        <f t="shared" si="161"/>
        <v>541.58978631227637</v>
      </c>
      <c r="EG34" s="16">
        <f t="shared" si="161"/>
        <v>536.17388844915365</v>
      </c>
      <c r="EH34" s="16">
        <f t="shared" si="161"/>
        <v>530.81214956466215</v>
      </c>
      <c r="EI34" s="16">
        <f t="shared" si="161"/>
        <v>525.50402806901548</v>
      </c>
      <c r="EJ34" s="16">
        <f t="shared" si="161"/>
        <v>520.24898778832528</v>
      </c>
      <c r="EK34" s="16">
        <f t="shared" si="161"/>
        <v>515.04649791044199</v>
      </c>
      <c r="EL34" s="16">
        <f t="shared" si="161"/>
        <v>509.89603293133757</v>
      </c>
      <c r="EM34" s="16">
        <f t="shared" si="161"/>
        <v>504.79707260202417</v>
      </c>
      <c r="EN34" s="16">
        <f t="shared" si="161"/>
        <v>499.74910187600392</v>
      </c>
      <c r="EO34" s="16">
        <f t="shared" si="161"/>
        <v>494.75161085724386</v>
      </c>
      <c r="EP34" s="16">
        <f t="shared" si="161"/>
        <v>489.80409474867145</v>
      </c>
      <c r="EQ34" s="16">
        <f t="shared" si="161"/>
        <v>484.90605380118473</v>
      </c>
      <c r="ER34" s="16">
        <f t="shared" si="161"/>
        <v>480.0569932631729</v>
      </c>
      <c r="ES34" s="16">
        <f t="shared" si="161"/>
        <v>475.25642333054117</v>
      </c>
      <c r="ET34" s="16">
        <f t="shared" si="161"/>
        <v>470.50385909723576</v>
      </c>
      <c r="EU34" s="16">
        <f t="shared" si="161"/>
        <v>465.79882050626338</v>
      </c>
      <c r="EV34" s="16">
        <f t="shared" si="161"/>
        <v>461.14083230120076</v>
      </c>
      <c r="EW34" s="16">
        <f t="shared" si="161"/>
        <v>456.52942397818873</v>
      </c>
      <c r="EX34" s="16">
        <f t="shared" si="161"/>
        <v>451.96412973840683</v>
      </c>
      <c r="EY34" s="16">
        <f t="shared" si="161"/>
        <v>447.44448844102277</v>
      </c>
      <c r="EZ34" s="16">
        <f t="shared" si="161"/>
        <v>442.97004355661255</v>
      </c>
      <c r="FA34" s="16">
        <f t="shared" si="161"/>
        <v>438.54034312104642</v>
      </c>
      <c r="FB34" s="16">
        <f t="shared" si="161"/>
        <v>434.15493968983594</v>
      </c>
      <c r="FC34" s="16">
        <f t="shared" si="161"/>
        <v>429.81339029293758</v>
      </c>
      <c r="FD34" s="16">
        <f t="shared" si="161"/>
        <v>425.51525639000818</v>
      </c>
      <c r="FE34" s="16">
        <f t="shared" si="161"/>
        <v>421.26010382610809</v>
      </c>
      <c r="FF34" s="16">
        <f t="shared" si="161"/>
        <v>417.04750278784701</v>
      </c>
      <c r="FG34" s="16">
        <f t="shared" si="161"/>
        <v>412.87702775996854</v>
      </c>
      <c r="FH34" s="16">
        <f t="shared" si="161"/>
        <v>408.74825748236884</v>
      </c>
      <c r="FI34" s="16">
        <f t="shared" si="161"/>
        <v>404.66077490754515</v>
      </c>
      <c r="FJ34" s="16">
        <f t="shared" ref="FJ34:GC34" si="162">FI34*(1+$AM$45)</f>
        <v>400.61416715846968</v>
      </c>
      <c r="FK34" s="16">
        <f t="shared" si="162"/>
        <v>396.60802548688497</v>
      </c>
      <c r="FL34" s="16">
        <f t="shared" si="162"/>
        <v>392.6419452320161</v>
      </c>
      <c r="FM34" s="16">
        <f t="shared" si="162"/>
        <v>388.71552577969595</v>
      </c>
      <c r="FN34" s="16">
        <f t="shared" si="162"/>
        <v>384.82837052189899</v>
      </c>
      <c r="FO34" s="16">
        <f t="shared" si="162"/>
        <v>380.98008681668</v>
      </c>
      <c r="FP34" s="16">
        <f t="shared" si="162"/>
        <v>377.1702859485132</v>
      </c>
      <c r="FQ34" s="16">
        <f t="shared" si="162"/>
        <v>373.39858308902808</v>
      </c>
      <c r="FR34" s="16">
        <f t="shared" si="162"/>
        <v>369.6645972581378</v>
      </c>
      <c r="FS34" s="16">
        <f t="shared" si="162"/>
        <v>365.96795128555641</v>
      </c>
      <c r="FT34" s="16">
        <f t="shared" si="162"/>
        <v>362.30827177270083</v>
      </c>
      <c r="FU34" s="16">
        <f t="shared" si="162"/>
        <v>358.68518905497382</v>
      </c>
      <c r="FV34" s="16">
        <f t="shared" si="162"/>
        <v>355.09833716442409</v>
      </c>
      <c r="FW34" s="16">
        <f t="shared" si="162"/>
        <v>351.54735379277986</v>
      </c>
      <c r="FX34" s="16">
        <f t="shared" si="162"/>
        <v>348.03188025485207</v>
      </c>
      <c r="FY34" s="16">
        <f t="shared" si="162"/>
        <v>344.55156145230353</v>
      </c>
      <c r="FZ34" s="16">
        <f t="shared" si="162"/>
        <v>341.10604583778047</v>
      </c>
      <c r="GA34" s="16">
        <f t="shared" si="162"/>
        <v>337.69498537940268</v>
      </c>
      <c r="GB34" s="16">
        <f t="shared" si="162"/>
        <v>334.31803552560865</v>
      </c>
      <c r="GC34" s="16">
        <f t="shared" si="162"/>
        <v>330.97485517035255</v>
      </c>
    </row>
    <row r="35" spans="1:185" s="3" customFormat="1" x14ac:dyDescent="0.3">
      <c r="A35" s="6"/>
      <c r="O35" s="19"/>
    </row>
    <row r="36" spans="1:185" s="3" customFormat="1" x14ac:dyDescent="0.3">
      <c r="A36" s="6"/>
      <c r="O36" s="22"/>
    </row>
    <row r="37" spans="1:185" s="24" customFormat="1" x14ac:dyDescent="0.3">
      <c r="A37" s="23" t="s">
        <v>138</v>
      </c>
      <c r="H37" s="29"/>
      <c r="I37" s="29"/>
      <c r="J37" s="29"/>
      <c r="K37" s="29"/>
      <c r="L37" s="29">
        <f t="shared" ref="L37:N37" si="163">L10/H10-1</f>
        <v>0.31352619233776391</v>
      </c>
      <c r="M37" s="29">
        <f t="shared" si="163"/>
        <v>0.14969656102494944</v>
      </c>
      <c r="N37" s="29">
        <f t="shared" si="163"/>
        <v>5.2563270603504186E-2</v>
      </c>
      <c r="O37" s="29">
        <f>O10/K10-1</f>
        <v>4.534005037783384E-2</v>
      </c>
      <c r="P37" s="29">
        <f t="shared" ref="P37:S37" si="164">P10/L10-1</f>
        <v>1.8000000000000016E-2</v>
      </c>
      <c r="Q37" s="29">
        <f t="shared" si="164"/>
        <v>2.6999999999999913E-2</v>
      </c>
      <c r="R37" s="29">
        <f t="shared" si="164"/>
        <v>3.499999999999992E-2</v>
      </c>
      <c r="S37" s="29">
        <f t="shared" si="164"/>
        <v>3.499999999999992E-2</v>
      </c>
      <c r="W37" s="32">
        <f t="shared" ref="W37:X37" si="165">W10/V10-1</f>
        <v>0.46563407550822844</v>
      </c>
      <c r="X37" s="32">
        <f t="shared" si="165"/>
        <v>0.94550858652575953</v>
      </c>
      <c r="Y37" s="32">
        <f>Y10/X10-1</f>
        <v>0.13172636224749623</v>
      </c>
      <c r="Z37" s="32">
        <f>Z10/Y10-1</f>
        <v>2.8670316484175951E-2</v>
      </c>
      <c r="AA37" s="32">
        <f t="shared" ref="AA37:AJ37" si="166">AA10/Z10-1</f>
        <v>9.4999999999999973E-2</v>
      </c>
      <c r="AB37" s="32">
        <f t="shared" si="166"/>
        <v>9.4999999999999973E-2</v>
      </c>
      <c r="AC37" s="32">
        <f t="shared" si="166"/>
        <v>9.4999999999999973E-2</v>
      </c>
      <c r="AD37" s="32">
        <f t="shared" si="166"/>
        <v>9.4999999999999973E-2</v>
      </c>
      <c r="AE37" s="32">
        <f t="shared" si="166"/>
        <v>9.4999999999999973E-2</v>
      </c>
      <c r="AF37" s="32">
        <f t="shared" si="166"/>
        <v>5.0000000000000044E-2</v>
      </c>
      <c r="AG37" s="32">
        <f t="shared" si="166"/>
        <v>5.0000000000000044E-2</v>
      </c>
      <c r="AH37" s="32">
        <f t="shared" si="166"/>
        <v>5.0000000000000044E-2</v>
      </c>
      <c r="AI37" s="32">
        <f t="shared" si="166"/>
        <v>5.0000000000000044E-2</v>
      </c>
      <c r="AJ37" s="32">
        <f t="shared" si="166"/>
        <v>2.4999999999999911E-2</v>
      </c>
    </row>
    <row r="38" spans="1:185" s="26" customFormat="1" x14ac:dyDescent="0.3">
      <c r="A38" s="25" t="s">
        <v>139</v>
      </c>
      <c r="H38" s="30"/>
      <c r="I38" s="30">
        <f t="shared" ref="I38:N38" si="167">I10/H10-1</f>
        <v>0.15949960906958571</v>
      </c>
      <c r="J38" s="30">
        <f t="shared" si="167"/>
        <v>3.9109912339851727E-2</v>
      </c>
      <c r="K38" s="30">
        <f t="shared" si="167"/>
        <v>3.0499675535366588E-2</v>
      </c>
      <c r="L38" s="30">
        <f t="shared" si="167"/>
        <v>5.7934508816120944E-2</v>
      </c>
      <c r="M38" s="30">
        <f t="shared" si="167"/>
        <v>1.4880952380952328E-2</v>
      </c>
      <c r="N38" s="30">
        <f t="shared" si="167"/>
        <v>-4.8680351906158381E-2</v>
      </c>
      <c r="O38" s="30">
        <f>O10/N10-1</f>
        <v>2.3427866831072786E-2</v>
      </c>
      <c r="P38" s="30">
        <f t="shared" ref="P38:S38" si="168">P10/O10-1</f>
        <v>3.0265060240963759E-2</v>
      </c>
      <c r="Q38" s="30">
        <f t="shared" si="168"/>
        <v>2.3853377303770129E-2</v>
      </c>
      <c r="R38" s="30">
        <f t="shared" si="168"/>
        <v>-4.1269877529575338E-2</v>
      </c>
      <c r="S38" s="30">
        <f t="shared" si="168"/>
        <v>2.3427866831072786E-2</v>
      </c>
      <c r="Z38" s="47">
        <f>Z34/Y34-1</f>
        <v>7.4638105413106892E-2</v>
      </c>
      <c r="AA38" s="47">
        <f t="shared" ref="AA38:AJ38" si="169">AA34/Z34-1</f>
        <v>9.4999999999997753E-2</v>
      </c>
      <c r="AB38" s="47">
        <f t="shared" si="169"/>
        <v>9.5000000000000417E-2</v>
      </c>
      <c r="AC38" s="47">
        <f t="shared" si="169"/>
        <v>9.5000000000000417E-2</v>
      </c>
      <c r="AD38" s="47">
        <f t="shared" si="169"/>
        <v>9.5000000000001306E-2</v>
      </c>
      <c r="AE38" s="47">
        <f t="shared" si="169"/>
        <v>9.4999999999998641E-2</v>
      </c>
      <c r="AF38" s="47">
        <f t="shared" si="169"/>
        <v>4.9999999999999822E-2</v>
      </c>
      <c r="AG38" s="47">
        <f t="shared" si="169"/>
        <v>4.99999999999996E-2</v>
      </c>
      <c r="AH38" s="47">
        <f t="shared" si="169"/>
        <v>5.0000000000000488E-2</v>
      </c>
      <c r="AI38" s="47">
        <f t="shared" si="169"/>
        <v>5.0000000000000044E-2</v>
      </c>
      <c r="AJ38" s="47">
        <f t="shared" si="169"/>
        <v>2.4999999999999689E-2</v>
      </c>
    </row>
    <row r="39" spans="1:185" s="3" customFormat="1" x14ac:dyDescent="0.3">
      <c r="A39" s="6"/>
      <c r="O39" s="22"/>
      <c r="P39" s="22"/>
      <c r="Q39" s="22"/>
      <c r="R39" s="22"/>
      <c r="S39" s="22"/>
    </row>
    <row r="40" spans="1:185" s="24" customFormat="1" x14ac:dyDescent="0.3">
      <c r="A40" s="23" t="s">
        <v>140</v>
      </c>
      <c r="C40" s="29">
        <f t="shared" ref="C40:G40" si="170">(C10-C11-C12-C16-C14)/C10</f>
        <v>-7.0754716981132074E-2</v>
      </c>
      <c r="D40" s="29">
        <f t="shared" si="170"/>
        <v>3.1963470319634701E-2</v>
      </c>
      <c r="E40" s="29">
        <f t="shared" si="170"/>
        <v>0.13574660633484162</v>
      </c>
      <c r="F40" s="29">
        <f t="shared" si="170"/>
        <v>0.17273795534665101</v>
      </c>
      <c r="G40" s="29">
        <f t="shared" si="170"/>
        <v>0.16171003717472118</v>
      </c>
      <c r="H40" s="29">
        <f t="shared" ref="H40:N40" si="171">(H10-H11-H12-H16-H14)/H10</f>
        <v>0.19702892885066459</v>
      </c>
      <c r="I40" s="29">
        <f t="shared" si="171"/>
        <v>0.23668240053944706</v>
      </c>
      <c r="J40" s="29">
        <f t="shared" si="171"/>
        <v>0.22647631408176508</v>
      </c>
      <c r="K40" s="29">
        <f t="shared" si="171"/>
        <v>0.21158690176322417</v>
      </c>
      <c r="L40" s="29">
        <f t="shared" si="171"/>
        <v>0.19940476190476192</v>
      </c>
      <c r="M40" s="29">
        <f t="shared" si="171"/>
        <v>0.20410557184750733</v>
      </c>
      <c r="N40" s="29">
        <f t="shared" si="171"/>
        <v>0.20900123304562268</v>
      </c>
      <c r="O40" s="29">
        <f>(O10-O11-O12-O16-O14)/O10</f>
        <v>0.17771084337349397</v>
      </c>
      <c r="P40" s="29">
        <f t="shared" ref="P40:S40" si="172">(P10-P11-P12-P16-P14)/P10</f>
        <v>0.20999999999999996</v>
      </c>
      <c r="Q40" s="29">
        <f t="shared" si="172"/>
        <v>0.21000000000000002</v>
      </c>
      <c r="R40" s="29">
        <f t="shared" si="172"/>
        <v>0.21000000000000013</v>
      </c>
      <c r="S40" s="29">
        <f t="shared" si="172"/>
        <v>0.21000000000000005</v>
      </c>
      <c r="V40" s="29">
        <f t="shared" ref="V40:W40" si="173">(V10-V11-V12-V16-V14)/V10</f>
        <v>-4.8402710551790902E-4</v>
      </c>
      <c r="W40" s="29">
        <f t="shared" si="173"/>
        <v>0.14035667107001321</v>
      </c>
      <c r="X40" s="29">
        <f>(X10-X11-X12-X16-X14)/X10</f>
        <v>0.21863860125615345</v>
      </c>
      <c r="Y40" s="29">
        <f>(Y10-Y11-Y12-Y16-Y14)/Y10</f>
        <v>0.19754012299385032</v>
      </c>
      <c r="Z40" s="29">
        <f>(Z10-Z11-Z12-Z16-Z14)/Z10</f>
        <v>0.21000000000000016</v>
      </c>
      <c r="AA40" s="29">
        <f t="shared" ref="AA40:AJ40" si="174">(AA10-AA11-AA12-AA16-AA14)/AA10</f>
        <v>0.20999999999999994</v>
      </c>
      <c r="AB40" s="29">
        <f t="shared" si="174"/>
        <v>0.21000000000000002</v>
      </c>
      <c r="AC40" s="29">
        <f t="shared" si="174"/>
        <v>0.20999999999999996</v>
      </c>
      <c r="AD40" s="29">
        <f t="shared" si="174"/>
        <v>0.21000000000000005</v>
      </c>
      <c r="AE40" s="29">
        <f t="shared" si="174"/>
        <v>0.21000000000000008</v>
      </c>
      <c r="AF40" s="29">
        <f t="shared" si="174"/>
        <v>0.21000000000000008</v>
      </c>
      <c r="AG40" s="29">
        <f t="shared" si="174"/>
        <v>0.21000000000000008</v>
      </c>
      <c r="AH40" s="29">
        <f t="shared" si="174"/>
        <v>0.21000000000000008</v>
      </c>
      <c r="AI40" s="29">
        <f t="shared" si="174"/>
        <v>0.21</v>
      </c>
      <c r="AJ40" s="29">
        <f t="shared" si="174"/>
        <v>0.20999999999999988</v>
      </c>
    </row>
    <row r="41" spans="1:185" s="28" customFormat="1" x14ac:dyDescent="0.3">
      <c r="A41" s="27" t="s">
        <v>141</v>
      </c>
      <c r="C41" s="31">
        <f t="shared" ref="C41:G41" si="175">C18/C10</f>
        <v>-0.49764150943396224</v>
      </c>
      <c r="D41" s="31">
        <f t="shared" si="175"/>
        <v>-0.35388127853881279</v>
      </c>
      <c r="E41" s="31">
        <f t="shared" si="175"/>
        <v>-0.10558069381598793</v>
      </c>
      <c r="F41" s="31">
        <f t="shared" si="175"/>
        <v>8.2256169212690956E-3</v>
      </c>
      <c r="G41" s="31">
        <f t="shared" si="175"/>
        <v>-3.0669144981412641E-2</v>
      </c>
      <c r="H41" s="31">
        <f t="shared" ref="H41:N41" si="176">H18/H10</f>
        <v>1.7200938232994525E-2</v>
      </c>
      <c r="I41" s="31">
        <f t="shared" si="176"/>
        <v>0.11463250168577209</v>
      </c>
      <c r="J41" s="31">
        <f t="shared" si="176"/>
        <v>9.4094743672939643E-2</v>
      </c>
      <c r="K41" s="31">
        <f t="shared" si="176"/>
        <v>3.8413098236775821E-2</v>
      </c>
      <c r="L41" s="31">
        <f t="shared" si="176"/>
        <v>4.5238095238095237E-2</v>
      </c>
      <c r="M41" s="31">
        <f t="shared" si="176"/>
        <v>6.2756598240469211E-2</v>
      </c>
      <c r="N41" s="31">
        <f t="shared" si="176"/>
        <v>6.6584463625154133E-2</v>
      </c>
      <c r="O41" s="31">
        <f>O18/O10</f>
        <v>8.4337349397590362E-3</v>
      </c>
      <c r="P41" s="31">
        <f t="shared" ref="P41:S41" si="177">P18/P10</f>
        <v>4.9999999999999968E-2</v>
      </c>
      <c r="Q41" s="31">
        <f t="shared" si="177"/>
        <v>5.0000000000000051E-2</v>
      </c>
      <c r="R41" s="31">
        <f t="shared" si="177"/>
        <v>5.0000000000000121E-2</v>
      </c>
      <c r="S41" s="31">
        <f t="shared" si="177"/>
        <v>5.0000000000000121E-2</v>
      </c>
      <c r="V41" s="31">
        <f t="shared" ref="V41:W41" si="178">V18/V10</f>
        <v>-0.3059051306873185</v>
      </c>
      <c r="W41" s="31">
        <f t="shared" si="178"/>
        <v>-8.2892998678996035E-2</v>
      </c>
      <c r="X41" s="31">
        <f>X18/X10</f>
        <v>6.7560685791885927E-2</v>
      </c>
      <c r="Y41" s="31">
        <f>Y18/Y10</f>
        <v>4.5747712614369281E-2</v>
      </c>
      <c r="Z41" s="31">
        <f>Z18/Z10</f>
        <v>5.0000000000000162E-2</v>
      </c>
      <c r="AA41" s="31">
        <f t="shared" ref="AA41:AJ41" si="179">AA18/AA10</f>
        <v>4.999999999999994E-2</v>
      </c>
      <c r="AB41" s="31">
        <f t="shared" si="179"/>
        <v>0.05</v>
      </c>
      <c r="AC41" s="31">
        <f t="shared" si="179"/>
        <v>5.0000000000000037E-2</v>
      </c>
      <c r="AD41" s="31">
        <f t="shared" si="179"/>
        <v>5.0000000000000197E-2</v>
      </c>
      <c r="AE41" s="31">
        <f t="shared" si="179"/>
        <v>5.0000000000000044E-2</v>
      </c>
      <c r="AF41" s="31">
        <f t="shared" si="179"/>
        <v>5.000000000000001E-2</v>
      </c>
      <c r="AG41" s="31">
        <f t="shared" si="179"/>
        <v>4.9999999999999975E-2</v>
      </c>
      <c r="AH41" s="31">
        <f t="shared" si="179"/>
        <v>5.0000000000000044E-2</v>
      </c>
      <c r="AI41" s="31">
        <f t="shared" si="179"/>
        <v>5.0000000000000044E-2</v>
      </c>
      <c r="AJ41" s="31">
        <f t="shared" si="179"/>
        <v>5.0000000000000024E-2</v>
      </c>
    </row>
    <row r="42" spans="1:185" s="28" customFormat="1" x14ac:dyDescent="0.3">
      <c r="A42" s="27" t="s">
        <v>142</v>
      </c>
      <c r="C42" s="31">
        <f t="shared" ref="C42:G42" si="180">C29/C10</f>
        <v>-0.47877358490566035</v>
      </c>
      <c r="D42" s="31">
        <f t="shared" si="180"/>
        <v>-0.69406392694063923</v>
      </c>
      <c r="E42" s="31">
        <f t="shared" si="180"/>
        <v>-1.3574660633484163E-2</v>
      </c>
      <c r="F42" s="31">
        <f t="shared" si="180"/>
        <v>0.14101057579318449</v>
      </c>
      <c r="G42" s="31">
        <f t="shared" si="180"/>
        <v>-2.6951672862453532E-2</v>
      </c>
      <c r="H42" s="31">
        <f t="shared" ref="H42:N42" si="181">H29/H10</f>
        <v>-5.7075840500390933E-2</v>
      </c>
      <c r="I42" s="31">
        <f t="shared" si="181"/>
        <v>0.13890761968981793</v>
      </c>
      <c r="J42" s="31">
        <f t="shared" si="181"/>
        <v>1.8170019467878003E-2</v>
      </c>
      <c r="K42" s="31">
        <f t="shared" si="181"/>
        <v>0.18513853904282115</v>
      </c>
      <c r="L42" s="31">
        <f t="shared" si="181"/>
        <v>3.4523809523809526E-2</v>
      </c>
      <c r="M42" s="31">
        <f t="shared" si="181"/>
        <v>3.988269794721408E-2</v>
      </c>
      <c r="N42" s="31">
        <f t="shared" si="181"/>
        <v>8.2614056720098639E-2</v>
      </c>
      <c r="O42" s="31">
        <f>O29/O10</f>
        <v>1.566265060240964E-2</v>
      </c>
      <c r="P42" s="31">
        <f t="shared" ref="P42:S42" si="182">P29/P10</f>
        <v>2.682428781925341E-2</v>
      </c>
      <c r="Q42" s="31">
        <f t="shared" si="182"/>
        <v>2.7959648864814279E-2</v>
      </c>
      <c r="R42" s="31">
        <f t="shared" si="182"/>
        <v>3.157476428054478E-2</v>
      </c>
      <c r="S42" s="31">
        <f t="shared" si="182"/>
        <v>3.3812324535915497E-2</v>
      </c>
      <c r="V42" s="31">
        <f t="shared" ref="V42:W42" si="183">V29/V10</f>
        <v>-0.34027105517909001</v>
      </c>
      <c r="W42" s="31">
        <f t="shared" si="183"/>
        <v>-7.3315719947159838E-2</v>
      </c>
      <c r="X42" s="31">
        <f>X29/X10</f>
        <v>7.7236462400271599E-2</v>
      </c>
      <c r="Y42" s="31">
        <f>Y29/Y10</f>
        <v>4.2897855107244635E-2</v>
      </c>
      <c r="Z42" s="31">
        <f>Z29/Z10</f>
        <v>3.0027655520028704E-2</v>
      </c>
      <c r="AA42" s="31">
        <f t="shared" ref="AA42:AJ42" si="184">AA29/AA10</f>
        <v>3.9441760588392841E-2</v>
      </c>
      <c r="AB42" s="31">
        <f t="shared" si="184"/>
        <v>4.6155811150048E-2</v>
      </c>
      <c r="AC42" s="31">
        <f t="shared" si="184"/>
        <v>4.2369352278852211E-2</v>
      </c>
      <c r="AD42" s="31">
        <f t="shared" si="184"/>
        <v>4.1763050184570924E-2</v>
      </c>
      <c r="AE42" s="31">
        <f t="shared" si="184"/>
        <v>4.2368861435658434E-2</v>
      </c>
      <c r="AF42" s="31">
        <f t="shared" si="184"/>
        <v>4.3824314145850626E-2</v>
      </c>
      <c r="AG42" s="31">
        <f t="shared" si="184"/>
        <v>4.4414400080018041E-2</v>
      </c>
      <c r="AH42" s="31">
        <f t="shared" si="184"/>
        <v>4.42189428850224E-2</v>
      </c>
      <c r="AI42" s="31">
        <f t="shared" si="184"/>
        <v>4.4490747287870683E-2</v>
      </c>
      <c r="AJ42" s="31">
        <f t="shared" si="184"/>
        <v>4.4991152733770537E-2</v>
      </c>
    </row>
    <row r="43" spans="1:185" s="26" customFormat="1" x14ac:dyDescent="0.3">
      <c r="A43" s="25" t="s">
        <v>143</v>
      </c>
      <c r="C43" s="30">
        <f t="shared" ref="C43:G43" si="185">C26/C25</f>
        <v>-0.25367647058823528</v>
      </c>
      <c r="D43" s="30">
        <f t="shared" si="185"/>
        <v>-1.576271186440678</v>
      </c>
      <c r="E43" s="30">
        <f t="shared" si="185"/>
        <v>2.5</v>
      </c>
      <c r="F43" s="30">
        <f t="shared" si="185"/>
        <v>0.53488372093023251</v>
      </c>
      <c r="G43" s="30">
        <f t="shared" si="185"/>
        <v>-0.71568627450980393</v>
      </c>
      <c r="H43" s="30">
        <f>H26/H25</f>
        <v>-2.8169014084507043E-2</v>
      </c>
      <c r="I43" s="30">
        <f>I26/I25</f>
        <v>0.33974358974358976</v>
      </c>
      <c r="J43" s="30">
        <f>J26/J25</f>
        <v>0.55555555555555558</v>
      </c>
      <c r="K43" s="30">
        <v>0</v>
      </c>
      <c r="L43" s="30">
        <f>L26/L25</f>
        <v>0.44761904761904764</v>
      </c>
      <c r="M43" s="30">
        <f>M26/M25</f>
        <v>0.28421052631578947</v>
      </c>
      <c r="N43" s="30">
        <f>N26/N25</f>
        <v>0.32673267326732675</v>
      </c>
      <c r="O43" s="30">
        <f>O26/O25</f>
        <v>1.8888888888888888</v>
      </c>
      <c r="P43" s="30">
        <f t="shared" ref="P43:S43" si="186">P26/P25</f>
        <v>0.19</v>
      </c>
      <c r="Q43" s="30">
        <f t="shared" si="186"/>
        <v>0.19</v>
      </c>
      <c r="R43" s="30">
        <f t="shared" si="186"/>
        <v>0.19</v>
      </c>
      <c r="S43" s="30">
        <f t="shared" si="186"/>
        <v>0.19</v>
      </c>
      <c r="V43" s="30">
        <f t="shared" ref="V43:W43" si="187">V26/V25</f>
        <v>-0.26770833333333333</v>
      </c>
      <c r="W43" s="30">
        <f t="shared" si="187"/>
        <v>9.3636363636363633</v>
      </c>
      <c r="X43" s="30">
        <f>X26/X25</f>
        <v>1.0413223140495869</v>
      </c>
      <c r="Y43" s="30">
        <f>Y26/Y25</f>
        <v>0.4</v>
      </c>
      <c r="Z43" s="30">
        <f>Z26/Z25</f>
        <v>0.18999999999999947</v>
      </c>
      <c r="AA43" s="30">
        <f t="shared" ref="AA43:AJ43" si="188">AA26/AA25</f>
        <v>0.19</v>
      </c>
      <c r="AB43" s="30">
        <f t="shared" si="188"/>
        <v>0.19</v>
      </c>
      <c r="AC43" s="30">
        <f t="shared" si="188"/>
        <v>0.19</v>
      </c>
      <c r="AD43" s="30">
        <f t="shared" si="188"/>
        <v>0.19</v>
      </c>
      <c r="AE43" s="30">
        <f t="shared" si="188"/>
        <v>0.19</v>
      </c>
      <c r="AF43" s="30">
        <f t="shared" si="188"/>
        <v>0.19</v>
      </c>
      <c r="AG43" s="30">
        <f t="shared" si="188"/>
        <v>0.19</v>
      </c>
      <c r="AH43" s="30">
        <f t="shared" si="188"/>
        <v>0.19</v>
      </c>
      <c r="AI43" s="30">
        <f t="shared" si="188"/>
        <v>0.19</v>
      </c>
      <c r="AJ43" s="30">
        <f t="shared" si="188"/>
        <v>0.19</v>
      </c>
    </row>
    <row r="44" spans="1:185" s="28" customFormat="1" x14ac:dyDescent="0.3">
      <c r="A44" s="27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V44" s="31"/>
      <c r="W44" s="31"/>
      <c r="X44" s="31"/>
      <c r="Y44" s="31"/>
    </row>
    <row r="45" spans="1:185" s="28" customFormat="1" x14ac:dyDescent="0.3">
      <c r="A45" s="27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V45" s="31"/>
      <c r="W45" s="31"/>
      <c r="X45" s="31"/>
      <c r="Y45" s="31"/>
      <c r="AL45" s="28" t="s">
        <v>153</v>
      </c>
      <c r="AM45" s="45">
        <v>-0.01</v>
      </c>
    </row>
    <row r="46" spans="1:185" s="3" customFormat="1" x14ac:dyDescent="0.3">
      <c r="A46" s="6"/>
      <c r="O46" s="42"/>
      <c r="AL46" s="3" t="s">
        <v>154</v>
      </c>
      <c r="AM46" s="46">
        <v>5.4300000000000001E-2</v>
      </c>
    </row>
    <row r="47" spans="1:185" s="3" customFormat="1" x14ac:dyDescent="0.3">
      <c r="A47" s="6" t="s">
        <v>146</v>
      </c>
      <c r="K47" s="43">
        <f>SUM(H29:K29)/AVERAGE(H72:K72)</f>
        <v>3.6955815464587392E-2</v>
      </c>
      <c r="L47" s="43">
        <f>SUM(I29:L29)/AVERAGE(I72:L72)</f>
        <v>4.7011632571199356E-2</v>
      </c>
      <c r="M47" s="43">
        <f>SUM(J29:M29)/AVERAGE(J72:M72)</f>
        <v>3.582185026253365E-2</v>
      </c>
      <c r="N47" s="43">
        <f>SUM(K29:N29)/AVERAGE(K72:N72)</f>
        <v>4.4465847981378925E-2</v>
      </c>
      <c r="O47" s="43">
        <f>SUM(L29:O29)/AVERAGE(L72:O72)</f>
        <v>2.2717794944099132E-2</v>
      </c>
      <c r="AL47" s="3" t="s">
        <v>155</v>
      </c>
      <c r="AM47" s="3">
        <f>NPV(AM46,Z29:GA29)</f>
        <v>8666.6754555279695</v>
      </c>
      <c r="AN47" s="3">
        <f>NPV(AM46,Z34:GC34)</f>
        <v>21713.490297776159</v>
      </c>
    </row>
    <row r="48" spans="1:185" s="3" customFormat="1" x14ac:dyDescent="0.3">
      <c r="A48" s="6" t="s">
        <v>147</v>
      </c>
      <c r="K48" s="44"/>
      <c r="L48" s="44"/>
      <c r="M48" s="44"/>
      <c r="N48" s="44"/>
      <c r="O48" s="44"/>
      <c r="AL48" s="3" t="s">
        <v>3</v>
      </c>
      <c r="AM48" s="3">
        <v>930</v>
      </c>
      <c r="AN48" s="39">
        <v>-4158</v>
      </c>
    </row>
    <row r="49" spans="1:40" s="3" customFormat="1" x14ac:dyDescent="0.3">
      <c r="A49" s="6" t="s">
        <v>149</v>
      </c>
      <c r="K49" s="43">
        <f>K18/K93</f>
        <v>6.7590027700831024E-3</v>
      </c>
      <c r="L49" s="43">
        <f>L18/L93</f>
        <v>8.1976054363067635E-3</v>
      </c>
      <c r="M49" s="43">
        <f>M18/M93</f>
        <v>1.0734349919743178E-2</v>
      </c>
      <c r="N49" s="43">
        <f>N18/N93</f>
        <v>1.0899182561307902E-2</v>
      </c>
      <c r="O49" s="43">
        <f>O18/O93</f>
        <v>1.5126958400864397E-3</v>
      </c>
      <c r="AL49" s="3" t="s">
        <v>156</v>
      </c>
      <c r="AM49" s="3">
        <f>AM47-AM48</f>
        <v>7736.6754555279695</v>
      </c>
      <c r="AN49" s="3">
        <f>AN47+AN48</f>
        <v>17555.490297776159</v>
      </c>
    </row>
    <row r="50" spans="1:40" s="3" customFormat="1" x14ac:dyDescent="0.3">
      <c r="A50" s="6" t="s">
        <v>148</v>
      </c>
      <c r="K50" s="43">
        <f>SUM(H29:K29)/AVERAGE(H93:K93)</f>
        <v>5.0415512465373964E-2</v>
      </c>
      <c r="L50" s="43">
        <f>SUM(I29:L29)/AVERAGE(I93:L93)</f>
        <v>6.4057717533887185E-2</v>
      </c>
      <c r="M50" s="43">
        <f>SUM(J29:M29)/AVERAGE(J93:M93)</f>
        <v>4.755165581658647E-2</v>
      </c>
      <c r="N50" s="43">
        <f>SUM(K29:N29)/AVERAGE(K93:N93)</f>
        <v>5.8051502370785636E-2</v>
      </c>
      <c r="O50" s="43">
        <f>SUM(L29:O29)/AVERAGE(L93:O93)</f>
        <v>2.9789339374528032E-2</v>
      </c>
      <c r="AL50" s="3" t="s">
        <v>157</v>
      </c>
      <c r="AM50" s="40">
        <f>AM49/Main!L3</f>
        <v>73.188157917817207</v>
      </c>
      <c r="AN50" s="3">
        <f>AN49/Main!L3</f>
        <v>166.07314131553781</v>
      </c>
    </row>
    <row r="51" spans="1:40" s="3" customFormat="1" x14ac:dyDescent="0.3">
      <c r="A51" s="6"/>
      <c r="O51" s="22"/>
      <c r="AL51" s="3" t="s">
        <v>158</v>
      </c>
      <c r="AM51" s="48">
        <f>AM50/Main!L2-1</f>
        <v>-0.52555323533114739</v>
      </c>
      <c r="AN51" s="48">
        <f>AN50/Main!L2-1</f>
        <v>7.6579419911434021E-2</v>
      </c>
    </row>
    <row r="52" spans="1:40" s="3" customFormat="1" x14ac:dyDescent="0.3">
      <c r="A52" s="6"/>
      <c r="O52" s="22"/>
      <c r="AM52" s="3" t="s">
        <v>159</v>
      </c>
      <c r="AN52" s="3" t="s">
        <v>145</v>
      </c>
    </row>
    <row r="53" spans="1:40" s="38" customFormat="1" x14ac:dyDescent="0.3">
      <c r="A53" s="37" t="s">
        <v>144</v>
      </c>
      <c r="K53" s="39">
        <f>K54-K55</f>
        <v>-3718</v>
      </c>
      <c r="L53" s="39">
        <f t="shared" ref="L53:N53" si="189">L54-L55</f>
        <v>-3897</v>
      </c>
      <c r="M53" s="39">
        <f t="shared" si="189"/>
        <v>-4074</v>
      </c>
      <c r="N53" s="39">
        <f t="shared" si="189"/>
        <v>-4291</v>
      </c>
      <c r="O53" s="39">
        <f>O54-O55</f>
        <v>-4158</v>
      </c>
      <c r="X53" s="39">
        <f>X54-X55</f>
        <v>-3718</v>
      </c>
      <c r="Y53" s="39">
        <f>Y54-Y55</f>
        <v>-4158</v>
      </c>
    </row>
    <row r="54" spans="1:40" s="28" customFormat="1" x14ac:dyDescent="0.3">
      <c r="A54" s="27" t="s">
        <v>3</v>
      </c>
      <c r="K54" s="35">
        <f>K56+K57+K58</f>
        <v>1188</v>
      </c>
      <c r="L54" s="35">
        <f t="shared" ref="L54:N54" si="190">L56+L57+L58</f>
        <v>1071</v>
      </c>
      <c r="M54" s="35">
        <f t="shared" si="190"/>
        <v>951</v>
      </c>
      <c r="N54" s="35">
        <f t="shared" si="190"/>
        <v>740</v>
      </c>
      <c r="O54" s="35">
        <f>O56+O57+O58</f>
        <v>930</v>
      </c>
      <c r="X54" s="35">
        <f>X56+X57+X58</f>
        <v>1188</v>
      </c>
      <c r="Y54" s="35">
        <f>Y56+Y57+Y58</f>
        <v>930</v>
      </c>
    </row>
    <row r="55" spans="1:40" s="34" customFormat="1" ht="15" thickBot="1" x14ac:dyDescent="0.35">
      <c r="A55" s="33" t="s">
        <v>4</v>
      </c>
      <c r="K55" s="36">
        <f>K73+K81+K82+K83</f>
        <v>4906</v>
      </c>
      <c r="L55" s="36">
        <f t="shared" ref="L55:N55" si="191">L73+L81+L82+L83</f>
        <v>4968</v>
      </c>
      <c r="M55" s="36">
        <f t="shared" si="191"/>
        <v>5025</v>
      </c>
      <c r="N55" s="36">
        <f t="shared" si="191"/>
        <v>5031</v>
      </c>
      <c r="O55" s="36">
        <f>O73+O81+O82+O83</f>
        <v>5088</v>
      </c>
      <c r="X55" s="36">
        <f>X73+X81+X82+X83</f>
        <v>4906</v>
      </c>
      <c r="Y55" s="36">
        <f>Y73+Y81+Y82+Y83</f>
        <v>5088</v>
      </c>
    </row>
    <row r="56" spans="1:40" s="3" customFormat="1" x14ac:dyDescent="0.3">
      <c r="A56" s="6" t="s">
        <v>3</v>
      </c>
      <c r="K56" s="3">
        <v>991</v>
      </c>
      <c r="L56" s="3">
        <v>948</v>
      </c>
      <c r="M56" s="3">
        <v>882</v>
      </c>
      <c r="N56" s="3">
        <v>701</v>
      </c>
      <c r="O56" s="3">
        <v>881</v>
      </c>
      <c r="X56" s="3">
        <f>K56</f>
        <v>991</v>
      </c>
      <c r="Y56" s="3">
        <f>O56</f>
        <v>881</v>
      </c>
    </row>
    <row r="57" spans="1:40" s="3" customFormat="1" x14ac:dyDescent="0.3">
      <c r="A57" s="6" t="s">
        <v>106</v>
      </c>
      <c r="K57" s="3">
        <v>39</v>
      </c>
      <c r="L57" s="3">
        <v>20</v>
      </c>
      <c r="M57" s="3">
        <v>45</v>
      </c>
      <c r="N57" s="3">
        <v>13</v>
      </c>
      <c r="O57" s="3">
        <v>34</v>
      </c>
      <c r="X57" s="3">
        <f t="shared" ref="X57:X87" si="192">K57</f>
        <v>39</v>
      </c>
      <c r="Y57" s="3">
        <f t="shared" ref="Y57:Y87" si="193">O57</f>
        <v>34</v>
      </c>
    </row>
    <row r="58" spans="1:40" s="3" customFormat="1" x14ac:dyDescent="0.3">
      <c r="A58" s="6" t="s">
        <v>107</v>
      </c>
      <c r="K58" s="3">
        <v>158</v>
      </c>
      <c r="L58" s="3">
        <v>103</v>
      </c>
      <c r="M58" s="3">
        <v>24</v>
      </c>
      <c r="N58" s="3">
        <v>26</v>
      </c>
      <c r="O58" s="3">
        <v>15</v>
      </c>
      <c r="X58" s="3">
        <f t="shared" si="192"/>
        <v>158</v>
      </c>
      <c r="Y58" s="3">
        <f t="shared" si="193"/>
        <v>15</v>
      </c>
    </row>
    <row r="59" spans="1:40" s="3" customFormat="1" x14ac:dyDescent="0.3">
      <c r="A59" s="6" t="s">
        <v>108</v>
      </c>
      <c r="K59" s="3">
        <v>834</v>
      </c>
      <c r="L59" s="3">
        <v>828</v>
      </c>
      <c r="M59" s="3">
        <v>787</v>
      </c>
      <c r="N59" s="3">
        <v>762</v>
      </c>
      <c r="O59" s="3">
        <v>883</v>
      </c>
      <c r="X59" s="3">
        <f t="shared" si="192"/>
        <v>834</v>
      </c>
      <c r="Y59" s="3">
        <f t="shared" si="193"/>
        <v>883</v>
      </c>
    </row>
    <row r="60" spans="1:40" s="3" customFormat="1" x14ac:dyDescent="0.3">
      <c r="A60" s="6" t="s">
        <v>109</v>
      </c>
      <c r="K60" s="3">
        <v>9</v>
      </c>
      <c r="L60" s="3">
        <v>10</v>
      </c>
      <c r="M60" s="3">
        <v>10</v>
      </c>
      <c r="N60" s="3">
        <v>10</v>
      </c>
      <c r="O60" s="3">
        <v>9</v>
      </c>
      <c r="X60" s="3">
        <f t="shared" si="192"/>
        <v>9</v>
      </c>
      <c r="Y60" s="3">
        <f t="shared" si="193"/>
        <v>9</v>
      </c>
    </row>
    <row r="61" spans="1:40" s="3" customFormat="1" x14ac:dyDescent="0.3">
      <c r="A61" s="6" t="s">
        <v>110</v>
      </c>
      <c r="K61" s="3">
        <v>180</v>
      </c>
      <c r="L61" s="3">
        <v>205</v>
      </c>
      <c r="M61" s="3">
        <v>192</v>
      </c>
      <c r="N61" s="3">
        <v>183</v>
      </c>
      <c r="O61" s="3">
        <v>195</v>
      </c>
      <c r="X61" s="3">
        <f t="shared" si="192"/>
        <v>180</v>
      </c>
      <c r="Y61" s="3">
        <f t="shared" si="193"/>
        <v>195</v>
      </c>
    </row>
    <row r="62" spans="1:40" s="3" customFormat="1" x14ac:dyDescent="0.3">
      <c r="A62" s="6" t="s">
        <v>111</v>
      </c>
      <c r="K62" s="3">
        <v>39</v>
      </c>
      <c r="L62" s="3">
        <v>36</v>
      </c>
      <c r="M62" s="3">
        <v>50</v>
      </c>
      <c r="N62" s="3">
        <v>56</v>
      </c>
      <c r="O62" s="3">
        <v>51</v>
      </c>
      <c r="X62" s="3">
        <f t="shared" si="192"/>
        <v>39</v>
      </c>
      <c r="Y62" s="3">
        <f t="shared" si="193"/>
        <v>51</v>
      </c>
    </row>
    <row r="63" spans="1:40" s="3" customFormat="1" x14ac:dyDescent="0.3">
      <c r="A63" s="6" t="s">
        <v>112</v>
      </c>
      <c r="K63" s="3">
        <v>0</v>
      </c>
      <c r="O63" s="3">
        <v>62</v>
      </c>
      <c r="X63" s="3">
        <f t="shared" si="192"/>
        <v>0</v>
      </c>
      <c r="Y63" s="3">
        <f t="shared" si="193"/>
        <v>62</v>
      </c>
    </row>
    <row r="64" spans="1:40" s="16" customFormat="1" x14ac:dyDescent="0.3">
      <c r="A64" s="15" t="s">
        <v>113</v>
      </c>
      <c r="K64" s="16">
        <f t="shared" ref="K64:N64" si="194">SUM(K56:K63)</f>
        <v>2250</v>
      </c>
      <c r="L64" s="16">
        <f t="shared" si="194"/>
        <v>2150</v>
      </c>
      <c r="M64" s="16">
        <f t="shared" si="194"/>
        <v>1990</v>
      </c>
      <c r="N64" s="16">
        <f t="shared" si="194"/>
        <v>1751</v>
      </c>
      <c r="O64" s="16">
        <f>SUM(O56:O63)</f>
        <v>2130</v>
      </c>
      <c r="X64" s="16">
        <f t="shared" ref="X64:Y64" si="195">SUM(X56:X63)</f>
        <v>2250</v>
      </c>
      <c r="Y64" s="16">
        <f t="shared" si="195"/>
        <v>2130</v>
      </c>
    </row>
    <row r="65" spans="1:25" s="3" customFormat="1" x14ac:dyDescent="0.3">
      <c r="A65" s="6" t="s">
        <v>114</v>
      </c>
      <c r="K65" s="3">
        <v>178</v>
      </c>
      <c r="L65" s="3">
        <v>180</v>
      </c>
      <c r="M65" s="3">
        <v>182</v>
      </c>
      <c r="N65" s="3">
        <v>212</v>
      </c>
      <c r="O65" s="3">
        <v>211</v>
      </c>
      <c r="X65" s="3">
        <f t="shared" si="192"/>
        <v>178</v>
      </c>
      <c r="Y65" s="3">
        <f t="shared" si="193"/>
        <v>211</v>
      </c>
    </row>
    <row r="66" spans="1:25" s="3" customFormat="1" x14ac:dyDescent="0.3">
      <c r="A66" s="6" t="s">
        <v>115</v>
      </c>
      <c r="K66" s="3">
        <v>2384</v>
      </c>
      <c r="L66" s="3">
        <v>2371</v>
      </c>
      <c r="M66" s="3">
        <v>2384</v>
      </c>
      <c r="N66" s="3">
        <v>2373</v>
      </c>
      <c r="O66" s="3">
        <v>2340</v>
      </c>
      <c r="X66" s="3">
        <f t="shared" si="192"/>
        <v>2384</v>
      </c>
      <c r="Y66" s="3">
        <f t="shared" si="193"/>
        <v>2340</v>
      </c>
    </row>
    <row r="67" spans="1:25" s="3" customFormat="1" x14ac:dyDescent="0.3">
      <c r="A67" s="6" t="s">
        <v>116</v>
      </c>
      <c r="K67" s="3">
        <v>60</v>
      </c>
      <c r="L67" s="3">
        <v>58</v>
      </c>
      <c r="M67" s="3">
        <v>64</v>
      </c>
      <c r="N67" s="3">
        <v>71</v>
      </c>
      <c r="O67" s="3">
        <v>73</v>
      </c>
      <c r="X67" s="3">
        <f t="shared" si="192"/>
        <v>60</v>
      </c>
      <c r="Y67" s="3">
        <f t="shared" si="193"/>
        <v>73</v>
      </c>
    </row>
    <row r="68" spans="1:25" s="3" customFormat="1" x14ac:dyDescent="0.3">
      <c r="A68" s="6" t="s">
        <v>117</v>
      </c>
      <c r="K68" s="3">
        <v>385</v>
      </c>
      <c r="L68" s="3">
        <v>384</v>
      </c>
      <c r="M68" s="3">
        <v>383</v>
      </c>
      <c r="N68" s="3">
        <v>366</v>
      </c>
      <c r="O68" s="3">
        <v>369</v>
      </c>
      <c r="X68" s="3">
        <f t="shared" si="192"/>
        <v>385</v>
      </c>
      <c r="Y68" s="3">
        <f t="shared" si="193"/>
        <v>369</v>
      </c>
    </row>
    <row r="69" spans="1:25" s="3" customFormat="1" x14ac:dyDescent="0.3">
      <c r="A69" s="6" t="s">
        <v>118</v>
      </c>
      <c r="K69" s="3">
        <f>3101+1668</f>
        <v>4769</v>
      </c>
      <c r="L69" s="3">
        <f>3143+1813</f>
        <v>4956</v>
      </c>
      <c r="M69" s="3">
        <f>3205+1785</f>
        <v>4990</v>
      </c>
      <c r="N69" s="3">
        <f>3202+1728</f>
        <v>4930</v>
      </c>
      <c r="O69" s="3">
        <f>3205+1670</f>
        <v>4875</v>
      </c>
      <c r="X69" s="3">
        <f t="shared" si="192"/>
        <v>4769</v>
      </c>
      <c r="Y69" s="3">
        <f t="shared" si="193"/>
        <v>4875</v>
      </c>
    </row>
    <row r="70" spans="1:25" s="3" customFormat="1" x14ac:dyDescent="0.3">
      <c r="A70" s="6" t="s">
        <v>119</v>
      </c>
      <c r="K70" s="3">
        <v>257</v>
      </c>
      <c r="L70" s="3">
        <v>276</v>
      </c>
      <c r="M70" s="3">
        <v>293</v>
      </c>
      <c r="N70" s="3">
        <v>312</v>
      </c>
      <c r="O70" s="3">
        <v>358</v>
      </c>
      <c r="X70" s="3">
        <f t="shared" si="192"/>
        <v>257</v>
      </c>
      <c r="Y70" s="3">
        <f t="shared" si="193"/>
        <v>358</v>
      </c>
    </row>
    <row r="71" spans="1:25" s="3" customFormat="1" x14ac:dyDescent="0.3">
      <c r="A71" s="6" t="s">
        <v>120</v>
      </c>
      <c r="K71" s="3">
        <v>2029</v>
      </c>
      <c r="L71" s="3">
        <v>2243</v>
      </c>
      <c r="M71" s="3">
        <v>2303</v>
      </c>
      <c r="N71" s="3">
        <v>2302</v>
      </c>
      <c r="O71" s="3">
        <v>2477</v>
      </c>
      <c r="X71" s="3">
        <f t="shared" si="192"/>
        <v>2029</v>
      </c>
      <c r="Y71" s="3">
        <f t="shared" si="193"/>
        <v>2477</v>
      </c>
    </row>
    <row r="72" spans="1:25" s="16" customFormat="1" x14ac:dyDescent="0.3">
      <c r="A72" s="15" t="s">
        <v>121</v>
      </c>
      <c r="K72" s="16">
        <f t="shared" ref="K72:N72" si="196">SUM(K65:K71)+K64</f>
        <v>12312</v>
      </c>
      <c r="L72" s="16">
        <f t="shared" si="196"/>
        <v>12618</v>
      </c>
      <c r="M72" s="16">
        <f t="shared" si="196"/>
        <v>12589</v>
      </c>
      <c r="N72" s="16">
        <f t="shared" si="196"/>
        <v>12317</v>
      </c>
      <c r="O72" s="16">
        <f>SUM(O65:O71)+O64</f>
        <v>12833</v>
      </c>
      <c r="X72" s="16">
        <f>K72</f>
        <v>12312</v>
      </c>
      <c r="Y72" s="16">
        <f>O72</f>
        <v>12833</v>
      </c>
    </row>
    <row r="73" spans="1:25" s="3" customFormat="1" x14ac:dyDescent="0.3">
      <c r="A73" s="6" t="s">
        <v>122</v>
      </c>
      <c r="K73" s="3">
        <v>660</v>
      </c>
      <c r="L73" s="3">
        <v>648</v>
      </c>
      <c r="M73" s="3">
        <v>46</v>
      </c>
      <c r="N73" s="3">
        <v>6</v>
      </c>
      <c r="O73" s="3">
        <v>751</v>
      </c>
      <c r="X73" s="3">
        <f t="shared" si="192"/>
        <v>660</v>
      </c>
      <c r="Y73" s="3">
        <f t="shared" si="193"/>
        <v>751</v>
      </c>
    </row>
    <row r="74" spans="1:25" s="3" customFormat="1" x14ac:dyDescent="0.3">
      <c r="A74" s="6" t="s">
        <v>123</v>
      </c>
      <c r="K74" s="3">
        <v>500</v>
      </c>
      <c r="L74" s="3">
        <v>544</v>
      </c>
      <c r="M74" s="3">
        <v>486</v>
      </c>
      <c r="N74" s="3">
        <v>369</v>
      </c>
      <c r="O74" s="3">
        <v>493</v>
      </c>
      <c r="X74" s="3">
        <f t="shared" si="192"/>
        <v>500</v>
      </c>
      <c r="Y74" s="3">
        <f t="shared" si="193"/>
        <v>493</v>
      </c>
    </row>
    <row r="75" spans="1:25" s="3" customFormat="1" x14ac:dyDescent="0.3">
      <c r="A75" s="6" t="s">
        <v>124</v>
      </c>
      <c r="K75" s="3">
        <v>415</v>
      </c>
      <c r="L75" s="3">
        <v>475</v>
      </c>
      <c r="M75" s="3">
        <v>444</v>
      </c>
      <c r="N75" s="3">
        <v>461</v>
      </c>
      <c r="O75" s="3">
        <v>468</v>
      </c>
      <c r="X75" s="3">
        <f t="shared" si="192"/>
        <v>415</v>
      </c>
      <c r="Y75" s="3">
        <f t="shared" si="193"/>
        <v>468</v>
      </c>
    </row>
    <row r="76" spans="1:25" s="3" customFormat="1" x14ac:dyDescent="0.3">
      <c r="A76" s="6" t="s">
        <v>125</v>
      </c>
      <c r="K76" s="3">
        <v>1438</v>
      </c>
      <c r="L76" s="3">
        <v>1495</v>
      </c>
      <c r="M76" s="3">
        <v>1442</v>
      </c>
      <c r="N76" s="3">
        <v>1350</v>
      </c>
      <c r="O76" s="3">
        <v>1598</v>
      </c>
      <c r="X76" s="3">
        <f t="shared" si="192"/>
        <v>1438</v>
      </c>
      <c r="Y76" s="3">
        <f t="shared" si="193"/>
        <v>1598</v>
      </c>
    </row>
    <row r="77" spans="1:25" s="3" customFormat="1" x14ac:dyDescent="0.3">
      <c r="A77" s="6" t="s">
        <v>126</v>
      </c>
      <c r="K77" s="3">
        <v>235</v>
      </c>
      <c r="L77" s="3">
        <v>146</v>
      </c>
      <c r="M77" s="3">
        <v>162</v>
      </c>
      <c r="N77" s="3">
        <v>182</v>
      </c>
      <c r="O77" s="3">
        <v>210</v>
      </c>
      <c r="X77" s="3">
        <f t="shared" si="192"/>
        <v>235</v>
      </c>
      <c r="Y77" s="3">
        <f t="shared" si="193"/>
        <v>210</v>
      </c>
    </row>
    <row r="78" spans="1:25" s="3" customFormat="1" x14ac:dyDescent="0.3">
      <c r="A78" s="6" t="s">
        <v>127</v>
      </c>
      <c r="K78" s="3">
        <v>39</v>
      </c>
      <c r="L78" s="3">
        <v>39</v>
      </c>
      <c r="M78" s="3">
        <v>41</v>
      </c>
      <c r="N78" s="3">
        <v>40</v>
      </c>
      <c r="O78" s="3">
        <v>41</v>
      </c>
      <c r="X78" s="3">
        <f t="shared" si="192"/>
        <v>39</v>
      </c>
      <c r="Y78" s="3">
        <f t="shared" si="193"/>
        <v>41</v>
      </c>
    </row>
    <row r="79" spans="1:25" s="3" customFormat="1" x14ac:dyDescent="0.3">
      <c r="A79" s="6" t="s">
        <v>128</v>
      </c>
      <c r="K79" s="3">
        <v>0</v>
      </c>
      <c r="O79" s="3">
        <v>17</v>
      </c>
      <c r="X79" s="3">
        <f t="shared" si="192"/>
        <v>0</v>
      </c>
      <c r="Y79" s="3">
        <f t="shared" si="193"/>
        <v>17</v>
      </c>
    </row>
    <row r="80" spans="1:25" s="16" customFormat="1" x14ac:dyDescent="0.3">
      <c r="A80" s="15" t="s">
        <v>129</v>
      </c>
      <c r="K80" s="16">
        <f t="shared" ref="K80:N80" si="197">SUM(K73:K79)</f>
        <v>3287</v>
      </c>
      <c r="L80" s="16">
        <f t="shared" si="197"/>
        <v>3347</v>
      </c>
      <c r="M80" s="16">
        <f t="shared" si="197"/>
        <v>2621</v>
      </c>
      <c r="N80" s="16">
        <f t="shared" si="197"/>
        <v>2408</v>
      </c>
      <c r="O80" s="16">
        <f>SUM(O73:O79)</f>
        <v>3578</v>
      </c>
      <c r="X80" s="16">
        <f t="shared" ref="X80:Y80" si="198">SUM(X73:X79)</f>
        <v>3287</v>
      </c>
      <c r="Y80" s="16">
        <f t="shared" si="198"/>
        <v>3578</v>
      </c>
    </row>
    <row r="81" spans="1:25" s="3" customFormat="1" x14ac:dyDescent="0.3">
      <c r="A81" s="6" t="s">
        <v>130</v>
      </c>
      <c r="K81" s="3">
        <v>2453</v>
      </c>
      <c r="L81" s="3">
        <v>2454</v>
      </c>
      <c r="M81" s="3">
        <v>3053</v>
      </c>
      <c r="N81" s="3">
        <v>3049</v>
      </c>
      <c r="O81" s="3">
        <v>2305</v>
      </c>
      <c r="X81" s="3">
        <f t="shared" si="192"/>
        <v>2453</v>
      </c>
      <c r="Y81" s="3">
        <f t="shared" si="193"/>
        <v>2305</v>
      </c>
    </row>
    <row r="82" spans="1:25" s="3" customFormat="1" x14ac:dyDescent="0.3">
      <c r="A82" s="6" t="s">
        <v>131</v>
      </c>
      <c r="K82" s="3">
        <v>1495</v>
      </c>
      <c r="L82" s="3">
        <v>1572</v>
      </c>
      <c r="M82" s="3">
        <v>1637</v>
      </c>
      <c r="N82" s="3">
        <v>1700</v>
      </c>
      <c r="O82" s="3">
        <v>1759</v>
      </c>
      <c r="X82" s="3">
        <f t="shared" si="192"/>
        <v>1495</v>
      </c>
      <c r="Y82" s="3">
        <f t="shared" si="193"/>
        <v>1759</v>
      </c>
    </row>
    <row r="83" spans="1:25" s="3" customFormat="1" x14ac:dyDescent="0.3">
      <c r="A83" s="6" t="s">
        <v>132</v>
      </c>
      <c r="K83" s="3">
        <v>298</v>
      </c>
      <c r="L83" s="3">
        <v>294</v>
      </c>
      <c r="M83" s="3">
        <v>289</v>
      </c>
      <c r="N83" s="3">
        <v>276</v>
      </c>
      <c r="O83" s="3">
        <v>273</v>
      </c>
      <c r="X83" s="3">
        <f t="shared" si="192"/>
        <v>298</v>
      </c>
      <c r="Y83" s="3">
        <f t="shared" si="193"/>
        <v>273</v>
      </c>
    </row>
    <row r="84" spans="1:25" s="3" customFormat="1" x14ac:dyDescent="0.3">
      <c r="A84" s="6" t="s">
        <v>133</v>
      </c>
      <c r="K84" s="3">
        <v>1077</v>
      </c>
      <c r="L84" s="3">
        <v>1255</v>
      </c>
      <c r="M84" s="3">
        <v>1304</v>
      </c>
      <c r="N84" s="3">
        <v>1295</v>
      </c>
      <c r="O84" s="3">
        <v>1351</v>
      </c>
      <c r="X84" s="3">
        <f t="shared" si="192"/>
        <v>1077</v>
      </c>
      <c r="Y84" s="3">
        <f t="shared" si="193"/>
        <v>1351</v>
      </c>
    </row>
    <row r="85" spans="1:25" s="16" customFormat="1" x14ac:dyDescent="0.3">
      <c r="A85" s="15" t="s">
        <v>137</v>
      </c>
      <c r="K85" s="16">
        <f t="shared" ref="K85:N85" si="199">SUM(K81:K84)+K80</f>
        <v>8610</v>
      </c>
      <c r="L85" s="16">
        <f t="shared" si="199"/>
        <v>8922</v>
      </c>
      <c r="M85" s="16">
        <f t="shared" si="199"/>
        <v>8904</v>
      </c>
      <c r="N85" s="16">
        <f t="shared" si="199"/>
        <v>8728</v>
      </c>
      <c r="O85" s="16">
        <f>SUM(O81:O84)+O80</f>
        <v>9266</v>
      </c>
      <c r="X85" s="16">
        <f t="shared" ref="X85:Y85" si="200">SUM(X81:X84)+X80</f>
        <v>8610</v>
      </c>
      <c r="Y85" s="16">
        <f t="shared" si="200"/>
        <v>9266</v>
      </c>
    </row>
    <row r="86" spans="1:25" s="3" customFormat="1" x14ac:dyDescent="0.3">
      <c r="A86" s="6" t="s">
        <v>134</v>
      </c>
      <c r="K86" s="3">
        <v>3699</v>
      </c>
      <c r="L86" s="3">
        <v>3693</v>
      </c>
      <c r="M86" s="3">
        <v>3682</v>
      </c>
      <c r="N86" s="3">
        <v>3586</v>
      </c>
      <c r="O86" s="3">
        <v>3564</v>
      </c>
      <c r="X86" s="3">
        <f t="shared" si="192"/>
        <v>3699</v>
      </c>
      <c r="Y86" s="3">
        <f t="shared" si="193"/>
        <v>3564</v>
      </c>
    </row>
    <row r="87" spans="1:25" s="3" customFormat="1" x14ac:dyDescent="0.3">
      <c r="A87" s="6" t="s">
        <v>100</v>
      </c>
      <c r="K87" s="3">
        <v>3</v>
      </c>
      <c r="L87" s="3">
        <v>3</v>
      </c>
      <c r="M87" s="3">
        <v>3</v>
      </c>
      <c r="N87" s="3">
        <v>3</v>
      </c>
      <c r="O87" s="3">
        <v>3</v>
      </c>
      <c r="X87" s="3">
        <f t="shared" si="192"/>
        <v>3</v>
      </c>
      <c r="Y87" s="3">
        <f t="shared" si="193"/>
        <v>3</v>
      </c>
    </row>
    <row r="88" spans="1:25" s="16" customFormat="1" x14ac:dyDescent="0.3">
      <c r="A88" s="15" t="s">
        <v>135</v>
      </c>
      <c r="K88" s="16">
        <f t="shared" ref="K88:N88" si="201">SUM(K86:K87)</f>
        <v>3702</v>
      </c>
      <c r="L88" s="16">
        <f t="shared" si="201"/>
        <v>3696</v>
      </c>
      <c r="M88" s="16">
        <f t="shared" si="201"/>
        <v>3685</v>
      </c>
      <c r="N88" s="16">
        <f t="shared" si="201"/>
        <v>3589</v>
      </c>
      <c r="O88" s="16">
        <f>SUM(O86:O87)</f>
        <v>3567</v>
      </c>
      <c r="X88" s="16">
        <f>SUM(X86:X87)</f>
        <v>3702</v>
      </c>
      <c r="Y88" s="16">
        <f>SUM(Y86:Y87)</f>
        <v>3567</v>
      </c>
    </row>
    <row r="89" spans="1:25" s="16" customFormat="1" x14ac:dyDescent="0.3">
      <c r="A89" s="15" t="s">
        <v>136</v>
      </c>
      <c r="K89" s="16">
        <f t="shared" ref="K89:N89" si="202">K88+K85</f>
        <v>12312</v>
      </c>
      <c r="L89" s="16">
        <f t="shared" si="202"/>
        <v>12618</v>
      </c>
      <c r="M89" s="16">
        <f t="shared" si="202"/>
        <v>12589</v>
      </c>
      <c r="N89" s="16">
        <f t="shared" si="202"/>
        <v>12317</v>
      </c>
      <c r="O89" s="16">
        <f>O88+O85</f>
        <v>12833</v>
      </c>
      <c r="X89" s="16">
        <f>X88+X85</f>
        <v>12312</v>
      </c>
      <c r="Y89" s="16">
        <f>Y88+Y85</f>
        <v>12833</v>
      </c>
    </row>
    <row r="91" spans="1:25" x14ac:dyDescent="0.3">
      <c r="A91" s="7" t="s">
        <v>150</v>
      </c>
      <c r="E91" s="21">
        <f t="shared" ref="E91:O91" si="203">E18*(1-E43)</f>
        <v>105</v>
      </c>
      <c r="F91" s="21">
        <f t="shared" si="203"/>
        <v>3.2558139534883725</v>
      </c>
      <c r="G91" s="21">
        <f t="shared" si="203"/>
        <v>-56.617647058823536</v>
      </c>
      <c r="H91" s="21">
        <f t="shared" si="203"/>
        <v>22.619718309859152</v>
      </c>
      <c r="I91" s="21">
        <f t="shared" si="203"/>
        <v>112.24358974358974</v>
      </c>
      <c r="J91" s="21">
        <f t="shared" si="203"/>
        <v>64.444444444444443</v>
      </c>
      <c r="K91" s="21">
        <f t="shared" si="203"/>
        <v>61</v>
      </c>
      <c r="L91" s="21">
        <f t="shared" si="203"/>
        <v>41.980952380952381</v>
      </c>
      <c r="M91" s="21">
        <f t="shared" si="203"/>
        <v>76.589473684210532</v>
      </c>
      <c r="N91" s="21">
        <f t="shared" si="203"/>
        <v>72.712871287128706</v>
      </c>
      <c r="O91" s="20">
        <f t="shared" si="203"/>
        <v>-12.444444444444443</v>
      </c>
    </row>
    <row r="92" spans="1:25" x14ac:dyDescent="0.3">
      <c r="A92" s="7" t="s">
        <v>151</v>
      </c>
      <c r="C92" s="3">
        <f t="shared" ref="C92:N92" si="204">C55+C88-C54</f>
        <v>0</v>
      </c>
      <c r="D92" s="3">
        <f t="shared" si="204"/>
        <v>0</v>
      </c>
      <c r="E92" s="3">
        <f t="shared" si="204"/>
        <v>0</v>
      </c>
      <c r="F92" s="3">
        <f t="shared" si="204"/>
        <v>0</v>
      </c>
      <c r="G92" s="3">
        <f t="shared" si="204"/>
        <v>0</v>
      </c>
      <c r="H92" s="3">
        <f t="shared" si="204"/>
        <v>0</v>
      </c>
      <c r="I92" s="3">
        <f t="shared" si="204"/>
        <v>0</v>
      </c>
      <c r="J92" s="3">
        <f t="shared" si="204"/>
        <v>0</v>
      </c>
      <c r="K92" s="3">
        <f t="shared" si="204"/>
        <v>7420</v>
      </c>
      <c r="L92" s="3">
        <f t="shared" si="204"/>
        <v>7593</v>
      </c>
      <c r="M92" s="3">
        <f t="shared" si="204"/>
        <v>7759</v>
      </c>
      <c r="N92" s="3">
        <f t="shared" si="204"/>
        <v>7880</v>
      </c>
      <c r="O92" s="3">
        <f>O55+O88-O54</f>
        <v>7725</v>
      </c>
    </row>
    <row r="93" spans="1:25" x14ac:dyDescent="0.3">
      <c r="A93" s="7" t="s">
        <v>152</v>
      </c>
      <c r="K93" s="3">
        <f t="shared" ref="K93:N93" si="205">K72-K80</f>
        <v>9025</v>
      </c>
      <c r="L93" s="3">
        <f t="shared" si="205"/>
        <v>9271</v>
      </c>
      <c r="M93" s="3">
        <f t="shared" si="205"/>
        <v>9968</v>
      </c>
      <c r="N93" s="3">
        <f t="shared" si="205"/>
        <v>9909</v>
      </c>
      <c r="O93" s="3">
        <f>O72-O80</f>
        <v>9255</v>
      </c>
    </row>
  </sheetData>
  <phoneticPr fontId="2" type="noConversion"/>
  <hyperlinks>
    <hyperlink ref="A1" location="Main!A1" display="Main" xr:uid="{F11DAF57-F530-4668-9C6A-3624BEB892EC}"/>
  </hyperlink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Herbert Guðmundsson</dc:creator>
  <cp:lastModifiedBy>Kaupandi ehf</cp:lastModifiedBy>
  <dcterms:created xsi:type="dcterms:W3CDTF">2024-04-17T23:07:06Z</dcterms:created>
  <dcterms:modified xsi:type="dcterms:W3CDTF">2024-06-04T01:58:44Z</dcterms:modified>
</cp:coreProperties>
</file>