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236" documentId="8_{A704BF91-238E-4C3C-B20E-E6C4846890C0}" xr6:coauthVersionLast="47" xr6:coauthVersionMax="47" xr10:uidLastSave="{6F1C93ED-0294-4DDB-A674-590CE06263DC}"/>
  <bookViews>
    <workbookView xWindow="-108" yWindow="-108" windowWidth="30936" windowHeight="17496" activeTab="1" xr2:uid="{9A539BF6-20E4-45B6-B259-BDC71F8BB2FC}"/>
  </bookViews>
  <sheets>
    <sheet name="HLF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7" i="2" l="1"/>
  <c r="AK17" i="2" s="1"/>
  <c r="AL17" i="2" s="1"/>
  <c r="AM17" i="2" s="1"/>
  <c r="AN17" i="2" s="1"/>
  <c r="AO17" i="2" s="1"/>
  <c r="AP17" i="2" s="1"/>
  <c r="AQ17" i="2" s="1"/>
  <c r="AR17" i="2" s="1"/>
  <c r="AS17" i="2" s="1"/>
  <c r="AI17" i="2"/>
  <c r="AI4" i="2"/>
  <c r="AJ4" i="2" s="1"/>
  <c r="AK4" i="2" s="1"/>
  <c r="AK10" i="2" s="1"/>
  <c r="AF9" i="2"/>
  <c r="AG9" i="2"/>
  <c r="AH9" i="2"/>
  <c r="AI7" i="2"/>
  <c r="AJ7" i="2" s="1"/>
  <c r="AG24" i="2"/>
  <c r="AF24" i="2"/>
  <c r="AH24" i="2"/>
  <c r="AG25" i="2"/>
  <c r="AF25" i="2"/>
  <c r="AH25" i="2"/>
  <c r="AI9" i="2" l="1"/>
  <c r="AI10" i="2"/>
  <c r="AI13" i="2" s="1"/>
  <c r="AJ10" i="2"/>
  <c r="AJ9" i="2"/>
  <c r="AK7" i="2"/>
  <c r="AL4" i="2"/>
  <c r="AI6" i="2"/>
  <c r="AJ6" i="2"/>
  <c r="AM4" i="2" l="1"/>
  <c r="AM10" i="2" s="1"/>
  <c r="AL10" i="2"/>
  <c r="AL7" i="2"/>
  <c r="AK9" i="2"/>
  <c r="AI14" i="2"/>
  <c r="AI15" i="2" s="1"/>
  <c r="AI16" i="2" s="1"/>
  <c r="AI5" i="2"/>
  <c r="AJ5" i="2"/>
  <c r="AK6" i="2"/>
  <c r="AL9" i="2" l="1"/>
  <c r="AM7" i="2"/>
  <c r="AK5" i="2"/>
  <c r="AN4" i="2"/>
  <c r="AL6" i="2"/>
  <c r="AN6" i="2" l="1"/>
  <c r="AN10" i="2"/>
  <c r="AN7" i="2"/>
  <c r="AM9" i="2"/>
  <c r="AL5" i="2"/>
  <c r="AM6" i="2"/>
  <c r="AO7" i="2" l="1"/>
  <c r="AN9" i="2"/>
  <c r="AM5" i="2"/>
  <c r="AN5" i="2"/>
  <c r="AO4" i="2"/>
  <c r="AO6" i="2" l="1"/>
  <c r="AO10" i="2"/>
  <c r="AO9" i="2"/>
  <c r="AP7" i="2"/>
  <c r="AO5" i="2"/>
  <c r="AP4" i="2"/>
  <c r="AP9" i="2" l="1"/>
  <c r="AQ7" i="2"/>
  <c r="AP6" i="2"/>
  <c r="AP5" i="2" s="1"/>
  <c r="AP10" i="2"/>
  <c r="AQ4" i="2"/>
  <c r="AR7" i="2" l="1"/>
  <c r="AQ9" i="2"/>
  <c r="AQ6" i="2"/>
  <c r="AQ5" i="2" s="1"/>
  <c r="AQ10" i="2"/>
  <c r="AR4" i="2"/>
  <c r="AR10" i="2" s="1"/>
  <c r="AR9" i="2" l="1"/>
  <c r="AS7" i="2"/>
  <c r="AS9" i="2" s="1"/>
  <c r="AR6" i="2"/>
  <c r="AS4" i="2"/>
  <c r="AS10" i="2" s="1"/>
  <c r="AR5" i="2" l="1"/>
  <c r="AS6" i="2"/>
  <c r="AS5" i="2" l="1"/>
  <c r="AF71" i="2" l="1"/>
  <c r="AH71" i="2"/>
  <c r="AG71" i="2"/>
  <c r="AH68" i="2"/>
  <c r="AG68" i="2"/>
  <c r="AF68" i="2"/>
  <c r="AH58" i="2"/>
  <c r="AH55" i="2" s="1"/>
  <c r="AG58" i="2"/>
  <c r="AG55" i="2" s="1"/>
  <c r="AF58" i="2"/>
  <c r="AF60" i="2" s="1"/>
  <c r="AF53" i="2"/>
  <c r="AG53" i="2"/>
  <c r="AH53" i="2"/>
  <c r="AH29" i="2"/>
  <c r="AI29" i="2" s="1"/>
  <c r="AG6" i="2"/>
  <c r="AG23" i="2" s="1"/>
  <c r="AF6" i="2"/>
  <c r="AF23" i="2" s="1"/>
  <c r="AH6" i="2"/>
  <c r="AH23" i="2" s="1"/>
  <c r="AH60" i="2" l="1"/>
  <c r="AH69" i="2" s="1"/>
  <c r="AF55" i="2"/>
  <c r="AJ12" i="2"/>
  <c r="AJ13" i="2" s="1"/>
  <c r="AJ14" i="2" s="1"/>
  <c r="AJ15" i="2" s="1"/>
  <c r="AJ29" i="2"/>
  <c r="AG60" i="2"/>
  <c r="AG69" i="2" s="1"/>
  <c r="AF69" i="2"/>
  <c r="AL12" i="2" l="1"/>
  <c r="AL13" i="2" s="1"/>
  <c r="AK12" i="2"/>
  <c r="AK13" i="2" s="1"/>
  <c r="AJ16" i="2"/>
  <c r="AK14" i="2" l="1"/>
  <c r="AK15" i="2" s="1"/>
  <c r="AL14" i="2"/>
  <c r="AL15" i="2"/>
  <c r="AL16" i="2" s="1"/>
  <c r="AK16" i="2" l="1"/>
  <c r="AK29" i="2"/>
  <c r="AM12" i="2" l="1"/>
  <c r="AM13" i="2" s="1"/>
  <c r="AL29" i="2"/>
  <c r="AN12" i="2" s="1"/>
  <c r="AN13" i="2" s="1"/>
  <c r="AN14" i="2" l="1"/>
  <c r="AN15" i="2" s="1"/>
  <c r="AN16" i="2" s="1"/>
  <c r="AM14" i="2"/>
  <c r="AM15" i="2" s="1"/>
  <c r="AM29" i="2" l="1"/>
  <c r="AM16" i="2"/>
  <c r="AG19" i="2"/>
  <c r="AH19" i="2"/>
  <c r="AH16" i="2"/>
  <c r="AG16" i="2"/>
  <c r="AF16" i="2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L6" i="1"/>
  <c r="L5" i="1"/>
  <c r="L8" i="1" s="1"/>
  <c r="L4" i="1"/>
  <c r="L7" i="1" s="1"/>
  <c r="AO12" i="2" l="1"/>
  <c r="AO13" i="2" s="1"/>
  <c r="AO14" i="2" s="1"/>
  <c r="AO15" i="2" s="1"/>
  <c r="AN29" i="2"/>
  <c r="AP12" i="2" l="1"/>
  <c r="AP13" i="2" s="1"/>
  <c r="AO29" i="2"/>
  <c r="AO16" i="2"/>
  <c r="AQ12" i="2" l="1"/>
  <c r="AQ13" i="2" s="1"/>
  <c r="AP14" i="2"/>
  <c r="AP15" i="2" s="1"/>
  <c r="AP16" i="2" l="1"/>
  <c r="AP29" i="2"/>
  <c r="AQ14" i="2"/>
  <c r="AQ15" i="2" s="1"/>
  <c r="AQ16" i="2" s="1"/>
  <c r="AR12" i="2" l="1"/>
  <c r="AR13" i="2" s="1"/>
  <c r="AQ29" i="2"/>
  <c r="AS12" i="2" l="1"/>
  <c r="AS13" i="2" s="1"/>
  <c r="AR14" i="2"/>
  <c r="AR15" i="2" s="1"/>
  <c r="AR16" i="2" s="1"/>
  <c r="AR29" i="2" l="1"/>
  <c r="AS14" i="2"/>
  <c r="AS15" i="2"/>
  <c r="AS16" i="2" l="1"/>
  <c r="AT15" i="2"/>
  <c r="AS29" i="2"/>
  <c r="AU15" i="2" l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FL15" i="2" s="1"/>
  <c r="FM15" i="2" s="1"/>
  <c r="FN15" i="2" s="1"/>
  <c r="FO15" i="2" s="1"/>
  <c r="FP15" i="2" s="1"/>
  <c r="FQ15" i="2" s="1"/>
  <c r="FR15" i="2" s="1"/>
  <c r="FS15" i="2" s="1"/>
  <c r="FT15" i="2" s="1"/>
  <c r="FU15" i="2" s="1"/>
  <c r="FV15" i="2" s="1"/>
  <c r="FW15" i="2" s="1"/>
  <c r="FX15" i="2" s="1"/>
  <c r="FY15" i="2" s="1"/>
  <c r="FZ15" i="2" s="1"/>
  <c r="GA15" i="2" s="1"/>
  <c r="GB15" i="2" s="1"/>
  <c r="GC15" i="2" s="1"/>
  <c r="GD15" i="2" s="1"/>
  <c r="GE15" i="2" s="1"/>
  <c r="GF15" i="2" s="1"/>
  <c r="GG15" i="2" s="1"/>
  <c r="GH15" i="2" s="1"/>
  <c r="GI15" i="2" s="1"/>
  <c r="GJ15" i="2" s="1"/>
  <c r="GK15" i="2" s="1"/>
  <c r="GL15" i="2" s="1"/>
  <c r="GM15" i="2" s="1"/>
  <c r="GN15" i="2" s="1"/>
  <c r="GO15" i="2" s="1"/>
  <c r="GP15" i="2" s="1"/>
  <c r="GQ15" i="2" s="1"/>
  <c r="GR15" i="2" s="1"/>
  <c r="GS15" i="2" s="1"/>
  <c r="GT15" i="2" s="1"/>
  <c r="GU15" i="2" s="1"/>
  <c r="GV15" i="2" s="1"/>
  <c r="GW15" i="2" s="1"/>
  <c r="GX15" i="2" s="1"/>
  <c r="GY15" i="2" s="1"/>
  <c r="GZ15" i="2" s="1"/>
  <c r="HA15" i="2" s="1"/>
  <c r="HB15" i="2" s="1"/>
  <c r="HC15" i="2" s="1"/>
  <c r="HD15" i="2" s="1"/>
  <c r="HE15" i="2" s="1"/>
  <c r="HF15" i="2" s="1"/>
  <c r="HG15" i="2" s="1"/>
  <c r="HH15" i="2" s="1"/>
  <c r="HI15" i="2" s="1"/>
  <c r="HJ15" i="2" s="1"/>
  <c r="HK15" i="2" s="1"/>
  <c r="HL15" i="2" s="1"/>
  <c r="HM15" i="2" s="1"/>
  <c r="HN15" i="2" s="1"/>
  <c r="HO15" i="2" s="1"/>
  <c r="HP15" i="2" s="1"/>
  <c r="HQ15" i="2" s="1"/>
  <c r="HR15" i="2" s="1"/>
  <c r="HS15" i="2" s="1"/>
  <c r="HT15" i="2" s="1"/>
  <c r="HU15" i="2" s="1"/>
  <c r="HV15" i="2" s="1"/>
  <c r="HW15" i="2" s="1"/>
  <c r="HX15" i="2" s="1"/>
  <c r="HY15" i="2" s="1"/>
  <c r="HZ15" i="2" s="1"/>
  <c r="IA15" i="2" s="1"/>
  <c r="IB15" i="2" s="1"/>
  <c r="IC15" i="2" s="1"/>
  <c r="ID15" i="2" s="1"/>
  <c r="IE15" i="2" s="1"/>
  <c r="IF15" i="2" s="1"/>
  <c r="IG15" i="2" s="1"/>
  <c r="IH15" i="2" s="1"/>
  <c r="II15" i="2" s="1"/>
  <c r="IJ15" i="2" s="1"/>
  <c r="IK15" i="2" s="1"/>
  <c r="IL15" i="2" s="1"/>
  <c r="IM15" i="2" s="1"/>
  <c r="IN15" i="2" s="1"/>
  <c r="IO15" i="2" s="1"/>
  <c r="IP15" i="2" s="1"/>
  <c r="IQ15" i="2" s="1"/>
  <c r="IR15" i="2" s="1"/>
  <c r="IS15" i="2" s="1"/>
  <c r="IT15" i="2" s="1"/>
  <c r="IU15" i="2" s="1"/>
  <c r="IV15" i="2" s="1"/>
  <c r="IW15" i="2" s="1"/>
  <c r="IX15" i="2" s="1"/>
  <c r="IY15" i="2" s="1"/>
  <c r="IZ15" i="2" s="1"/>
  <c r="JA15" i="2" s="1"/>
  <c r="JB15" i="2" s="1"/>
  <c r="JI15" i="2" s="1"/>
  <c r="AV29" i="2" l="1"/>
  <c r="AV33" i="2" s="1"/>
  <c r="AV34" i="2" s="1"/>
  <c r="AU17" i="2" l="1"/>
  <c r="AU19" i="2"/>
</calcChain>
</file>

<file path=xl/sharedStrings.xml><?xml version="1.0" encoding="utf-8"?>
<sst xmlns="http://schemas.openxmlformats.org/spreadsheetml/2006/main" count="91" uniqueCount="85">
  <si>
    <t>Herbalife</t>
  </si>
  <si>
    <t>Price</t>
  </si>
  <si>
    <t>Sharesz</t>
  </si>
  <si>
    <t>MC</t>
  </si>
  <si>
    <t>Cash</t>
  </si>
  <si>
    <t>Debt</t>
  </si>
  <si>
    <t xml:space="preserve">CEO: </t>
  </si>
  <si>
    <t>Michael O. Johnson</t>
  </si>
  <si>
    <t xml:space="preserve">Weight management </t>
  </si>
  <si>
    <t>Targeted Nutrition</t>
  </si>
  <si>
    <t>Energy, sports and fitness</t>
  </si>
  <si>
    <t>Outer Nutrition</t>
  </si>
  <si>
    <t>Literature, Promotional &amp; other</t>
  </si>
  <si>
    <t>Sales leader retention rate</t>
  </si>
  <si>
    <t>North America</t>
  </si>
  <si>
    <t>Latin America</t>
  </si>
  <si>
    <t>EMEA</t>
  </si>
  <si>
    <t>Asia Pacific</t>
  </si>
  <si>
    <t>Total sales leaders</t>
  </si>
  <si>
    <t>Percentage of net sales</t>
  </si>
  <si>
    <t>EV</t>
  </si>
  <si>
    <t>Revenue</t>
  </si>
  <si>
    <t>COGS</t>
  </si>
  <si>
    <t>Gross Margin</t>
  </si>
  <si>
    <t>MG&amp;A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</si>
  <si>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</si>
  <si>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</si>
  <si>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</si>
  <si>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</si>
  <si>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</si>
  <si>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</si>
  <si>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</si>
  <si>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Shares</t>
  </si>
  <si>
    <t>Revenue y/y</t>
  </si>
  <si>
    <t>GDP y/y</t>
  </si>
  <si>
    <t>Net cash</t>
  </si>
  <si>
    <t>Royalty overrides</t>
  </si>
  <si>
    <t>Interest income</t>
  </si>
  <si>
    <t>Revenue q/q</t>
  </si>
  <si>
    <t>AR</t>
  </si>
  <si>
    <t>Inventories</t>
  </si>
  <si>
    <t>Prepaids</t>
  </si>
  <si>
    <t>PP&amp;E</t>
  </si>
  <si>
    <t>Lease</t>
  </si>
  <si>
    <t>Goodwill</t>
  </si>
  <si>
    <t>OA</t>
  </si>
  <si>
    <t>ASSets</t>
  </si>
  <si>
    <t>AP</t>
  </si>
  <si>
    <t>AL</t>
  </si>
  <si>
    <t>Leases</t>
  </si>
  <si>
    <t>OLTL</t>
  </si>
  <si>
    <t>SE</t>
  </si>
  <si>
    <t>L+SE</t>
  </si>
  <si>
    <t>Net Income</t>
  </si>
  <si>
    <t>SBC</t>
  </si>
  <si>
    <t>Investments</t>
  </si>
  <si>
    <t>DT</t>
  </si>
  <si>
    <t>Other</t>
  </si>
  <si>
    <t>WC</t>
  </si>
  <si>
    <t>CFFO</t>
  </si>
  <si>
    <t>Securities</t>
  </si>
  <si>
    <t>CapEx</t>
  </si>
  <si>
    <t>Acquisitions</t>
  </si>
  <si>
    <t>CFFI</t>
  </si>
  <si>
    <t>ESOP</t>
  </si>
  <si>
    <t>RSUs</t>
  </si>
  <si>
    <t>Dividends</t>
  </si>
  <si>
    <t>Buyback</t>
  </si>
  <si>
    <t>PP&amp;E payments</t>
  </si>
  <si>
    <t>CFFF</t>
  </si>
  <si>
    <t>CIC</t>
  </si>
  <si>
    <t>DSO</t>
  </si>
  <si>
    <t>FCF</t>
  </si>
  <si>
    <t>Operating Margin</t>
  </si>
  <si>
    <t>Tax Rate</t>
  </si>
  <si>
    <t>NPV</t>
  </si>
  <si>
    <t>Discount</t>
  </si>
  <si>
    <t>Terminal</t>
  </si>
  <si>
    <t>ROIC</t>
  </si>
  <si>
    <t>Share</t>
  </si>
  <si>
    <t>Upside</t>
  </si>
  <si>
    <t>Billion</t>
  </si>
  <si>
    <t>Million</t>
  </si>
  <si>
    <t>Thousand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</si>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</sst>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kr&quot;;[Red]\-#,##0.00\ &quot;kr&quot;"/>
    <numFmt numFmtId="164" formatCode="0.0%"/>
    <numFmt numFmtId="165" formatCode="#,##0;[Red]#,##0"/>
    <numFmt numFmtId="166" formatCode="#,##0.0;[Red]#,##0.0"/>
    <numFmt numFmtId="167" formatCode="#,##0.00;[Red]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left" indent="2"/>
    </xf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14654</xdr:colOff>
      <xdr:row>2</xdr:row>
      <xdr:rowOff>0</xdr:rowOff>
    </xdr:from>
    <xdr:to>
      <xdr:col>34</xdr:col>
      <xdr:colOff>14654</xdr:colOff>
      <xdr:row>50</xdr:row>
      <xdr:rowOff>161</xdr:rowOff>
    </xdr:to>
    <xdr:cxnSp macro="">
      <xdr:nvCxnSpPr>
        <xdr:cNvPr id="2" name="Straight Connector 3">
          <a:extLst>
            <a:ext uri="{FF2B5EF4-FFF2-40B4-BE49-F238E27FC236}">
              <a16:creationId xmlns:a16="http://schemas.microsoft.com/office/drawing/2014/main" id="{A80AD03A-8338-4E94-83B1-A0407E76C4AD}"/>
            </a:ext>
          </a:extLst>
        </xdr:cNvPr>
        <xdr:cNvCxnSpPr/>
      </xdr:nvCxnSpPr>
      <xdr:spPr>
        <a:xfrm>
          <a:off x="20955000" y="2132135"/>
          <a:ext cx="0" cy="92980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F05B-205C-45CE-9FCD-5AC458E2881E}">
  <sheetPr codeName="Sheet1"/>
  <dimension ref="B1:P16"/>
  <sheetViews>
    <sheetView topLeftCell="H1" zoomScale="145" zoomScaleNormal="145" workbookViewId="0">
      <selection activeCell="L3" sqref="L3"/>
    </sheetView>
  </sheetViews>
  <sheetFormatPr defaultRowHeight="14.4" x14ac:dyDescent="0.3"/>
  <cols>
    <col min="1" max="1" width="6.6640625" customWidth="1"/>
    <col min="2" max="2" width="16.109375" customWidth="1"/>
    <col min="3" max="3" width="8.44140625" customWidth="1"/>
    <col min="4" max="4" width="10.5546875" bestFit="1" customWidth="1"/>
    <col min="12" max="12" width="10.88671875" customWidth="1"/>
  </cols>
  <sheetData>
    <row r="1" spans="2:16" x14ac:dyDescent="0.3">
      <c r="K1" t="s">
        <v>0</v>
      </c>
    </row>
    <row r="2" spans="2:16" x14ac:dyDescent="0.3">
      <c r="K2" t="s">
        <v>1</v>
      </c>
      <c r="L2">
        <v>7.46</v>
      </c>
    </row>
    <row r="3" spans="2:16" x14ac:dyDescent="0.3">
      <c r="B3" s="7" t="s">
        <v>19</v>
      </c>
      <c r="D3">
        <v>2023</v>
      </c>
      <c r="E3">
        <v>2022</v>
      </c>
      <c r="F3">
        <v>2021</v>
      </c>
      <c r="K3" t="s">
        <v>2</v>
      </c>
      <c r="L3" s="13">
        <v>992.6</v>
      </c>
      <c r="N3">
        <v>99.26</v>
      </c>
    </row>
    <row r="4" spans="2:16" x14ac:dyDescent="0.3">
      <c r="B4" t="s">
        <v>8</v>
      </c>
      <c r="D4" s="3">
        <v>0.56299999999999994</v>
      </c>
      <c r="E4" s="3">
        <v>0.56799999999999995</v>
      </c>
      <c r="F4" s="3">
        <v>0.58099999999999996</v>
      </c>
      <c r="K4" t="s">
        <v>3</v>
      </c>
      <c r="L4" s="6">
        <f>L2*L3</f>
        <v>7404.7960000000003</v>
      </c>
    </row>
    <row r="5" spans="2:16" x14ac:dyDescent="0.3">
      <c r="B5" t="s">
        <v>9</v>
      </c>
      <c r="D5" s="3">
        <v>0.29199999999999998</v>
      </c>
      <c r="E5" s="3">
        <v>0.29099999999999998</v>
      </c>
      <c r="F5" s="3">
        <v>0.28199999999999997</v>
      </c>
      <c r="K5" t="s">
        <v>4</v>
      </c>
      <c r="L5" s="11">
        <f>575.2+81.2</f>
        <v>656.40000000000009</v>
      </c>
    </row>
    <row r="6" spans="2:16" x14ac:dyDescent="0.3">
      <c r="B6" t="s">
        <v>10</v>
      </c>
      <c r="D6" s="4">
        <v>0.111</v>
      </c>
      <c r="E6" s="4">
        <v>0.106</v>
      </c>
      <c r="F6" s="4">
        <v>9.5000000000000001E-2</v>
      </c>
      <c r="K6" t="s">
        <v>5</v>
      </c>
      <c r="L6" s="8">
        <f>309.5+2252.9+167.6</f>
        <v>2730</v>
      </c>
      <c r="O6" s="13">
        <v>99260</v>
      </c>
    </row>
    <row r="7" spans="2:16" x14ac:dyDescent="0.3">
      <c r="B7" t="s">
        <v>11</v>
      </c>
      <c r="D7" s="4">
        <v>1.7000000000000001E-2</v>
      </c>
      <c r="E7" s="3">
        <v>1.6E-2</v>
      </c>
      <c r="F7" s="4">
        <v>1.9E-2</v>
      </c>
      <c r="K7" t="s">
        <v>20</v>
      </c>
      <c r="L7" s="9">
        <f>L4-L5+L6</f>
        <v>9478.3960000000006</v>
      </c>
      <c r="O7" s="9">
        <v>9926</v>
      </c>
      <c r="P7" t="s">
        <v>81</v>
      </c>
    </row>
    <row r="8" spans="2:16" x14ac:dyDescent="0.3">
      <c r="B8" t="s">
        <v>12</v>
      </c>
      <c r="D8" s="4">
        <v>1.7000000000000001E-2</v>
      </c>
      <c r="E8" s="4">
        <v>1.9E-2</v>
      </c>
      <c r="F8" s="4">
        <v>2.3E-2</v>
      </c>
      <c r="K8" t="s">
        <v>35</v>
      </c>
      <c r="L8" s="11">
        <f>L5-L6</f>
        <v>-2073.6</v>
      </c>
      <c r="O8" s="9">
        <v>992.6</v>
      </c>
      <c r="P8" t="s">
        <v>82</v>
      </c>
    </row>
    <row r="9" spans="2:16" x14ac:dyDescent="0.3">
      <c r="D9" s="4"/>
      <c r="E9" s="4"/>
      <c r="F9" s="4"/>
      <c r="O9" s="9">
        <v>99.26</v>
      </c>
      <c r="P9" t="s">
        <v>83</v>
      </c>
    </row>
    <row r="11" spans="2:16" x14ac:dyDescent="0.3">
      <c r="B11" s="7" t="s">
        <v>13</v>
      </c>
      <c r="D11" s="6">
        <v>2024</v>
      </c>
      <c r="E11" s="6">
        <v>2023</v>
      </c>
      <c r="F11" s="6">
        <v>2022</v>
      </c>
      <c r="K11" t="s">
        <v>6</v>
      </c>
      <c r="L11" t="s">
        <v>7</v>
      </c>
    </row>
    <row r="12" spans="2:16" x14ac:dyDescent="0.3">
      <c r="B12" t="s">
        <v>14</v>
      </c>
      <c r="D12" s="3">
        <v>0.70299999999999996</v>
      </c>
      <c r="E12" s="3">
        <v>0.69699999999999995</v>
      </c>
      <c r="F12" s="3">
        <v>0.58799999999999997</v>
      </c>
    </row>
    <row r="13" spans="2:16" x14ac:dyDescent="0.3">
      <c r="B13" t="s">
        <v>15</v>
      </c>
      <c r="D13" s="3">
        <v>0.70399999999999996</v>
      </c>
      <c r="E13" s="3">
        <v>0.71599999999999997</v>
      </c>
      <c r="F13" s="3">
        <v>0.69299999999999995</v>
      </c>
    </row>
    <row r="14" spans="2:16" x14ac:dyDescent="0.3">
      <c r="B14" t="s">
        <v>16</v>
      </c>
      <c r="D14" s="3">
        <v>0.66900000000000004</v>
      </c>
      <c r="E14" s="3">
        <v>0.64600000000000002</v>
      </c>
      <c r="F14" s="3">
        <v>0.77100000000000002</v>
      </c>
    </row>
    <row r="15" spans="2:16" x14ac:dyDescent="0.3">
      <c r="B15" t="s">
        <v>17</v>
      </c>
      <c r="D15" s="3">
        <v>0.67400000000000004</v>
      </c>
      <c r="E15" s="3">
        <v>0.66600000000000004</v>
      </c>
      <c r="F15" s="3">
        <v>0.66500000000000004</v>
      </c>
    </row>
    <row r="16" spans="2:16" x14ac:dyDescent="0.3">
      <c r="B16" t="s">
        <v>18</v>
      </c>
      <c r="D16" s="3">
        <v>0.68300000000000005</v>
      </c>
      <c r="E16" s="3">
        <v>0.67600000000000005</v>
      </c>
      <c r="F16" s="3">
        <v>0.69899999999999995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E96E-2139-4B8C-9862-89C4AA4F303F}">
  <sheetPr codeName="Sheet2"/>
  <dimension ref="B1:JI98"/>
  <sheetViews>
    <sheetView tabSelected="1" zoomScale="160" zoomScaleNormal="160" workbookViewId="0">
      <pane xSplit="2" ySplit="2" topLeftCell="Z15" activePane="bottomRight" state="frozen"/>
      <selection pane="topRight" activeCell="C1" sqref="C1"/>
      <selection pane="bottomLeft" activeCell="A3" sqref="A3"/>
      <selection pane="bottomRight" activeCell="AV33" sqref="AV33"/>
    </sheetView>
  </sheetViews>
  <sheetFormatPr defaultRowHeight="14.4" x14ac:dyDescent="0.3"/>
  <cols>
    <col min="1" max="1" width="5" customWidth="1"/>
    <col min="2" max="2" width="17.109375" customWidth="1"/>
    <col min="48" max="48" width="14.44140625" customWidth="1"/>
  </cols>
  <sheetData>
    <row r="1" spans="2:269" ht="15" customHeight="1" x14ac:dyDescent="0.3"/>
    <row r="2" spans="2:269" ht="15" customHeight="1" x14ac:dyDescent="0.3">
      <c r="T2">
        <v>2009</v>
      </c>
      <c r="U2">
        <v>2010</v>
      </c>
      <c r="V2">
        <v>2011</v>
      </c>
      <c r="W2">
        <f>V2+1</f>
        <v>2012</v>
      </c>
      <c r="X2">
        <f t="shared" ref="X2:AS2" si="0">W2+1</f>
        <v>2013</v>
      </c>
      <c r="Y2">
        <f t="shared" si="0"/>
        <v>2014</v>
      </c>
      <c r="Z2">
        <f t="shared" si="0"/>
        <v>2015</v>
      </c>
      <c r="AA2">
        <f t="shared" si="0"/>
        <v>2016</v>
      </c>
      <c r="AB2">
        <f t="shared" si="0"/>
        <v>2017</v>
      </c>
      <c r="AC2">
        <f t="shared" si="0"/>
        <v>2018</v>
      </c>
      <c r="AD2">
        <f t="shared" si="0"/>
        <v>2019</v>
      </c>
      <c r="AE2">
        <f t="shared" si="0"/>
        <v>2020</v>
      </c>
      <c r="AF2">
        <f t="shared" si="0"/>
        <v>2021</v>
      </c>
      <c r="AG2">
        <f t="shared" si="0"/>
        <v>2022</v>
      </c>
      <c r="AH2">
        <f t="shared" si="0"/>
        <v>2023</v>
      </c>
      <c r="AI2">
        <f t="shared" si="0"/>
        <v>2024</v>
      </c>
      <c r="AJ2">
        <f t="shared" si="0"/>
        <v>2025</v>
      </c>
      <c r="AK2">
        <f t="shared" si="0"/>
        <v>2026</v>
      </c>
      <c r="AL2">
        <f t="shared" si="0"/>
        <v>2027</v>
      </c>
      <c r="AM2">
        <f t="shared" si="0"/>
        <v>2028</v>
      </c>
      <c r="AN2">
        <f t="shared" si="0"/>
        <v>2029</v>
      </c>
      <c r="AO2">
        <f t="shared" si="0"/>
        <v>2030</v>
      </c>
      <c r="AP2">
        <f t="shared" si="0"/>
        <v>2031</v>
      </c>
      <c r="AQ2">
        <f t="shared" si="0"/>
        <v>2032</v>
      </c>
      <c r="AR2">
        <f t="shared" si="0"/>
        <v>2033</v>
      </c>
      <c r="AS2">
        <f t="shared" si="0"/>
        <v>2034</v>
      </c>
    </row>
    <row r="4" spans="2:269" x14ac:dyDescent="0.3">
      <c r="B4" t="s">
        <v>21</v>
      </c>
      <c r="AF4" s="10">
        <v>5802.8</v>
      </c>
      <c r="AG4" s="10">
        <v>5204.3999999999996</v>
      </c>
      <c r="AH4" s="10">
        <v>5802.8</v>
      </c>
      <c r="AI4" s="10">
        <f>AH4*0.95</f>
        <v>5512.66</v>
      </c>
      <c r="AJ4" s="10">
        <f>AI4*0.95</f>
        <v>5237.027</v>
      </c>
      <c r="AK4" s="10">
        <f>AJ4*1.1</f>
        <v>5760.7297000000008</v>
      </c>
      <c r="AL4" s="10">
        <f>AK4*1.05</f>
        <v>6048.7661850000013</v>
      </c>
      <c r="AM4" s="10">
        <f>AL4*1.05</f>
        <v>6351.2044942500015</v>
      </c>
      <c r="AN4" s="10">
        <f t="shared" ref="AN4:AS4" si="1">AM4*1.03</f>
        <v>6541.7406290775016</v>
      </c>
      <c r="AO4" s="10">
        <f t="shared" si="1"/>
        <v>6737.9928479498267</v>
      </c>
      <c r="AP4" s="10">
        <f t="shared" si="1"/>
        <v>6940.1326333883217</v>
      </c>
      <c r="AQ4" s="10">
        <f t="shared" si="1"/>
        <v>7148.3366123899714</v>
      </c>
      <c r="AR4" s="10">
        <f t="shared" si="1"/>
        <v>7362.7867107616703</v>
      </c>
      <c r="AS4" s="10">
        <f t="shared" si="1"/>
        <v>7583.6703120845204</v>
      </c>
    </row>
    <row r="5" spans="2:269" x14ac:dyDescent="0.3">
      <c r="B5" t="s">
        <v>22</v>
      </c>
      <c r="AF5" s="10">
        <v>1239.3</v>
      </c>
      <c r="AG5" s="10">
        <v>1173.5999999999999</v>
      </c>
      <c r="AH5" s="10">
        <v>1191</v>
      </c>
      <c r="AI5" s="10">
        <f>AI4-AI6</f>
        <v>937.15220000000045</v>
      </c>
      <c r="AJ5" s="10">
        <f t="shared" ref="AJ5:AS5" si="2">AJ4-AJ6</f>
        <v>890.29459000000043</v>
      </c>
      <c r="AK5" s="10">
        <f t="shared" si="2"/>
        <v>979.32404900000074</v>
      </c>
      <c r="AL5" s="10">
        <f t="shared" si="2"/>
        <v>1028.2902514500001</v>
      </c>
      <c r="AM5" s="10">
        <f t="shared" si="2"/>
        <v>1079.7047640225001</v>
      </c>
      <c r="AN5" s="10">
        <f t="shared" si="2"/>
        <v>1112.0959069431756</v>
      </c>
      <c r="AO5" s="10">
        <f t="shared" si="2"/>
        <v>1145.4587841514704</v>
      </c>
      <c r="AP5" s="10">
        <f t="shared" si="2"/>
        <v>1179.8225476760153</v>
      </c>
      <c r="AQ5" s="10">
        <f t="shared" si="2"/>
        <v>1215.2172241062954</v>
      </c>
      <c r="AR5" s="10">
        <f t="shared" si="2"/>
        <v>1251.6737408294839</v>
      </c>
      <c r="AS5" s="10">
        <f t="shared" si="2"/>
        <v>1289.2239530543684</v>
      </c>
    </row>
    <row r="6" spans="2:269" x14ac:dyDescent="0.3">
      <c r="B6" t="s">
        <v>23</v>
      </c>
      <c r="AF6" s="10">
        <f t="shared" ref="AF6:AG6" si="3">AF4-AF5</f>
        <v>4563.5</v>
      </c>
      <c r="AG6" s="10">
        <f t="shared" si="3"/>
        <v>4030.7999999999997</v>
      </c>
      <c r="AH6" s="10">
        <f>AH4-AH5</f>
        <v>4611.8</v>
      </c>
      <c r="AI6" s="10">
        <f>AI4*0.83</f>
        <v>4575.5077999999994</v>
      </c>
      <c r="AJ6" s="10">
        <f>AJ4*0.83</f>
        <v>4346.7324099999996</v>
      </c>
      <c r="AK6" s="10">
        <f>AK4*0.83</f>
        <v>4781.405651</v>
      </c>
      <c r="AL6" s="10">
        <f>AL4*0.83</f>
        <v>5020.4759335500012</v>
      </c>
      <c r="AM6" s="10">
        <f>AM4*0.83</f>
        <v>5271.4997302275015</v>
      </c>
      <c r="AN6" s="10">
        <f t="shared" ref="AN6:AS6" si="4">AN4*0.83</f>
        <v>5429.644722134326</v>
      </c>
      <c r="AO6" s="10">
        <f t="shared" si="4"/>
        <v>5592.5340637983563</v>
      </c>
      <c r="AP6" s="10">
        <f t="shared" si="4"/>
        <v>5760.3100857123063</v>
      </c>
      <c r="AQ6" s="10">
        <f t="shared" si="4"/>
        <v>5933.119388283676</v>
      </c>
      <c r="AR6" s="10">
        <f t="shared" si="4"/>
        <v>6111.1129699321864</v>
      </c>
      <c r="AS6" s="10">
        <f t="shared" si="4"/>
        <v>6294.4463590301521</v>
      </c>
    </row>
    <row r="7" spans="2:269" x14ac:dyDescent="0.3">
      <c r="B7" t="s">
        <v>36</v>
      </c>
      <c r="AF7" s="10">
        <v>1833.7</v>
      </c>
      <c r="AG7" s="10">
        <v>1690.1</v>
      </c>
      <c r="AH7" s="10">
        <v>1659.2</v>
      </c>
      <c r="AI7" s="10">
        <f t="shared" ref="AI7:AS7" si="5">AH7*0.9</f>
        <v>1493.28</v>
      </c>
      <c r="AJ7" s="10">
        <f t="shared" si="5"/>
        <v>1343.952</v>
      </c>
      <c r="AK7" s="10">
        <f t="shared" si="5"/>
        <v>1209.5568000000001</v>
      </c>
      <c r="AL7" s="10">
        <f t="shared" si="5"/>
        <v>1088.60112</v>
      </c>
      <c r="AM7" s="10">
        <f t="shared" si="5"/>
        <v>979.74100800000008</v>
      </c>
      <c r="AN7" s="10">
        <f t="shared" si="5"/>
        <v>881.76690720000011</v>
      </c>
      <c r="AO7" s="10">
        <f t="shared" si="5"/>
        <v>793.59021648000009</v>
      </c>
      <c r="AP7" s="10">
        <f t="shared" si="5"/>
        <v>714.23119483200014</v>
      </c>
      <c r="AQ7" s="10">
        <f t="shared" si="5"/>
        <v>642.80807534880012</v>
      </c>
      <c r="AR7" s="10">
        <f t="shared" si="5"/>
        <v>578.52726781392016</v>
      </c>
      <c r="AS7" s="10">
        <f t="shared" si="5"/>
        <v>520.67454103252817</v>
      </c>
    </row>
    <row r="8" spans="2:269" x14ac:dyDescent="0.3">
      <c r="B8" t="s">
        <v>24</v>
      </c>
      <c r="AF8" s="10">
        <v>2012.1</v>
      </c>
      <c r="AG8" s="10">
        <v>1810.4</v>
      </c>
      <c r="AH8" s="10">
        <v>1866</v>
      </c>
      <c r="AI8" s="10">
        <v>1866</v>
      </c>
      <c r="AJ8" s="10">
        <v>1866</v>
      </c>
      <c r="AK8" s="10">
        <v>1866</v>
      </c>
      <c r="AL8" s="10">
        <v>1866</v>
      </c>
      <c r="AM8" s="10">
        <v>1866</v>
      </c>
      <c r="AN8" s="10">
        <v>1866</v>
      </c>
      <c r="AO8" s="10">
        <v>1866</v>
      </c>
      <c r="AP8" s="10">
        <v>1866</v>
      </c>
      <c r="AQ8" s="10">
        <v>1866</v>
      </c>
      <c r="AR8" s="10">
        <v>1866</v>
      </c>
      <c r="AS8" s="10">
        <v>1866</v>
      </c>
    </row>
    <row r="9" spans="2:269" x14ac:dyDescent="0.3">
      <c r="B9" t="s">
        <v>25</v>
      </c>
      <c r="AF9" s="10">
        <f>-16.4+24.6+AF8+AF7</f>
        <v>3854</v>
      </c>
      <c r="AG9" s="10">
        <f>-14.9-12.8+AG7+AG8</f>
        <v>3472.8</v>
      </c>
      <c r="AH9" s="10">
        <f>-10.2-1+AH8+AH7</f>
        <v>3514</v>
      </c>
      <c r="AI9" s="10">
        <f>AI8+AI7</f>
        <v>3359.2799999999997</v>
      </c>
      <c r="AJ9" s="10">
        <f t="shared" ref="AJ9:AS9" si="6">AJ8+AJ7</f>
        <v>3209.9520000000002</v>
      </c>
      <c r="AK9" s="10">
        <f t="shared" si="6"/>
        <v>3075.5568000000003</v>
      </c>
      <c r="AL9" s="10">
        <f t="shared" si="6"/>
        <v>2954.6011200000003</v>
      </c>
      <c r="AM9" s="10">
        <f t="shared" si="6"/>
        <v>2845.741008</v>
      </c>
      <c r="AN9" s="10">
        <f t="shared" si="6"/>
        <v>2747.7669071999999</v>
      </c>
      <c r="AO9" s="10">
        <f t="shared" si="6"/>
        <v>2659.59021648</v>
      </c>
      <c r="AP9" s="10">
        <f t="shared" si="6"/>
        <v>2580.2311948320003</v>
      </c>
      <c r="AQ9" s="10">
        <f t="shared" si="6"/>
        <v>2508.8080753488002</v>
      </c>
      <c r="AR9" s="10">
        <f t="shared" si="6"/>
        <v>2444.5272678139199</v>
      </c>
      <c r="AS9" s="10">
        <f t="shared" si="6"/>
        <v>2386.6745410325284</v>
      </c>
    </row>
    <row r="10" spans="2:269" x14ac:dyDescent="0.3">
      <c r="B10" t="s">
        <v>26</v>
      </c>
      <c r="AE10" s="2"/>
      <c r="AF10" s="10">
        <v>734.1</v>
      </c>
      <c r="AG10" s="10">
        <v>545.20000000000005</v>
      </c>
      <c r="AH10" s="10">
        <v>356.4</v>
      </c>
      <c r="AI10" s="10">
        <f t="shared" ref="AI10:AS10" si="7">AI4*0.1</f>
        <v>551.26599999999996</v>
      </c>
      <c r="AJ10" s="10">
        <f t="shared" si="7"/>
        <v>523.70270000000005</v>
      </c>
      <c r="AK10" s="10">
        <f t="shared" si="7"/>
        <v>576.07297000000005</v>
      </c>
      <c r="AL10" s="10">
        <f t="shared" si="7"/>
        <v>604.87661850000018</v>
      </c>
      <c r="AM10" s="10">
        <f t="shared" si="7"/>
        <v>635.12044942500017</v>
      </c>
      <c r="AN10" s="10">
        <f t="shared" si="7"/>
        <v>654.17406290775023</v>
      </c>
      <c r="AO10" s="10">
        <f t="shared" si="7"/>
        <v>673.79928479498267</v>
      </c>
      <c r="AP10" s="10">
        <f t="shared" si="7"/>
        <v>694.01326333883219</v>
      </c>
      <c r="AQ10" s="10">
        <f t="shared" si="7"/>
        <v>714.83366123899714</v>
      </c>
      <c r="AR10" s="10">
        <f t="shared" si="7"/>
        <v>736.27867107616703</v>
      </c>
      <c r="AS10" s="10">
        <f t="shared" si="7"/>
        <v>758.36703120845209</v>
      </c>
    </row>
    <row r="11" spans="2:269" x14ac:dyDescent="0.3">
      <c r="B11" t="s">
        <v>27</v>
      </c>
      <c r="AF11" s="10">
        <v>153.1</v>
      </c>
      <c r="AG11" s="10">
        <v>139.30000000000001</v>
      </c>
      <c r="AH11" s="10">
        <v>165.9</v>
      </c>
      <c r="AJ11" s="10"/>
    </row>
    <row r="12" spans="2:269" x14ac:dyDescent="0.3">
      <c r="B12" t="s">
        <v>37</v>
      </c>
      <c r="AF12" s="10">
        <v>4.4000000000000004</v>
      </c>
      <c r="AG12" s="10">
        <v>6.1</v>
      </c>
      <c r="AH12" s="10">
        <v>11.5</v>
      </c>
      <c r="AJ12" s="10">
        <f>AI29*AV32</f>
        <v>69.024000000000001</v>
      </c>
      <c r="AK12" s="10">
        <f>AJ29*AV32</f>
        <v>125.21449116000001</v>
      </c>
      <c r="AL12" s="10">
        <f t="shared" ref="AL12:AS12" si="8">AJ29*$AV32</f>
        <v>125.21449116000001</v>
      </c>
      <c r="AM12" s="10">
        <f t="shared" si="8"/>
        <v>191.69654247796799</v>
      </c>
      <c r="AN12" s="10">
        <f t="shared" si="8"/>
        <v>260.90917967373599</v>
      </c>
      <c r="AO12" s="10">
        <f t="shared" si="8"/>
        <v>339.29143050613737</v>
      </c>
      <c r="AP12" s="10">
        <f t="shared" si="8"/>
        <v>426.04132190286225</v>
      </c>
      <c r="AQ12" s="10">
        <f t="shared" si="8"/>
        <v>522.08232171340853</v>
      </c>
      <c r="AR12" s="10">
        <f t="shared" si="8"/>
        <v>629.60756189661117</v>
      </c>
      <c r="AS12" s="10">
        <f t="shared" si="8"/>
        <v>748.35149626004204</v>
      </c>
    </row>
    <row r="13" spans="2:269" x14ac:dyDescent="0.3">
      <c r="B13" t="s">
        <v>28</v>
      </c>
      <c r="AF13" s="10">
        <v>560.79999999999995</v>
      </c>
      <c r="AG13" s="10">
        <v>424.8</v>
      </c>
      <c r="AH13" s="10">
        <v>203</v>
      </c>
      <c r="AI13" s="10">
        <f>AI10</f>
        <v>551.26599999999996</v>
      </c>
      <c r="AJ13" s="10">
        <f t="shared" ref="AJ13:AS13" si="9">AJ10+AJ12</f>
        <v>592.72670000000005</v>
      </c>
      <c r="AK13" s="10">
        <f t="shared" si="9"/>
        <v>701.28746116000002</v>
      </c>
      <c r="AL13" s="10">
        <f t="shared" si="9"/>
        <v>730.09110966000014</v>
      </c>
      <c r="AM13" s="10">
        <f t="shared" si="9"/>
        <v>826.8169919029682</v>
      </c>
      <c r="AN13" s="10">
        <f t="shared" si="9"/>
        <v>915.08324258148627</v>
      </c>
      <c r="AO13" s="10">
        <f t="shared" si="9"/>
        <v>1013.0907153011201</v>
      </c>
      <c r="AP13" s="10">
        <f t="shared" si="9"/>
        <v>1120.0545852416944</v>
      </c>
      <c r="AQ13" s="10">
        <f t="shared" si="9"/>
        <v>1236.9159829524056</v>
      </c>
      <c r="AR13" s="10">
        <f t="shared" si="9"/>
        <v>1365.8862329727781</v>
      </c>
      <c r="AS13" s="10">
        <f t="shared" si="9"/>
        <v>1506.7185274684941</v>
      </c>
    </row>
    <row r="14" spans="2:269" x14ac:dyDescent="0.3">
      <c r="B14" t="s">
        <v>29</v>
      </c>
      <c r="AF14" s="10">
        <v>113.6</v>
      </c>
      <c r="AG14" s="10">
        <v>103.5</v>
      </c>
      <c r="AH14" s="10">
        <v>60.8</v>
      </c>
      <c r="AI14" s="10">
        <f>AI13*0.21</f>
        <v>115.76585999999999</v>
      </c>
      <c r="AJ14" s="10">
        <f t="shared" ref="AJ14:AO14" si="10">AJ13*0.21</f>
        <v>124.47260700000001</v>
      </c>
      <c r="AK14" s="10">
        <f t="shared" si="10"/>
        <v>147.27036684359999</v>
      </c>
      <c r="AL14" s="10">
        <f t="shared" si="10"/>
        <v>153.31913302860002</v>
      </c>
      <c r="AM14" s="10">
        <f t="shared" si="10"/>
        <v>173.63156829962332</v>
      </c>
      <c r="AN14" s="10">
        <f t="shared" si="10"/>
        <v>192.16748094211212</v>
      </c>
      <c r="AO14" s="10">
        <f t="shared" si="10"/>
        <v>212.74905021323522</v>
      </c>
      <c r="AP14" s="10">
        <f>AP13*0.2</f>
        <v>224.01091704833891</v>
      </c>
      <c r="AQ14" s="10">
        <f t="shared" ref="AQ14:AS14" si="11">AQ13*0.2</f>
        <v>247.38319659048113</v>
      </c>
      <c r="AR14" s="10">
        <f t="shared" si="11"/>
        <v>273.17724659455564</v>
      </c>
      <c r="AS14" s="10">
        <f t="shared" si="11"/>
        <v>301.34370549369885</v>
      </c>
      <c r="CT14">
        <v>64</v>
      </c>
    </row>
    <row r="15" spans="2:269" x14ac:dyDescent="0.3">
      <c r="B15" t="s">
        <v>30</v>
      </c>
      <c r="AF15" s="10">
        <v>447.2</v>
      </c>
      <c r="AG15" s="10">
        <v>321.3</v>
      </c>
      <c r="AH15" s="10">
        <v>142.19999999999999</v>
      </c>
      <c r="AI15" s="10">
        <f>AI13-AI14</f>
        <v>435.50013999999999</v>
      </c>
      <c r="AJ15" s="10">
        <f>AJ13-AJ14</f>
        <v>468.25409300000001</v>
      </c>
      <c r="AK15" s="10">
        <f>AK13-AK14</f>
        <v>554.01709431640006</v>
      </c>
      <c r="AL15" s="10">
        <f t="shared" ref="AL15:AR15" si="12">AL13-AL14</f>
        <v>576.77197663140009</v>
      </c>
      <c r="AM15" s="10">
        <f>AM13-AM14</f>
        <v>653.18542360334482</v>
      </c>
      <c r="AN15" s="10">
        <f t="shared" si="12"/>
        <v>722.91576163937418</v>
      </c>
      <c r="AO15" s="10">
        <f>AO13-AO14</f>
        <v>800.34166508788485</v>
      </c>
      <c r="AP15" s="10">
        <f t="shared" si="12"/>
        <v>896.04366819335553</v>
      </c>
      <c r="AQ15" s="10">
        <f t="shared" si="12"/>
        <v>989.53278636192442</v>
      </c>
      <c r="AR15" s="10">
        <f t="shared" si="12"/>
        <v>1092.7089863782226</v>
      </c>
      <c r="AS15" s="10">
        <f>AS13-AS14</f>
        <v>1205.3748219747954</v>
      </c>
      <c r="AT15" s="10">
        <f>AS15*(1+$AV31)</f>
        <v>1120.9985844365597</v>
      </c>
      <c r="AU15" s="10">
        <f>AT15*(1+$AV31)</f>
        <v>1042.5286835260003</v>
      </c>
      <c r="AV15" s="10">
        <f>AU15*(1+$AV31)</f>
        <v>969.55167567918022</v>
      </c>
      <c r="AW15" s="10">
        <f>AV15*(1+$AV31)</f>
        <v>901.68305838163758</v>
      </c>
      <c r="AX15" s="10">
        <f t="shared" ref="AX15:DI15" si="13">AW15*(1+$AV31)</f>
        <v>838.56524429492288</v>
      </c>
      <c r="AY15" s="10">
        <f t="shared" si="13"/>
        <v>779.86567719427819</v>
      </c>
      <c r="AZ15" s="10">
        <f t="shared" si="13"/>
        <v>725.27507979067866</v>
      </c>
      <c r="BA15" s="10">
        <f t="shared" si="13"/>
        <v>674.50582420533112</v>
      </c>
      <c r="BB15" s="10">
        <f t="shared" si="13"/>
        <v>627.29041651095793</v>
      </c>
      <c r="BC15" s="10">
        <f t="shared" si="13"/>
        <v>583.38008735519088</v>
      </c>
      <c r="BD15" s="10">
        <f t="shared" si="13"/>
        <v>542.54348124032754</v>
      </c>
      <c r="BE15" s="10">
        <f t="shared" si="13"/>
        <v>504.56543755350458</v>
      </c>
      <c r="BF15" s="10">
        <f t="shared" si="13"/>
        <v>469.24585692475921</v>
      </c>
      <c r="BG15" s="10">
        <f t="shared" si="13"/>
        <v>436.39864694002603</v>
      </c>
      <c r="BH15" s="10">
        <f t="shared" si="13"/>
        <v>405.85074165422418</v>
      </c>
      <c r="BI15" s="10">
        <f t="shared" si="13"/>
        <v>377.44118973842848</v>
      </c>
      <c r="BJ15" s="10">
        <f t="shared" si="13"/>
        <v>351.02030645673847</v>
      </c>
      <c r="BK15" s="10">
        <f t="shared" si="13"/>
        <v>326.44888500476674</v>
      </c>
      <c r="BL15" s="10">
        <f t="shared" si="13"/>
        <v>303.59746305443304</v>
      </c>
      <c r="BM15" s="10">
        <f t="shared" si="13"/>
        <v>282.34564064062272</v>
      </c>
      <c r="BN15" s="10">
        <f t="shared" si="13"/>
        <v>262.58144579577913</v>
      </c>
      <c r="BO15" s="10">
        <f t="shared" si="13"/>
        <v>244.20074459007458</v>
      </c>
      <c r="BP15" s="10">
        <f t="shared" si="13"/>
        <v>227.10669246876935</v>
      </c>
      <c r="BQ15" s="10">
        <f t="shared" si="13"/>
        <v>211.20922399595548</v>
      </c>
      <c r="BR15" s="10">
        <f t="shared" si="13"/>
        <v>196.42457831623858</v>
      </c>
      <c r="BS15" s="10">
        <f t="shared" si="13"/>
        <v>182.67485783410186</v>
      </c>
      <c r="BT15" s="10">
        <f t="shared" si="13"/>
        <v>169.88761778571472</v>
      </c>
      <c r="BU15" s="10">
        <f t="shared" si="13"/>
        <v>157.99548454071467</v>
      </c>
      <c r="BV15" s="10">
        <f t="shared" si="13"/>
        <v>146.93580062286463</v>
      </c>
      <c r="BW15" s="10">
        <f t="shared" si="13"/>
        <v>136.65029457926411</v>
      </c>
      <c r="BX15" s="10">
        <f t="shared" si="13"/>
        <v>127.08477395871562</v>
      </c>
      <c r="BY15" s="10">
        <f t="shared" si="13"/>
        <v>118.18883978160551</v>
      </c>
      <c r="BZ15" s="10">
        <f t="shared" si="13"/>
        <v>109.91562099689311</v>
      </c>
      <c r="CA15" s="10">
        <f t="shared" si="13"/>
        <v>102.22152752711058</v>
      </c>
      <c r="CB15" s="10">
        <f t="shared" si="13"/>
        <v>95.066020600212838</v>
      </c>
      <c r="CC15" s="10">
        <f t="shared" si="13"/>
        <v>88.411399158197938</v>
      </c>
      <c r="CD15" s="10">
        <f t="shared" si="13"/>
        <v>82.22260121712408</v>
      </c>
      <c r="CE15" s="10">
        <f t="shared" si="13"/>
        <v>76.467019131925383</v>
      </c>
      <c r="CF15" s="10">
        <f t="shared" si="13"/>
        <v>71.114327792690602</v>
      </c>
      <c r="CG15" s="10">
        <f t="shared" si="13"/>
        <v>66.13632484720226</v>
      </c>
      <c r="CH15" s="10">
        <f t="shared" si="13"/>
        <v>61.506782107898097</v>
      </c>
      <c r="CI15" s="10">
        <f t="shared" si="13"/>
        <v>57.201307360345226</v>
      </c>
      <c r="CJ15" s="10">
        <f t="shared" si="13"/>
        <v>53.197215845121057</v>
      </c>
      <c r="CK15" s="10">
        <f t="shared" si="13"/>
        <v>49.473410735962581</v>
      </c>
      <c r="CL15" s="10">
        <f t="shared" si="13"/>
        <v>46.010271984445197</v>
      </c>
      <c r="CM15" s="10">
        <f t="shared" si="13"/>
        <v>42.789552945534027</v>
      </c>
      <c r="CN15" s="10">
        <f t="shared" si="13"/>
        <v>39.794284239346645</v>
      </c>
      <c r="CO15" s="10">
        <f t="shared" si="13"/>
        <v>37.008684342592375</v>
      </c>
      <c r="CP15" s="10">
        <f t="shared" si="13"/>
        <v>34.418076438610903</v>
      </c>
      <c r="CQ15" s="10">
        <f t="shared" si="13"/>
        <v>32.008811087908136</v>
      </c>
      <c r="CR15" s="10">
        <f t="shared" si="13"/>
        <v>29.768194311754563</v>
      </c>
      <c r="CS15" s="10">
        <f t="shared" si="13"/>
        <v>27.684420709931743</v>
      </c>
      <c r="CT15" s="10">
        <f t="shared" si="13"/>
        <v>25.74651126023652</v>
      </c>
      <c r="CU15" s="10">
        <f t="shared" si="13"/>
        <v>23.944255472019961</v>
      </c>
      <c r="CV15" s="10">
        <f t="shared" si="13"/>
        <v>22.268157588978561</v>
      </c>
      <c r="CW15" s="10">
        <f t="shared" si="13"/>
        <v>20.709386557750062</v>
      </c>
      <c r="CX15" s="10">
        <f t="shared" si="13"/>
        <v>19.259729498707557</v>
      </c>
      <c r="CY15" s="10">
        <f t="shared" si="13"/>
        <v>17.911548433798028</v>
      </c>
      <c r="CZ15" s="10">
        <f t="shared" si="13"/>
        <v>16.657740043432167</v>
      </c>
      <c r="DA15" s="10">
        <f t="shared" si="13"/>
        <v>15.491698240391914</v>
      </c>
      <c r="DB15" s="10">
        <f t="shared" si="13"/>
        <v>14.407279363564479</v>
      </c>
      <c r="DC15" s="10">
        <f t="shared" si="13"/>
        <v>13.398769808114965</v>
      </c>
      <c r="DD15" s="10">
        <f t="shared" si="13"/>
        <v>12.460855921546916</v>
      </c>
      <c r="DE15" s="10">
        <f t="shared" si="13"/>
        <v>11.58859600703863</v>
      </c>
      <c r="DF15" s="10">
        <f t="shared" si="13"/>
        <v>10.777394286545926</v>
      </c>
      <c r="DG15" s="10">
        <f t="shared" si="13"/>
        <v>10.022976686487711</v>
      </c>
      <c r="DH15" s="10">
        <f t="shared" si="13"/>
        <v>9.3213683184335707</v>
      </c>
      <c r="DI15" s="10">
        <f t="shared" si="13"/>
        <v>8.6688725361432208</v>
      </c>
      <c r="DJ15" s="10">
        <f t="shared" ref="DJ15:FU15" si="14">DI15*(1+$AV31)</f>
        <v>8.0620514586131957</v>
      </c>
      <c r="DK15" s="10">
        <f t="shared" si="14"/>
        <v>7.4977078565102717</v>
      </c>
      <c r="DL15" s="10">
        <f t="shared" si="14"/>
        <v>6.9728683065545525</v>
      </c>
      <c r="DM15" s="10">
        <f t="shared" si="14"/>
        <v>6.4847675250957337</v>
      </c>
      <c r="DN15" s="10">
        <f t="shared" si="14"/>
        <v>6.0308337983390317</v>
      </c>
      <c r="DO15" s="10">
        <f t="shared" si="14"/>
        <v>5.608675432455299</v>
      </c>
      <c r="DP15" s="10">
        <f t="shared" si="14"/>
        <v>5.2160681521834276</v>
      </c>
      <c r="DQ15" s="10">
        <f t="shared" si="14"/>
        <v>4.8509433815305876</v>
      </c>
      <c r="DR15" s="10">
        <f t="shared" si="14"/>
        <v>4.5113773448234458</v>
      </c>
      <c r="DS15" s="10">
        <f t="shared" si="14"/>
        <v>4.1955809306858045</v>
      </c>
      <c r="DT15" s="10">
        <f t="shared" si="14"/>
        <v>3.9018902655377978</v>
      </c>
      <c r="DU15" s="10">
        <f t="shared" si="14"/>
        <v>3.6287579469501519</v>
      </c>
      <c r="DV15" s="10">
        <f t="shared" si="14"/>
        <v>3.3747448906636408</v>
      </c>
      <c r="DW15" s="10">
        <f t="shared" si="14"/>
        <v>3.1385127483171855</v>
      </c>
      <c r="DX15" s="10">
        <f t="shared" si="14"/>
        <v>2.9188168559349825</v>
      </c>
      <c r="DY15" s="10">
        <f t="shared" si="14"/>
        <v>2.7144996760195337</v>
      </c>
      <c r="DZ15" s="10">
        <f t="shared" si="14"/>
        <v>2.5244846986981662</v>
      </c>
      <c r="EA15" s="10">
        <f t="shared" si="14"/>
        <v>2.3477707697892942</v>
      </c>
      <c r="EB15" s="10">
        <f t="shared" si="14"/>
        <v>2.1834268159040433</v>
      </c>
      <c r="EC15" s="10">
        <f t="shared" si="14"/>
        <v>2.0305869387907602</v>
      </c>
      <c r="ED15" s="10">
        <f t="shared" si="14"/>
        <v>1.8884458530754069</v>
      </c>
      <c r="EE15" s="10">
        <f t="shared" si="14"/>
        <v>1.7562546433601283</v>
      </c>
      <c r="EF15" s="10">
        <f t="shared" si="14"/>
        <v>1.6333168183249192</v>
      </c>
      <c r="EG15" s="10">
        <f t="shared" si="14"/>
        <v>1.5189846410421748</v>
      </c>
      <c r="EH15" s="10">
        <f t="shared" si="14"/>
        <v>1.4126557161692224</v>
      </c>
      <c r="EI15" s="10">
        <f t="shared" si="14"/>
        <v>1.3137698160373767</v>
      </c>
      <c r="EJ15" s="10">
        <f t="shared" si="14"/>
        <v>1.2218059289147603</v>
      </c>
      <c r="EK15" s="10">
        <f t="shared" si="14"/>
        <v>1.1362795138907269</v>
      </c>
      <c r="EL15" s="10">
        <f t="shared" si="14"/>
        <v>1.0567399479183759</v>
      </c>
      <c r="EM15" s="10">
        <f t="shared" si="14"/>
        <v>0.98276815156408948</v>
      </c>
      <c r="EN15" s="10">
        <f t="shared" si="14"/>
        <v>0.91397438095460315</v>
      </c>
      <c r="EO15" s="10">
        <f t="shared" si="14"/>
        <v>0.84999617428778085</v>
      </c>
      <c r="EP15" s="10">
        <f t="shared" si="14"/>
        <v>0.79049644208763614</v>
      </c>
      <c r="EQ15" s="10">
        <f t="shared" si="14"/>
        <v>0.73516169114150154</v>
      </c>
      <c r="ER15" s="10">
        <f t="shared" si="14"/>
        <v>0.68370037276159634</v>
      </c>
      <c r="ES15" s="10">
        <f t="shared" si="14"/>
        <v>0.63584134666828451</v>
      </c>
      <c r="ET15" s="10">
        <f t="shared" si="14"/>
        <v>0.59133245240150456</v>
      </c>
      <c r="EU15" s="10">
        <f t="shared" si="14"/>
        <v>0.5499391807333992</v>
      </c>
      <c r="EV15" s="10">
        <f t="shared" si="14"/>
        <v>0.51144343808206127</v>
      </c>
      <c r="EW15" s="10">
        <f t="shared" si="14"/>
        <v>0.47564239741631698</v>
      </c>
      <c r="EX15" s="10">
        <f t="shared" si="14"/>
        <v>0.44234742959717477</v>
      </c>
      <c r="EY15" s="10">
        <f t="shared" si="14"/>
        <v>0.41138310952537249</v>
      </c>
      <c r="EZ15" s="10">
        <f t="shared" si="14"/>
        <v>0.38258629185859638</v>
      </c>
      <c r="FA15" s="10">
        <f t="shared" si="14"/>
        <v>0.35580525142849462</v>
      </c>
      <c r="FB15" s="10">
        <f t="shared" si="14"/>
        <v>0.33089888382849997</v>
      </c>
      <c r="FC15" s="10">
        <f t="shared" si="14"/>
        <v>0.30773596196050496</v>
      </c>
      <c r="FD15" s="10">
        <f t="shared" si="14"/>
        <v>0.28619444462326959</v>
      </c>
      <c r="FE15" s="10">
        <f t="shared" si="14"/>
        <v>0.2661608334996407</v>
      </c>
      <c r="FF15" s="10">
        <f t="shared" si="14"/>
        <v>0.24752957515466584</v>
      </c>
      <c r="FG15" s="10">
        <f t="shared" si="14"/>
        <v>0.23020250489383923</v>
      </c>
      <c r="FH15" s="10">
        <f t="shared" si="14"/>
        <v>0.21408832955127047</v>
      </c>
      <c r="FI15" s="10">
        <f t="shared" si="14"/>
        <v>0.19910214648268151</v>
      </c>
      <c r="FJ15" s="10">
        <f t="shared" si="14"/>
        <v>0.18516499622889379</v>
      </c>
      <c r="FK15" s="10">
        <f t="shared" si="14"/>
        <v>0.17220344649287123</v>
      </c>
      <c r="FL15" s="10">
        <f t="shared" si="14"/>
        <v>0.16014920523837023</v>
      </c>
      <c r="FM15" s="10">
        <f t="shared" si="14"/>
        <v>0.14893876087168431</v>
      </c>
      <c r="FN15" s="10">
        <f t="shared" si="14"/>
        <v>0.13851304761066641</v>
      </c>
      <c r="FO15" s="10">
        <f t="shared" si="14"/>
        <v>0.12881713427791974</v>
      </c>
      <c r="FP15" s="10">
        <f t="shared" si="14"/>
        <v>0.11979993487846535</v>
      </c>
      <c r="FQ15" s="10">
        <f t="shared" si="14"/>
        <v>0.11141393943697277</v>
      </c>
      <c r="FR15" s="10">
        <f t="shared" si="14"/>
        <v>0.10361496367638466</v>
      </c>
      <c r="FS15" s="10">
        <f t="shared" si="14"/>
        <v>9.6361916219037724E-2</v>
      </c>
      <c r="FT15" s="10">
        <f t="shared" si="14"/>
        <v>8.9616582083705071E-2</v>
      </c>
      <c r="FU15" s="10">
        <f t="shared" si="14"/>
        <v>8.3343421337845711E-2</v>
      </c>
      <c r="FV15" s="10">
        <f t="shared" ref="FV15:IG15" si="15">FU15*(1+$AV31)</f>
        <v>7.7509381844196507E-2</v>
      </c>
      <c r="FW15" s="10">
        <f t="shared" si="15"/>
        <v>7.2083725115102748E-2</v>
      </c>
      <c r="FX15" s="10">
        <f t="shared" si="15"/>
        <v>6.7037864357045548E-2</v>
      </c>
      <c r="FY15" s="10">
        <f t="shared" si="15"/>
        <v>6.2345213852052356E-2</v>
      </c>
      <c r="FZ15" s="10">
        <f t="shared" si="15"/>
        <v>5.7981048882408688E-2</v>
      </c>
      <c r="GA15" s="10">
        <f t="shared" si="15"/>
        <v>5.3922375460640076E-2</v>
      </c>
      <c r="GB15" s="10">
        <f t="shared" si="15"/>
        <v>5.0147809178395265E-2</v>
      </c>
      <c r="GC15" s="10">
        <f t="shared" si="15"/>
        <v>4.6637462535907594E-2</v>
      </c>
      <c r="GD15" s="10">
        <f t="shared" si="15"/>
        <v>4.3372840158394058E-2</v>
      </c>
      <c r="GE15" s="10">
        <f t="shared" si="15"/>
        <v>4.0336741347306471E-2</v>
      </c>
      <c r="GF15" s="10">
        <f t="shared" si="15"/>
        <v>3.7513169452995015E-2</v>
      </c>
      <c r="GG15" s="10">
        <f t="shared" si="15"/>
        <v>3.4887247591285364E-2</v>
      </c>
      <c r="GH15" s="10">
        <f t="shared" si="15"/>
        <v>3.2445140259895387E-2</v>
      </c>
      <c r="GI15" s="10">
        <f t="shared" si="15"/>
        <v>3.0173980441702709E-2</v>
      </c>
      <c r="GJ15" s="10">
        <f t="shared" si="15"/>
        <v>2.8061801810783518E-2</v>
      </c>
      <c r="GK15" s="10">
        <f t="shared" si="15"/>
        <v>2.6097475684028669E-2</v>
      </c>
      <c r="GL15" s="10">
        <f t="shared" si="15"/>
        <v>2.427065238614666E-2</v>
      </c>
      <c r="GM15" s="10">
        <f t="shared" si="15"/>
        <v>2.2571706719116392E-2</v>
      </c>
      <c r="GN15" s="10">
        <f t="shared" si="15"/>
        <v>2.0991687248778243E-2</v>
      </c>
      <c r="GO15" s="10">
        <f t="shared" si="15"/>
        <v>1.9522269141363766E-2</v>
      </c>
      <c r="GP15" s="10">
        <f t="shared" si="15"/>
        <v>1.81557103014683E-2</v>
      </c>
      <c r="GQ15" s="10">
        <f t="shared" si="15"/>
        <v>1.688481058036552E-2</v>
      </c>
      <c r="GR15" s="10">
        <f t="shared" si="15"/>
        <v>1.5702873839739933E-2</v>
      </c>
      <c r="GS15" s="10">
        <f t="shared" si="15"/>
        <v>1.4603672670958136E-2</v>
      </c>
      <c r="GT15" s="10">
        <f t="shared" si="15"/>
        <v>1.3581415583991065E-2</v>
      </c>
      <c r="GU15" s="10">
        <f t="shared" si="15"/>
        <v>1.2630716493111689E-2</v>
      </c>
      <c r="GV15" s="10">
        <f t="shared" si="15"/>
        <v>1.174656633859387E-2</v>
      </c>
      <c r="GW15" s="10">
        <f t="shared" si="15"/>
        <v>1.0924306694892298E-2</v>
      </c>
      <c r="GX15" s="10">
        <f t="shared" si="15"/>
        <v>1.0159605226249837E-2</v>
      </c>
      <c r="GY15" s="10">
        <f t="shared" si="15"/>
        <v>9.4484328604123469E-3</v>
      </c>
      <c r="GZ15" s="10">
        <f t="shared" si="15"/>
        <v>8.7870425601834813E-3</v>
      </c>
      <c r="HA15" s="10">
        <f t="shared" si="15"/>
        <v>8.1719495809706375E-3</v>
      </c>
      <c r="HB15" s="10">
        <f t="shared" si="15"/>
        <v>7.5999131103026921E-3</v>
      </c>
      <c r="HC15" s="10">
        <f t="shared" si="15"/>
        <v>7.0679191925815035E-3</v>
      </c>
      <c r="HD15" s="10">
        <f t="shared" si="15"/>
        <v>6.5731648491007977E-3</v>
      </c>
      <c r="HE15" s="10">
        <f t="shared" si="15"/>
        <v>6.1130433096637411E-3</v>
      </c>
      <c r="HF15" s="10">
        <f t="shared" si="15"/>
        <v>5.6851302779872791E-3</v>
      </c>
      <c r="HG15" s="10">
        <f t="shared" si="15"/>
        <v>5.2871711585281691E-3</v>
      </c>
      <c r="HH15" s="10">
        <f t="shared" si="15"/>
        <v>4.9170691774311969E-3</v>
      </c>
      <c r="HI15" s="10">
        <f t="shared" si="15"/>
        <v>4.5728743350110131E-3</v>
      </c>
      <c r="HJ15" s="10">
        <f t="shared" si="15"/>
        <v>4.2527731315602415E-3</v>
      </c>
      <c r="HK15" s="10">
        <f t="shared" si="15"/>
        <v>3.9550790123510241E-3</v>
      </c>
      <c r="HL15" s="10">
        <f t="shared" si="15"/>
        <v>3.6782234814864523E-3</v>
      </c>
      <c r="HM15" s="10">
        <f t="shared" si="15"/>
        <v>3.4207478377824003E-3</v>
      </c>
      <c r="HN15" s="10">
        <f t="shared" si="15"/>
        <v>3.1812954891376321E-3</v>
      </c>
      <c r="HO15" s="10">
        <f t="shared" si="15"/>
        <v>2.9586048048979977E-3</v>
      </c>
      <c r="HP15" s="10">
        <f t="shared" si="15"/>
        <v>2.7515024685551377E-3</v>
      </c>
      <c r="HQ15" s="10">
        <f t="shared" si="15"/>
        <v>2.5588972957562781E-3</v>
      </c>
      <c r="HR15" s="10">
        <f t="shared" si="15"/>
        <v>2.3797744850533385E-3</v>
      </c>
      <c r="HS15" s="10">
        <f t="shared" si="15"/>
        <v>2.2131902710996049E-3</v>
      </c>
      <c r="HT15" s="10">
        <f t="shared" si="15"/>
        <v>2.0582669521226325E-3</v>
      </c>
      <c r="HU15" s="10">
        <f t="shared" si="15"/>
        <v>1.9141882654740482E-3</v>
      </c>
      <c r="HV15" s="10">
        <f t="shared" si="15"/>
        <v>1.7801950868908648E-3</v>
      </c>
      <c r="HW15" s="10">
        <f t="shared" si="15"/>
        <v>1.655581430808504E-3</v>
      </c>
      <c r="HX15" s="10">
        <f t="shared" si="15"/>
        <v>1.5396907306519086E-3</v>
      </c>
      <c r="HY15" s="10">
        <f t="shared" si="15"/>
        <v>1.431912379506275E-3</v>
      </c>
      <c r="HZ15" s="10">
        <f t="shared" si="15"/>
        <v>1.3316785129408356E-3</v>
      </c>
      <c r="IA15" s="10">
        <f t="shared" si="15"/>
        <v>1.2384610170349771E-3</v>
      </c>
      <c r="IB15" s="10">
        <f t="shared" si="15"/>
        <v>1.1517687458425286E-3</v>
      </c>
      <c r="IC15" s="10">
        <f t="shared" si="15"/>
        <v>1.0711449336335515E-3</v>
      </c>
      <c r="ID15" s="10">
        <f t="shared" si="15"/>
        <v>9.9616478827920288E-4</v>
      </c>
      <c r="IE15" s="10">
        <f t="shared" si="15"/>
        <v>9.2643325309965858E-4</v>
      </c>
      <c r="IF15" s="10">
        <f t="shared" si="15"/>
        <v>8.6158292538268243E-4</v>
      </c>
      <c r="IG15" s="10">
        <f t="shared" si="15"/>
        <v>8.0127212060589464E-4</v>
      </c>
      <c r="IH15" s="10">
        <f t="shared" ref="IH15:JI15" si="16">IG15*(1+$AV31)</f>
        <v>7.4518307216348196E-4</v>
      </c>
      <c r="II15" s="10">
        <f t="shared" si="16"/>
        <v>6.9302025711203818E-4</v>
      </c>
      <c r="IJ15" s="10">
        <f t="shared" si="16"/>
        <v>6.4450883911419546E-4</v>
      </c>
      <c r="IK15" s="10">
        <f t="shared" si="16"/>
        <v>5.993932203762017E-4</v>
      </c>
      <c r="IL15" s="10">
        <f t="shared" si="16"/>
        <v>5.5743569494986751E-4</v>
      </c>
      <c r="IM15" s="10">
        <f t="shared" si="16"/>
        <v>5.184151963033767E-4</v>
      </c>
      <c r="IN15" s="10">
        <f t="shared" si="16"/>
        <v>4.8212613256214029E-4</v>
      </c>
      <c r="IO15" s="10">
        <f t="shared" si="16"/>
        <v>4.4837730328279045E-4</v>
      </c>
      <c r="IP15" s="10">
        <f t="shared" si="16"/>
        <v>4.1699089205299511E-4</v>
      </c>
      <c r="IQ15" s="10">
        <f t="shared" si="16"/>
        <v>3.8780152960928542E-4</v>
      </c>
      <c r="IR15" s="10">
        <f t="shared" si="16"/>
        <v>3.6065542253663544E-4</v>
      </c>
      <c r="IS15" s="10">
        <f t="shared" si="16"/>
        <v>3.3540954295907093E-4</v>
      </c>
      <c r="IT15" s="10">
        <f t="shared" si="16"/>
        <v>3.1193087495193597E-4</v>
      </c>
      <c r="IU15" s="10">
        <f t="shared" si="16"/>
        <v>2.9009571370530041E-4</v>
      </c>
      <c r="IV15" s="10">
        <f t="shared" si="16"/>
        <v>2.6978901374592935E-4</v>
      </c>
      <c r="IW15" s="10">
        <f t="shared" si="16"/>
        <v>2.5090378278371428E-4</v>
      </c>
      <c r="IX15" s="10">
        <f t="shared" si="16"/>
        <v>2.3334051798885427E-4</v>
      </c>
      <c r="IY15" s="10">
        <f t="shared" si="16"/>
        <v>2.1700668172963444E-4</v>
      </c>
      <c r="IZ15" s="10">
        <f t="shared" si="16"/>
        <v>2.0181621400856001E-4</v>
      </c>
      <c r="JA15" s="10">
        <f t="shared" si="16"/>
        <v>1.876890790279608E-4</v>
      </c>
      <c r="JB15" s="10">
        <f t="shared" si="16"/>
        <v>1.7455084349600353E-4</v>
      </c>
      <c r="JC15" s="10"/>
      <c r="JD15" s="10"/>
      <c r="JE15" s="10"/>
      <c r="JF15" s="10"/>
      <c r="JG15" s="10"/>
      <c r="JH15" s="10"/>
      <c r="JI15" s="10">
        <f t="shared" si="16"/>
        <v>0</v>
      </c>
    </row>
    <row r="16" spans="2:269" x14ac:dyDescent="0.3">
      <c r="B16" t="s">
        <v>31</v>
      </c>
      <c r="AF16" s="10">
        <f>AF15/AF17</f>
        <v>4.463073852295409</v>
      </c>
      <c r="AG16" s="10">
        <f t="shared" ref="AG16:AH16" si="17">AG15/AG17</f>
        <v>3.2291457286432164</v>
      </c>
      <c r="AH16" s="10">
        <f t="shared" si="17"/>
        <v>1.3130193905817173</v>
      </c>
      <c r="AI16" s="10">
        <f t="shared" ref="AI16" si="18">AI15/AI17</f>
        <v>4.0012324343196308</v>
      </c>
      <c r="AJ16" s="10">
        <f t="shared" ref="AJ16" si="19">AJ15/AJ17</f>
        <v>4.2807612045659633</v>
      </c>
      <c r="AK16" s="10">
        <f t="shared" ref="AK16" si="20">AK15/AK17</f>
        <v>5.0396052918026548</v>
      </c>
      <c r="AL16" s="10">
        <f t="shared" ref="AL16" si="21">AL15/AL17</f>
        <v>5.2204921577072216</v>
      </c>
      <c r="AM16" s="10">
        <f t="shared" ref="AM16" si="22">AM15/AM17</f>
        <v>5.8827137874670505</v>
      </c>
      <c r="AN16" s="10">
        <f t="shared" ref="AN16" si="23">AN15/AN17</f>
        <v>6.4783270131137289</v>
      </c>
      <c r="AO16" s="10">
        <f t="shared" ref="AO16" si="24">AO15/AO17</f>
        <v>7.1364879620377319</v>
      </c>
      <c r="AP16" s="10">
        <f t="shared" ref="AP16" si="25">AP15/AP17</f>
        <v>7.9500932846450496</v>
      </c>
      <c r="AQ16" s="10">
        <f t="shared" ref="AQ16" si="26">AQ15/AQ17</f>
        <v>8.7358903827280159</v>
      </c>
      <c r="AR16" s="10">
        <f t="shared" ref="AR16" si="27">AR15/AR17</f>
        <v>9.5987667956695457</v>
      </c>
      <c r="AS16" s="10">
        <f t="shared" ref="AS16" si="28">AS15/AS17</f>
        <v>10.535786943882743</v>
      </c>
    </row>
    <row r="17" spans="2:52" x14ac:dyDescent="0.3">
      <c r="B17" t="s">
        <v>32</v>
      </c>
      <c r="AF17" s="10">
        <v>100.2</v>
      </c>
      <c r="AG17" s="10">
        <v>99.5</v>
      </c>
      <c r="AH17" s="10">
        <v>108.3</v>
      </c>
      <c r="AI17" s="10">
        <f>AH17*1.005</f>
        <v>108.84149999999998</v>
      </c>
      <c r="AJ17" s="10">
        <f t="shared" ref="AJ17:AS17" si="29">AI17*1.005</f>
        <v>109.38570749999997</v>
      </c>
      <c r="AK17" s="10">
        <f t="shared" si="29"/>
        <v>109.93263603749996</v>
      </c>
      <c r="AL17" s="10">
        <f t="shared" si="29"/>
        <v>110.48229921768745</v>
      </c>
      <c r="AM17" s="10">
        <f t="shared" si="29"/>
        <v>111.03471071377588</v>
      </c>
      <c r="AN17" s="10">
        <f t="shared" si="29"/>
        <v>111.58988426734474</v>
      </c>
      <c r="AO17" s="10">
        <f t="shared" si="29"/>
        <v>112.14783368868146</v>
      </c>
      <c r="AP17" s="10">
        <f t="shared" si="29"/>
        <v>112.70857285712485</v>
      </c>
      <c r="AQ17" s="10">
        <f t="shared" si="29"/>
        <v>113.27211572141046</v>
      </c>
      <c r="AR17" s="10">
        <f t="shared" si="29"/>
        <v>113.8384763000175</v>
      </c>
      <c r="AS17" s="10">
        <f t="shared" si="29"/>
        <v>114.40766868151758</v>
      </c>
      <c r="AU17" s="14">
        <f ca="1">NPV(AV30,AP15:DA25)</f>
        <v>0</v>
      </c>
    </row>
    <row r="19" spans="2:52" x14ac:dyDescent="0.3">
      <c r="B19" t="s">
        <v>33</v>
      </c>
      <c r="AF19" s="2"/>
      <c r="AG19" s="2">
        <f t="shared" ref="AG19" si="30">AG4/AF4-1</f>
        <v>-0.10312263045426351</v>
      </c>
      <c r="AH19" s="2">
        <f>AH4/AG4-1</f>
        <v>0.11497963261855371</v>
      </c>
      <c r="AU19" t="str">
        <f ca="1">AU17</f>
        <v>NPV(AM42;AP37:DA37)</v>
      </c>
    </row>
    <row r="20" spans="2:52" x14ac:dyDescent="0.3">
      <c r="B20" t="s">
        <v>34</v>
      </c>
      <c r="AA20" s="12">
        <v>1.67E-2</v>
      </c>
      <c r="AB20" s="12">
        <v>2.2599999999999999E-2</v>
      </c>
      <c r="AC20" s="12">
        <v>2.92E-2</v>
      </c>
      <c r="AD20" s="12">
        <v>2.29E-2</v>
      </c>
      <c r="AE20" s="12">
        <v>-3.4000000000000002E-2</v>
      </c>
      <c r="AF20" s="12">
        <v>5.67E-2</v>
      </c>
      <c r="AG20" s="12">
        <v>0.01</v>
      </c>
      <c r="AH20" s="12">
        <v>2.5000000000000001E-2</v>
      </c>
    </row>
    <row r="21" spans="2:52" x14ac:dyDescent="0.3">
      <c r="B21" t="s">
        <v>38</v>
      </c>
      <c r="AA21" s="12"/>
      <c r="AB21" s="12"/>
      <c r="AC21" s="12"/>
      <c r="AD21" s="12"/>
      <c r="AE21" s="12"/>
      <c r="AF21" s="12"/>
      <c r="AG21" s="12"/>
      <c r="AH21" s="12"/>
    </row>
    <row r="22" spans="2:52" x14ac:dyDescent="0.3">
      <c r="AA22" s="12"/>
      <c r="AB22" s="12"/>
      <c r="AC22" s="12"/>
      <c r="AD22" s="12"/>
      <c r="AE22" s="12"/>
      <c r="AF22" s="12"/>
      <c r="AG22" s="12"/>
      <c r="AH22" s="12"/>
      <c r="AW22" s="2"/>
      <c r="AX22" s="5"/>
    </row>
    <row r="23" spans="2:52" x14ac:dyDescent="0.3">
      <c r="B23" t="s">
        <v>23</v>
      </c>
      <c r="AF23" s="2">
        <f t="shared" ref="AF23:AG23" si="31">AF6/AF4</f>
        <v>0.78643068863307364</v>
      </c>
      <c r="AG23" s="2">
        <f t="shared" si="31"/>
        <v>0.77449850126815767</v>
      </c>
      <c r="AH23" s="2">
        <f>AH6/AH4</f>
        <v>0.79475425656579579</v>
      </c>
    </row>
    <row r="24" spans="2:52" x14ac:dyDescent="0.3">
      <c r="B24" t="s">
        <v>73</v>
      </c>
      <c r="AF24" s="2">
        <f t="shared" ref="AF24:AG24" si="32">AF10/AF4</f>
        <v>0.12650789274143517</v>
      </c>
      <c r="AG24" s="2">
        <f t="shared" si="32"/>
        <v>0.10475751287372224</v>
      </c>
      <c r="AH24" s="2">
        <f>AH10/AH4</f>
        <v>6.1418625491142201E-2</v>
      </c>
      <c r="AW24" s="2"/>
    </row>
    <row r="25" spans="2:52" x14ac:dyDescent="0.3">
      <c r="B25" t="s">
        <v>74</v>
      </c>
      <c r="AF25" s="3">
        <f t="shared" ref="AF25:AG25" si="33">AF14/AF13</f>
        <v>0.20256776034236806</v>
      </c>
      <c r="AG25" s="3">
        <f t="shared" si="33"/>
        <v>0.24364406779661016</v>
      </c>
      <c r="AH25" s="3">
        <f>AH14/AH13</f>
        <v>0.29950738916256159</v>
      </c>
    </row>
    <row r="27" spans="2:52" x14ac:dyDescent="0.3">
      <c r="B27" t="s">
        <v>35</v>
      </c>
      <c r="AV27" s="13">
        <v>343917</v>
      </c>
    </row>
    <row r="29" spans="2:52" x14ac:dyDescent="0.3">
      <c r="B29" t="s">
        <v>4</v>
      </c>
      <c r="AD29" s="10"/>
      <c r="AE29" s="10"/>
      <c r="AF29" s="10"/>
      <c r="AG29" s="10">
        <v>508</v>
      </c>
      <c r="AH29" s="10">
        <f>575.2</f>
        <v>575.20000000000005</v>
      </c>
      <c r="AI29" s="10">
        <f>AH29</f>
        <v>575.20000000000005</v>
      </c>
      <c r="AJ29" s="10">
        <f t="shared" ref="AJ29:AO29" si="34">AI29+AJ15</f>
        <v>1043.4540930000001</v>
      </c>
      <c r="AK29" s="10">
        <f t="shared" si="34"/>
        <v>1597.4711873164001</v>
      </c>
      <c r="AL29" s="10">
        <f t="shared" si="34"/>
        <v>2174.2431639478</v>
      </c>
      <c r="AM29" s="10">
        <f t="shared" si="34"/>
        <v>2827.428587551145</v>
      </c>
      <c r="AN29" s="10">
        <f t="shared" si="34"/>
        <v>3550.3443491905191</v>
      </c>
      <c r="AO29" s="10">
        <f t="shared" si="34"/>
        <v>4350.6860142784044</v>
      </c>
      <c r="AP29" s="10">
        <f t="shared" ref="AP29:AS29" si="35">AO29+AP15</f>
        <v>5246.7296824717596</v>
      </c>
      <c r="AQ29" s="10">
        <f t="shared" si="35"/>
        <v>6236.2624688336837</v>
      </c>
      <c r="AR29" s="10">
        <f t="shared" si="35"/>
        <v>7328.9714552119058</v>
      </c>
      <c r="AS29" s="10">
        <f t="shared" si="35"/>
        <v>8534.3462771867016</v>
      </c>
      <c r="AU29" t="s">
        <v>75</v>
      </c>
      <c r="AV29" s="13">
        <f>NPV(AV30,AI15:CT15)</f>
        <v>8951.4316011237042</v>
      </c>
      <c r="AZ29">
        <v>21.05</v>
      </c>
    </row>
    <row r="30" spans="2:52" x14ac:dyDescent="0.3">
      <c r="B30" t="s">
        <v>39</v>
      </c>
      <c r="AD30" s="10"/>
      <c r="AE30" s="10"/>
      <c r="AF30" s="10"/>
      <c r="AG30" s="10">
        <v>70.599999999999994</v>
      </c>
      <c r="AH30" s="10">
        <v>81.2</v>
      </c>
      <c r="AI30" s="10"/>
      <c r="AU30" s="13" t="s">
        <v>76</v>
      </c>
      <c r="AV30" s="4">
        <v>7.1999999999999995E-2</v>
      </c>
      <c r="AZ30">
        <v>19.37</v>
      </c>
    </row>
    <row r="31" spans="2:52" x14ac:dyDescent="0.3">
      <c r="B31" t="s">
        <v>40</v>
      </c>
      <c r="AD31" s="10"/>
      <c r="AE31" s="10"/>
      <c r="AF31" s="10"/>
      <c r="AG31" s="10">
        <v>580.70000000000005</v>
      </c>
      <c r="AH31" s="10">
        <v>505.2</v>
      </c>
      <c r="AI31" s="10"/>
      <c r="AU31" t="s">
        <v>77</v>
      </c>
      <c r="AV31" s="12">
        <v>-7.0000000000000007E-2</v>
      </c>
      <c r="AZ31">
        <v>20.52</v>
      </c>
    </row>
    <row r="32" spans="2:52" x14ac:dyDescent="0.3">
      <c r="B32" t="s">
        <v>41</v>
      </c>
      <c r="AD32" s="10"/>
      <c r="AE32" s="10"/>
      <c r="AF32" s="10"/>
      <c r="AG32" s="10">
        <v>196.8</v>
      </c>
      <c r="AH32" s="10">
        <v>237.7</v>
      </c>
      <c r="AI32" s="10"/>
      <c r="AU32" s="13" t="s">
        <v>78</v>
      </c>
      <c r="AV32" s="12">
        <v>0.12</v>
      </c>
      <c r="AZ32">
        <v>17.850000000000001</v>
      </c>
    </row>
    <row r="33" spans="2:52" x14ac:dyDescent="0.3">
      <c r="B33" t="s">
        <v>42</v>
      </c>
      <c r="AD33" s="10"/>
      <c r="AE33" s="10"/>
      <c r="AF33" s="10"/>
      <c r="AG33" s="10">
        <v>486.3</v>
      </c>
      <c r="AH33" s="10">
        <v>506.5</v>
      </c>
      <c r="AI33" s="10"/>
      <c r="AU33" s="13" t="s">
        <v>79</v>
      </c>
      <c r="AV33" s="9">
        <f>AV29/HLF!L3</f>
        <v>9.0181660297438082</v>
      </c>
      <c r="AZ33">
        <v>14.46</v>
      </c>
    </row>
    <row r="34" spans="2:52" x14ac:dyDescent="0.3">
      <c r="B34" t="s">
        <v>43</v>
      </c>
      <c r="AD34" s="10"/>
      <c r="AE34" s="10"/>
      <c r="AF34" s="10"/>
      <c r="AG34" s="10">
        <v>207.1</v>
      </c>
      <c r="AH34" s="10">
        <v>185.8</v>
      </c>
      <c r="AI34" s="10"/>
      <c r="AU34" s="13" t="s">
        <v>80</v>
      </c>
      <c r="AV34" s="12">
        <f>AV33/HLF!L2-1</f>
        <v>0.20886944098442473</v>
      </c>
      <c r="AZ34">
        <v>12.68</v>
      </c>
    </row>
    <row r="35" spans="2:52" x14ac:dyDescent="0.3">
      <c r="B35" t="s">
        <v>44</v>
      </c>
      <c r="AD35" s="10"/>
      <c r="AE35" s="10"/>
      <c r="AF35" s="10"/>
      <c r="AG35" s="10">
        <v>93.2</v>
      </c>
      <c r="AH35" s="10">
        <v>95.4</v>
      </c>
      <c r="AI35" s="10"/>
      <c r="AZ35">
        <v>9.64</v>
      </c>
    </row>
    <row r="36" spans="2:52" x14ac:dyDescent="0.3">
      <c r="B36" t="s">
        <v>29</v>
      </c>
      <c r="AD36" s="10"/>
      <c r="AE36" s="10"/>
      <c r="AF36" s="10"/>
      <c r="AG36" s="10"/>
      <c r="AH36" s="10"/>
      <c r="AI36" s="10"/>
    </row>
    <row r="37" spans="2:52" x14ac:dyDescent="0.3">
      <c r="B37" t="s">
        <v>45</v>
      </c>
      <c r="AD37" s="10"/>
      <c r="AE37" s="10"/>
      <c r="AF37" s="10"/>
      <c r="AG37" s="10">
        <v>273.60000000000002</v>
      </c>
      <c r="AH37" s="10">
        <v>308.39999999999998</v>
      </c>
      <c r="AI37" s="10"/>
    </row>
    <row r="38" spans="2:52" x14ac:dyDescent="0.3">
      <c r="B38" t="s">
        <v>46</v>
      </c>
      <c r="AD38" s="10"/>
      <c r="AE38" s="10"/>
      <c r="AF38" s="10"/>
      <c r="AG38" s="10">
        <v>2732</v>
      </c>
      <c r="AH38" s="10">
        <v>2809.4</v>
      </c>
      <c r="AI38" s="10"/>
    </row>
    <row r="39" spans="2:52" x14ac:dyDescent="0.3">
      <c r="AD39" s="10"/>
      <c r="AE39" s="10"/>
      <c r="AF39" s="10"/>
      <c r="AG39" s="10"/>
      <c r="AH39" s="10"/>
      <c r="AI39" s="10"/>
    </row>
    <row r="40" spans="2:52" x14ac:dyDescent="0.3">
      <c r="B40" t="s">
        <v>47</v>
      </c>
      <c r="AD40" s="10"/>
      <c r="AE40" s="10"/>
      <c r="AF40" s="10"/>
      <c r="AG40" s="10">
        <v>84</v>
      </c>
      <c r="AH40" s="10">
        <v>89.8</v>
      </c>
      <c r="AI40" s="10"/>
    </row>
    <row r="41" spans="2:52" x14ac:dyDescent="0.3">
      <c r="B41" t="s">
        <v>48</v>
      </c>
      <c r="AD41" s="10"/>
      <c r="AE41" s="10"/>
      <c r="AF41" s="10"/>
      <c r="AG41" s="10">
        <v>343.3</v>
      </c>
      <c r="AH41" s="10">
        <v>343.4</v>
      </c>
      <c r="AI41" s="10"/>
    </row>
    <row r="42" spans="2:52" x14ac:dyDescent="0.3">
      <c r="B42" t="s">
        <v>5</v>
      </c>
      <c r="AD42" s="10"/>
      <c r="AE42" s="10"/>
      <c r="AF42" s="10"/>
      <c r="AG42" s="10">
        <v>2252.9</v>
      </c>
      <c r="AH42" s="10">
        <v>2662.5</v>
      </c>
    </row>
    <row r="43" spans="2:52" x14ac:dyDescent="0.3">
      <c r="B43" t="s">
        <v>49</v>
      </c>
      <c r="AD43" s="10"/>
      <c r="AE43" s="10"/>
      <c r="AF43" s="10"/>
      <c r="AG43" s="10">
        <v>192.4</v>
      </c>
      <c r="AH43" s="10">
        <v>167.6</v>
      </c>
      <c r="AI43" s="10"/>
    </row>
    <row r="44" spans="2:52" x14ac:dyDescent="0.3">
      <c r="B44" t="s">
        <v>50</v>
      </c>
      <c r="AD44" s="10"/>
      <c r="AE44" s="10"/>
      <c r="AF44" s="10"/>
      <c r="AG44" s="10">
        <v>166.4</v>
      </c>
      <c r="AH44" s="10">
        <v>171.6</v>
      </c>
      <c r="AI44" s="10"/>
    </row>
    <row r="45" spans="2:52" x14ac:dyDescent="0.3">
      <c r="B45" t="s">
        <v>51</v>
      </c>
      <c r="AD45" s="10"/>
      <c r="AE45" s="10"/>
      <c r="AF45" s="10"/>
      <c r="AG45" s="10">
        <v>1265.9000000000001</v>
      </c>
      <c r="AH45" s="10">
        <v>1060.3</v>
      </c>
      <c r="AI45" s="10"/>
    </row>
    <row r="46" spans="2:52" x14ac:dyDescent="0.3">
      <c r="B46" t="s">
        <v>52</v>
      </c>
      <c r="AD46" s="10"/>
      <c r="AE46" s="10"/>
      <c r="AF46" s="10"/>
      <c r="AG46" s="10">
        <v>2732</v>
      </c>
      <c r="AH46" s="10">
        <v>2809.4</v>
      </c>
      <c r="AI46" s="10"/>
    </row>
    <row r="48" spans="2:52" x14ac:dyDescent="0.3">
      <c r="B48" t="s">
        <v>53</v>
      </c>
      <c r="AF48">
        <v>447.2</v>
      </c>
      <c r="AG48" s="10">
        <v>321.3</v>
      </c>
      <c r="AH48" s="10">
        <v>142.19999999999999</v>
      </c>
    </row>
    <row r="49" spans="2:36" x14ac:dyDescent="0.3">
      <c r="B49" t="s">
        <v>54</v>
      </c>
      <c r="AF49">
        <v>54.1</v>
      </c>
      <c r="AG49" s="10">
        <v>44.4</v>
      </c>
      <c r="AH49" s="10">
        <v>48</v>
      </c>
    </row>
    <row r="50" spans="2:36" x14ac:dyDescent="0.3">
      <c r="B50" t="s">
        <v>55</v>
      </c>
    </row>
    <row r="51" spans="2:36" x14ac:dyDescent="0.3">
      <c r="B51" t="s">
        <v>56</v>
      </c>
      <c r="AF51" s="10">
        <v>-33.299999999999997</v>
      </c>
      <c r="AG51" s="10">
        <v>-29.9</v>
      </c>
      <c r="AH51" s="10">
        <v>-41.1</v>
      </c>
      <c r="AI51" s="10"/>
      <c r="AJ51" s="10"/>
    </row>
    <row r="52" spans="2:36" x14ac:dyDescent="0.3">
      <c r="B52" t="s">
        <v>57</v>
      </c>
      <c r="AF52" s="10">
        <v>5.2</v>
      </c>
      <c r="AG52" s="10">
        <v>-17</v>
      </c>
      <c r="AH52" s="10">
        <v>6.5</v>
      </c>
      <c r="AI52" s="10"/>
      <c r="AJ52" s="10"/>
    </row>
    <row r="53" spans="2:36" x14ac:dyDescent="0.3">
      <c r="B53" t="s">
        <v>58</v>
      </c>
      <c r="AF53">
        <f>9.6-129.1-49.3+6.9+17.8-68.8-5.4</f>
        <v>-218.29999999999998</v>
      </c>
      <c r="AG53" s="10">
        <f>-9.1-68.4-12.4-1.1-9.6-53.6+31.1</f>
        <v>-123.1</v>
      </c>
      <c r="AH53" s="10">
        <f>-12.6+57.5-13.8-7.4-6.5+23.8+6.7</f>
        <v>47.7</v>
      </c>
      <c r="AI53" s="10"/>
      <c r="AJ53" s="10"/>
    </row>
    <row r="54" spans="2:36" x14ac:dyDescent="0.3">
      <c r="B54" t="s">
        <v>59</v>
      </c>
      <c r="AF54">
        <v>460.3</v>
      </c>
      <c r="AG54" s="10">
        <v>352.5</v>
      </c>
      <c r="AH54" s="10">
        <v>357.5</v>
      </c>
      <c r="AI54" s="10"/>
      <c r="AJ54" s="10"/>
    </row>
    <row r="55" spans="2:36" x14ac:dyDescent="0.3">
      <c r="B55" t="s">
        <v>72</v>
      </c>
      <c r="AF55" s="10">
        <f t="shared" ref="AF55:AG55" si="36">AF54+AF58</f>
        <v>303.89999999999998</v>
      </c>
      <c r="AG55" s="10">
        <f t="shared" si="36"/>
        <v>196.29999999999998</v>
      </c>
      <c r="AH55" s="10">
        <f>AH54+AH58</f>
        <v>222.7</v>
      </c>
      <c r="AI55" s="10"/>
      <c r="AJ55" s="10"/>
    </row>
    <row r="56" spans="2:36" x14ac:dyDescent="0.3">
      <c r="AF56" s="10"/>
      <c r="AG56" s="10"/>
      <c r="AH56" s="10"/>
      <c r="AI56" s="10"/>
      <c r="AJ56" s="10"/>
    </row>
    <row r="57" spans="2:36" x14ac:dyDescent="0.3">
      <c r="B57" t="s">
        <v>60</v>
      </c>
      <c r="AF57" s="10"/>
      <c r="AG57" s="10"/>
      <c r="AH57" s="10"/>
      <c r="AI57" s="10"/>
      <c r="AJ57" s="10"/>
    </row>
    <row r="58" spans="2:36" x14ac:dyDescent="0.3">
      <c r="B58" t="s">
        <v>61</v>
      </c>
      <c r="AF58" s="10">
        <f>-151.4-5</f>
        <v>-156.4</v>
      </c>
      <c r="AG58" s="10">
        <f>-156.4+0.2</f>
        <v>-156.20000000000002</v>
      </c>
      <c r="AH58" s="10">
        <f>-135+0.2</f>
        <v>-134.80000000000001</v>
      </c>
      <c r="AI58" s="10"/>
      <c r="AJ58" s="10"/>
    </row>
    <row r="59" spans="2:36" x14ac:dyDescent="0.3">
      <c r="B59" t="s">
        <v>62</v>
      </c>
      <c r="AF59" s="10"/>
      <c r="AG59" s="10"/>
      <c r="AH59" s="10"/>
      <c r="AI59" s="10"/>
      <c r="AJ59" s="10"/>
    </row>
    <row r="60" spans="2:36" x14ac:dyDescent="0.3">
      <c r="B60" t="s">
        <v>63</v>
      </c>
      <c r="AF60" s="10">
        <f>SUM(AF57:AF59)</f>
        <v>-156.4</v>
      </c>
      <c r="AG60" s="10">
        <f t="shared" ref="AG60:AH60" si="37">SUM(AG57:AG59)</f>
        <v>-156.20000000000002</v>
      </c>
      <c r="AH60" s="10">
        <f t="shared" si="37"/>
        <v>-134.80000000000001</v>
      </c>
      <c r="AI60" s="10"/>
      <c r="AJ60" s="10"/>
    </row>
    <row r="61" spans="2:36" x14ac:dyDescent="0.3">
      <c r="AF61" s="10"/>
      <c r="AG61" s="10"/>
      <c r="AH61" s="10"/>
      <c r="AI61" s="10"/>
      <c r="AJ61" s="10"/>
    </row>
    <row r="62" spans="2:36" x14ac:dyDescent="0.3">
      <c r="B62" t="s">
        <v>64</v>
      </c>
      <c r="AF62" s="10"/>
      <c r="AG62" s="10"/>
      <c r="AH62" s="10"/>
      <c r="AI62" s="10"/>
      <c r="AJ62" s="10"/>
    </row>
    <row r="63" spans="2:36" x14ac:dyDescent="0.3">
      <c r="B63" t="s">
        <v>65</v>
      </c>
      <c r="AF63" s="10"/>
      <c r="AG63" s="10"/>
      <c r="AH63" s="10"/>
      <c r="AI63" s="10"/>
      <c r="AJ63" s="10"/>
    </row>
    <row r="64" spans="2:36" x14ac:dyDescent="0.3">
      <c r="B64" t="s">
        <v>66</v>
      </c>
      <c r="AF64" s="10"/>
      <c r="AG64" s="10"/>
      <c r="AH64" s="10"/>
      <c r="AI64" s="10"/>
      <c r="AJ64" s="10"/>
    </row>
    <row r="65" spans="2:36" x14ac:dyDescent="0.3">
      <c r="B65" t="s">
        <v>67</v>
      </c>
      <c r="AF65" s="10">
        <v>-1011.3</v>
      </c>
      <c r="AG65" s="10">
        <v>-146.69999999999999</v>
      </c>
      <c r="AH65" s="10">
        <v>-11</v>
      </c>
      <c r="AI65" s="10"/>
      <c r="AJ65" s="10"/>
    </row>
    <row r="66" spans="2:36" x14ac:dyDescent="0.3">
      <c r="B66" t="s">
        <v>5</v>
      </c>
      <c r="AF66" s="10"/>
      <c r="AG66" s="10"/>
      <c r="AH66" s="10"/>
      <c r="AI66" s="10"/>
      <c r="AJ66" s="10"/>
    </row>
    <row r="67" spans="2:36" x14ac:dyDescent="0.3">
      <c r="B67" t="s">
        <v>68</v>
      </c>
      <c r="AF67" s="10"/>
      <c r="AG67" s="10"/>
      <c r="AH67" s="10"/>
      <c r="AI67" s="10"/>
      <c r="AJ67" s="10"/>
    </row>
    <row r="68" spans="2:36" x14ac:dyDescent="0.3">
      <c r="B68" t="s">
        <v>69</v>
      </c>
      <c r="AF68" s="10">
        <f>SUM(AF62:AF67)</f>
        <v>-1011.3</v>
      </c>
      <c r="AG68" s="10">
        <f t="shared" ref="AG68:AH68" si="38">SUM(AG62:AG67)</f>
        <v>-146.69999999999999</v>
      </c>
      <c r="AH68" s="10">
        <f t="shared" si="38"/>
        <v>-11</v>
      </c>
      <c r="AI68" s="10"/>
      <c r="AJ68" s="10"/>
    </row>
    <row r="69" spans="2:36" x14ac:dyDescent="0.3">
      <c r="B69" t="s">
        <v>70</v>
      </c>
      <c r="AF69" s="10">
        <f t="shared" ref="AF69:AG69" si="39">AF68+AF60+AF54</f>
        <v>-707.40000000000009</v>
      </c>
      <c r="AG69" s="10">
        <f t="shared" si="39"/>
        <v>49.600000000000023</v>
      </c>
      <c r="AH69" s="10">
        <f>AH68+AH60+AH54</f>
        <v>211.7</v>
      </c>
      <c r="AI69" s="10"/>
      <c r="AJ69" s="10"/>
    </row>
    <row r="70" spans="2:36" x14ac:dyDescent="0.3">
      <c r="AF70" s="10"/>
      <c r="AG70" s="10"/>
      <c r="AH70" s="10"/>
      <c r="AI70" s="10"/>
      <c r="AJ70" s="10"/>
    </row>
    <row r="71" spans="2:36" x14ac:dyDescent="0.3">
      <c r="B71" t="s">
        <v>71</v>
      </c>
      <c r="AF71" s="10">
        <f>(AF30/AF4)*90</f>
        <v>0</v>
      </c>
      <c r="AG71" s="10">
        <f>(AG30/AG4)*90</f>
        <v>1.220890016140189</v>
      </c>
      <c r="AH71" s="10">
        <f>(AH30/AH4)*90</f>
        <v>1.2593920176466533</v>
      </c>
      <c r="AI71" s="10"/>
      <c r="AJ71" s="10"/>
    </row>
    <row r="72" spans="2:36" x14ac:dyDescent="0.3">
      <c r="AF72" s="8"/>
      <c r="AG72" s="8"/>
      <c r="AH72" s="8"/>
      <c r="AI72" s="8"/>
      <c r="AJ72" s="8"/>
    </row>
    <row r="73" spans="2:36" x14ac:dyDescent="0.3">
      <c r="AF73" s="8"/>
      <c r="AG73" s="8"/>
      <c r="AH73" s="8"/>
      <c r="AI73" s="8"/>
      <c r="AJ73" s="8"/>
    </row>
    <row r="74" spans="2:36" x14ac:dyDescent="0.3">
      <c r="AF74" s="8"/>
      <c r="AG74" s="8"/>
      <c r="AH74" s="8"/>
      <c r="AI74" s="8"/>
      <c r="AJ74" s="8"/>
    </row>
    <row r="75" spans="2:36" x14ac:dyDescent="0.3">
      <c r="AF75" s="8"/>
      <c r="AG75" s="8"/>
      <c r="AH75" s="8"/>
      <c r="AI75" s="8"/>
      <c r="AJ75" s="8"/>
    </row>
    <row r="91" spans="47:49" x14ac:dyDescent="0.3">
      <c r="AW91">
        <v>652.51199999999994</v>
      </c>
    </row>
    <row r="92" spans="47:49" x14ac:dyDescent="0.3">
      <c r="AW92" t="s">
        <v>84</v>
      </c>
    </row>
    <row r="93" spans="47:49" x14ac:dyDescent="0.3">
      <c r="AU93" s="1"/>
      <c r="AV93" s="13">
        <v>352351.2</v>
      </c>
    </row>
    <row r="97" spans="48:48" x14ac:dyDescent="0.3">
      <c r="AV97">
        <v>500000</v>
      </c>
    </row>
    <row r="98" spans="48:48" x14ac:dyDescent="0.3">
      <c r="AV98" s="9">
        <v>500000.1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HLF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2024-04-04T22:54:22Z</dcterms:created>
  <dcterms:modified xsi:type="dcterms:W3CDTF">2024-06-05T01:30:20Z</dcterms:modified>
</cp:coreProperties>
</file>