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057fd7477d87051/Desktop/Kaupandi ehf/Greiningar/US/"/>
    </mc:Choice>
  </mc:AlternateContent>
  <xr:revisionPtr revIDLastSave="1251" documentId="8_{3AA902F2-61D1-4A01-A69B-53E7D4A638CC}" xr6:coauthVersionLast="47" xr6:coauthVersionMax="47" xr10:uidLastSave="{565F00E3-9931-4A54-8A4B-95ADC319B86D}"/>
  <bookViews>
    <workbookView xWindow="-108" yWindow="-108" windowWidth="30936" windowHeight="17496" activeTab="1" xr2:uid="{8AE3CAB9-1DDD-4C7A-BCF0-E281925CF4F9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0" i="1" l="1"/>
  <c r="Y42" i="1"/>
  <c r="AM35" i="1"/>
  <c r="AE9" i="1"/>
  <c r="AD9" i="1"/>
  <c r="AC9" i="1"/>
  <c r="AB9" i="1"/>
  <c r="AA9" i="1"/>
  <c r="S9" i="1"/>
  <c r="R9" i="1"/>
  <c r="Q9" i="1"/>
  <c r="AD30" i="1" l="1"/>
  <c r="AC30" i="1"/>
  <c r="AB30" i="1"/>
  <c r="AA30" i="1"/>
  <c r="Z30" i="1"/>
  <c r="Z22" i="1"/>
  <c r="Z21" i="1"/>
  <c r="R27" i="1"/>
  <c r="Q27" i="1"/>
  <c r="S27" i="1" s="1"/>
  <c r="Q23" i="1"/>
  <c r="Q20" i="1"/>
  <c r="Q19" i="1"/>
  <c r="V14" i="1"/>
  <c r="V16" i="1" s="1"/>
  <c r="U16" i="1"/>
  <c r="U9" i="1"/>
  <c r="U34" i="1" s="1"/>
  <c r="V9" i="1"/>
  <c r="W3" i="1"/>
  <c r="W56" i="1"/>
  <c r="V56" i="1"/>
  <c r="W49" i="1"/>
  <c r="V49" i="1"/>
  <c r="W48" i="1"/>
  <c r="V48" i="1"/>
  <c r="W76" i="1"/>
  <c r="V76" i="1"/>
  <c r="W66" i="1"/>
  <c r="W73" i="1" s="1"/>
  <c r="V66" i="1"/>
  <c r="V73" i="1" s="1"/>
  <c r="V55" i="1"/>
  <c r="W55" i="1"/>
  <c r="X76" i="1"/>
  <c r="X66" i="1"/>
  <c r="X73" i="1" s="1"/>
  <c r="X56" i="1"/>
  <c r="X55" i="1"/>
  <c r="X49" i="1"/>
  <c r="X48" i="1"/>
  <c r="Y76" i="1"/>
  <c r="Y66" i="1"/>
  <c r="Y73" i="1" s="1"/>
  <c r="Y56" i="1"/>
  <c r="Y55" i="1"/>
  <c r="Y49" i="1"/>
  <c r="Y81" i="1" s="1"/>
  <c r="Y48" i="1"/>
  <c r="X30" i="1"/>
  <c r="W30" i="1"/>
  <c r="AF30" i="1" s="1"/>
  <c r="X27" i="1"/>
  <c r="AA27" i="1" s="1"/>
  <c r="W27" i="1"/>
  <c r="Z27" i="1" s="1"/>
  <c r="X25" i="1"/>
  <c r="W25" i="1"/>
  <c r="X23" i="1"/>
  <c r="W23" i="1"/>
  <c r="X22" i="1"/>
  <c r="W22" i="1"/>
  <c r="AA22" i="1" s="1"/>
  <c r="X21" i="1"/>
  <c r="AB21" i="1" s="1"/>
  <c r="W21" i="1"/>
  <c r="AA21" i="1" s="1"/>
  <c r="X20" i="1"/>
  <c r="W20" i="1"/>
  <c r="X19" i="1"/>
  <c r="W19" i="1"/>
  <c r="X17" i="1"/>
  <c r="W17" i="1"/>
  <c r="X15" i="1"/>
  <c r="W15" i="1"/>
  <c r="X14" i="1"/>
  <c r="W14" i="1"/>
  <c r="X13" i="1"/>
  <c r="W13" i="1"/>
  <c r="X12" i="1"/>
  <c r="W12" i="1"/>
  <c r="X11" i="1"/>
  <c r="W11" i="1"/>
  <c r="X10" i="1"/>
  <c r="W10" i="1"/>
  <c r="X8" i="1"/>
  <c r="W8" i="1"/>
  <c r="X7" i="1"/>
  <c r="W7" i="1"/>
  <c r="X6" i="1"/>
  <c r="W6" i="1"/>
  <c r="X5" i="1"/>
  <c r="W5" i="1"/>
  <c r="X4" i="1"/>
  <c r="W4" i="1"/>
  <c r="X3" i="1"/>
  <c r="Y30" i="1"/>
  <c r="Y27" i="1"/>
  <c r="Y25" i="1"/>
  <c r="Y23" i="1"/>
  <c r="Y22" i="1"/>
  <c r="Y21" i="1"/>
  <c r="AC21" i="1" s="1"/>
  <c r="Y20" i="1"/>
  <c r="Y19" i="1"/>
  <c r="Y17" i="1"/>
  <c r="Y15" i="1"/>
  <c r="Y14" i="1"/>
  <c r="Y13" i="1"/>
  <c r="Y12" i="1"/>
  <c r="Y11" i="1"/>
  <c r="Y10" i="1"/>
  <c r="Y8" i="1"/>
  <c r="Y7" i="1"/>
  <c r="Y6" i="1"/>
  <c r="Y5" i="1"/>
  <c r="Y4" i="1"/>
  <c r="Y3" i="1"/>
  <c r="AG30" i="1" l="1"/>
  <c r="AD21" i="1"/>
  <c r="AB22" i="1"/>
  <c r="AC22" i="1" s="1"/>
  <c r="Z23" i="1"/>
  <c r="AA23" i="1" s="1"/>
  <c r="AB27" i="1"/>
  <c r="AC27" i="1" s="1"/>
  <c r="AD27" i="1" s="1"/>
  <c r="AE27" i="1" s="1"/>
  <c r="AF27" i="1" s="1"/>
  <c r="AG27" i="1" s="1"/>
  <c r="AH27" i="1" s="1"/>
  <c r="AI27" i="1" s="1"/>
  <c r="AJ27" i="1" s="1"/>
  <c r="V39" i="1"/>
  <c r="R19" i="1"/>
  <c r="S19" i="1" s="1"/>
  <c r="R20" i="1"/>
  <c r="S20" i="1" s="1"/>
  <c r="R23" i="1"/>
  <c r="S23" i="1" s="1"/>
  <c r="AJ30" i="1"/>
  <c r="AE30" i="1"/>
  <c r="AH30" i="1"/>
  <c r="AI30" i="1"/>
  <c r="W61" i="1"/>
  <c r="W82" i="1" s="1"/>
  <c r="W81" i="1"/>
  <c r="Y61" i="1"/>
  <c r="Y82" i="1" s="1"/>
  <c r="X81" i="1"/>
  <c r="V81" i="1"/>
  <c r="U18" i="1"/>
  <c r="V34" i="1"/>
  <c r="V61" i="1"/>
  <c r="V82" i="1" s="1"/>
  <c r="Y16" i="1"/>
  <c r="Y47" i="1"/>
  <c r="W9" i="1"/>
  <c r="W39" i="1" s="1"/>
  <c r="X47" i="1"/>
  <c r="Y9" i="1"/>
  <c r="X61" i="1"/>
  <c r="X82" i="1" s="1"/>
  <c r="X9" i="1"/>
  <c r="Y77" i="1"/>
  <c r="V18" i="1"/>
  <c r="W34" i="1"/>
  <c r="W47" i="1"/>
  <c r="V47" i="1"/>
  <c r="W77" i="1"/>
  <c r="V77" i="1"/>
  <c r="X77" i="1"/>
  <c r="AB23" i="1" l="1"/>
  <c r="AC23" i="1"/>
  <c r="AD22" i="1"/>
  <c r="AE22" i="1" s="1"/>
  <c r="AF21" i="1"/>
  <c r="AE21" i="1"/>
  <c r="AG21" i="1" s="1"/>
  <c r="Z19" i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Z20" i="1"/>
  <c r="U35" i="1"/>
  <c r="U24" i="1"/>
  <c r="Y39" i="1"/>
  <c r="X39" i="1"/>
  <c r="Y18" i="1"/>
  <c r="Y34" i="1"/>
  <c r="V44" i="1"/>
  <c r="V24" i="1"/>
  <c r="V35" i="1"/>
  <c r="X34" i="1"/>
  <c r="H49" i="1"/>
  <c r="H48" i="1"/>
  <c r="H56" i="1"/>
  <c r="H76" i="1"/>
  <c r="H66" i="1"/>
  <c r="H73" i="1" s="1"/>
  <c r="H55" i="1"/>
  <c r="I56" i="1"/>
  <c r="J56" i="1"/>
  <c r="K56" i="1"/>
  <c r="L56" i="1"/>
  <c r="M56" i="1"/>
  <c r="N56" i="1"/>
  <c r="C14" i="1"/>
  <c r="C9" i="1"/>
  <c r="D16" i="1"/>
  <c r="D9" i="1"/>
  <c r="D34" i="1" s="1"/>
  <c r="E16" i="1"/>
  <c r="E9" i="1"/>
  <c r="E34" i="1" s="1"/>
  <c r="F16" i="1"/>
  <c r="F9" i="1"/>
  <c r="F34" i="1" s="1"/>
  <c r="G16" i="1"/>
  <c r="G9" i="1"/>
  <c r="H16" i="1"/>
  <c r="H9" i="1"/>
  <c r="H34" i="1" s="1"/>
  <c r="I16" i="1"/>
  <c r="I9" i="1"/>
  <c r="I34" i="1" s="1"/>
  <c r="M16" i="1"/>
  <c r="M9" i="1"/>
  <c r="K16" i="1"/>
  <c r="K9" i="1"/>
  <c r="K39" i="1" s="1"/>
  <c r="O16" i="1"/>
  <c r="O9" i="1"/>
  <c r="L16" i="1"/>
  <c r="L9" i="1"/>
  <c r="L34" i="1" s="1"/>
  <c r="O49" i="1"/>
  <c r="O81" i="1" s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P49" i="1"/>
  <c r="P48" i="1"/>
  <c r="N76" i="1"/>
  <c r="M76" i="1"/>
  <c r="L76" i="1"/>
  <c r="K76" i="1"/>
  <c r="J76" i="1"/>
  <c r="I76" i="1"/>
  <c r="O76" i="1"/>
  <c r="P76" i="1"/>
  <c r="O56" i="1"/>
  <c r="L66" i="1"/>
  <c r="L73" i="1" s="1"/>
  <c r="K66" i="1"/>
  <c r="K73" i="1" s="1"/>
  <c r="J66" i="1"/>
  <c r="J73" i="1" s="1"/>
  <c r="I66" i="1"/>
  <c r="I73" i="1" s="1"/>
  <c r="L55" i="1"/>
  <c r="K55" i="1"/>
  <c r="J55" i="1"/>
  <c r="I55" i="1"/>
  <c r="O66" i="1"/>
  <c r="O73" i="1" s="1"/>
  <c r="N66" i="1"/>
  <c r="N73" i="1" s="1"/>
  <c r="M66" i="1"/>
  <c r="M73" i="1" s="1"/>
  <c r="M55" i="1"/>
  <c r="N55" i="1"/>
  <c r="O55" i="1"/>
  <c r="P66" i="1"/>
  <c r="P73" i="1" s="1"/>
  <c r="P56" i="1"/>
  <c r="P55" i="1"/>
  <c r="J16" i="1"/>
  <c r="J9" i="1"/>
  <c r="N16" i="1"/>
  <c r="N9" i="1"/>
  <c r="P16" i="1"/>
  <c r="P9" i="1"/>
  <c r="L6" i="2"/>
  <c r="L5" i="2"/>
  <c r="L8" i="2" s="1"/>
  <c r="L4" i="2"/>
  <c r="AF22" i="1" l="1"/>
  <c r="AG22" i="1"/>
  <c r="R34" i="1"/>
  <c r="R16" i="1"/>
  <c r="R18" i="1" s="1"/>
  <c r="R39" i="1"/>
  <c r="AD23" i="1"/>
  <c r="AG23" i="1"/>
  <c r="AF23" i="1"/>
  <c r="AA20" i="1"/>
  <c r="AE23" i="1"/>
  <c r="AH21" i="1"/>
  <c r="AH22" i="1"/>
  <c r="AI22" i="1" s="1"/>
  <c r="U37" i="1"/>
  <c r="U26" i="1"/>
  <c r="U28" i="1" s="1"/>
  <c r="L61" i="1"/>
  <c r="L82" i="1" s="1"/>
  <c r="M61" i="1"/>
  <c r="M82" i="1" s="1"/>
  <c r="M39" i="1"/>
  <c r="Z9" i="1"/>
  <c r="X16" i="1"/>
  <c r="X18" i="1" s="1"/>
  <c r="W16" i="1"/>
  <c r="W18" i="1" s="1"/>
  <c r="Y44" i="1"/>
  <c r="Y35" i="1"/>
  <c r="V26" i="1"/>
  <c r="V28" i="1" s="1"/>
  <c r="V37" i="1"/>
  <c r="V80" i="1" s="1"/>
  <c r="C34" i="1"/>
  <c r="I81" i="1"/>
  <c r="K81" i="1"/>
  <c r="N61" i="1"/>
  <c r="N82" i="1" s="1"/>
  <c r="J81" i="1"/>
  <c r="H47" i="1"/>
  <c r="P81" i="1"/>
  <c r="H81" i="1"/>
  <c r="J40" i="1"/>
  <c r="L81" i="1"/>
  <c r="M81" i="1"/>
  <c r="N81" i="1"/>
  <c r="N39" i="1"/>
  <c r="O39" i="1"/>
  <c r="G40" i="1"/>
  <c r="C16" i="1"/>
  <c r="C18" i="1" s="1"/>
  <c r="J34" i="1"/>
  <c r="L40" i="1"/>
  <c r="H61" i="1"/>
  <c r="H82" i="1" s="1"/>
  <c r="K40" i="1"/>
  <c r="K34" i="1"/>
  <c r="M40" i="1"/>
  <c r="M34" i="1"/>
  <c r="P40" i="1"/>
  <c r="N34" i="1"/>
  <c r="I40" i="1"/>
  <c r="I39" i="1"/>
  <c r="D40" i="1"/>
  <c r="E40" i="1"/>
  <c r="G18" i="1"/>
  <c r="J39" i="1"/>
  <c r="F40" i="1"/>
  <c r="N40" i="1"/>
  <c r="H40" i="1"/>
  <c r="I61" i="1"/>
  <c r="I82" i="1" s="1"/>
  <c r="O47" i="1"/>
  <c r="P34" i="1"/>
  <c r="G34" i="1"/>
  <c r="O34" i="1"/>
  <c r="P39" i="1"/>
  <c r="H39" i="1"/>
  <c r="L39" i="1"/>
  <c r="O40" i="1"/>
  <c r="G39" i="1"/>
  <c r="H77" i="1"/>
  <c r="J61" i="1"/>
  <c r="J82" i="1" s="1"/>
  <c r="J47" i="1"/>
  <c r="K77" i="1"/>
  <c r="K61" i="1"/>
  <c r="K82" i="1" s="1"/>
  <c r="L47" i="1"/>
  <c r="M47" i="1"/>
  <c r="N47" i="1"/>
  <c r="I77" i="1"/>
  <c r="P18" i="1"/>
  <c r="P47" i="1"/>
  <c r="P77" i="1"/>
  <c r="P61" i="1"/>
  <c r="P82" i="1" s="1"/>
  <c r="N77" i="1"/>
  <c r="H18" i="1"/>
  <c r="H44" i="1" s="1"/>
  <c r="J77" i="1"/>
  <c r="D18" i="1"/>
  <c r="E18" i="1"/>
  <c r="F18" i="1"/>
  <c r="I18" i="1"/>
  <c r="M18" i="1"/>
  <c r="K18" i="1"/>
  <c r="M77" i="1"/>
  <c r="O77" i="1"/>
  <c r="K47" i="1"/>
  <c r="I47" i="1"/>
  <c r="L77" i="1"/>
  <c r="O18" i="1"/>
  <c r="L18" i="1"/>
  <c r="L44" i="1" s="1"/>
  <c r="O61" i="1"/>
  <c r="O82" i="1" s="1"/>
  <c r="N18" i="1"/>
  <c r="J18" i="1"/>
  <c r="L7" i="2"/>
  <c r="Z39" i="1" l="1"/>
  <c r="Z34" i="1"/>
  <c r="AC20" i="1"/>
  <c r="AB20" i="1"/>
  <c r="AD20" i="1" s="1"/>
  <c r="R24" i="1"/>
  <c r="R35" i="1"/>
  <c r="M44" i="1"/>
  <c r="AH23" i="1"/>
  <c r="AI23" i="1" s="1"/>
  <c r="AJ23" i="1" s="1"/>
  <c r="S34" i="1"/>
  <c r="S40" i="1"/>
  <c r="S16" i="1"/>
  <c r="S39" i="1"/>
  <c r="S18" i="1"/>
  <c r="Q39" i="1"/>
  <c r="Q34" i="1"/>
  <c r="Q40" i="1"/>
  <c r="Q16" i="1"/>
  <c r="Z16" i="1" s="1"/>
  <c r="Z18" i="1" s="1"/>
  <c r="R40" i="1"/>
  <c r="AI21" i="1"/>
  <c r="AJ21" i="1" s="1"/>
  <c r="AJ22" i="1"/>
  <c r="K44" i="1"/>
  <c r="P44" i="1"/>
  <c r="U36" i="1"/>
  <c r="U29" i="1"/>
  <c r="N44" i="1"/>
  <c r="I44" i="1"/>
  <c r="V36" i="1"/>
  <c r="V42" i="1"/>
  <c r="V45" i="1"/>
  <c r="V29" i="1"/>
  <c r="J44" i="1"/>
  <c r="W35" i="1"/>
  <c r="W44" i="1"/>
  <c r="X35" i="1"/>
  <c r="X44" i="1"/>
  <c r="O44" i="1"/>
  <c r="P35" i="1"/>
  <c r="O24" i="1"/>
  <c r="O35" i="1"/>
  <c r="F24" i="1"/>
  <c r="F35" i="1"/>
  <c r="L24" i="1"/>
  <c r="L35" i="1"/>
  <c r="I24" i="1"/>
  <c r="I35" i="1"/>
  <c r="D24" i="1"/>
  <c r="D35" i="1"/>
  <c r="G24" i="1"/>
  <c r="G35" i="1"/>
  <c r="J24" i="1"/>
  <c r="J35" i="1"/>
  <c r="N24" i="1"/>
  <c r="N35" i="1"/>
  <c r="M24" i="1"/>
  <c r="M35" i="1"/>
  <c r="C24" i="1"/>
  <c r="C35" i="1"/>
  <c r="E24" i="1"/>
  <c r="E37" i="1" s="1"/>
  <c r="E35" i="1"/>
  <c r="K24" i="1"/>
  <c r="K35" i="1"/>
  <c r="H24" i="1"/>
  <c r="H35" i="1"/>
  <c r="P24" i="1"/>
  <c r="Z24" i="1" l="1"/>
  <c r="Z35" i="1"/>
  <c r="S24" i="1"/>
  <c r="S35" i="1"/>
  <c r="R25" i="1"/>
  <c r="R37" i="1" s="1"/>
  <c r="AF20" i="1"/>
  <c r="AG20" i="1"/>
  <c r="AH20" i="1" s="1"/>
  <c r="Q18" i="1"/>
  <c r="AE20" i="1"/>
  <c r="AA34" i="1"/>
  <c r="AA16" i="1"/>
  <c r="AA18" i="1" s="1"/>
  <c r="AA39" i="1"/>
  <c r="X24" i="1"/>
  <c r="X26" i="1" s="1"/>
  <c r="D37" i="1"/>
  <c r="W24" i="1"/>
  <c r="Y24" i="1"/>
  <c r="D26" i="1"/>
  <c r="D28" i="1" s="1"/>
  <c r="D36" i="1" s="1"/>
  <c r="E26" i="1"/>
  <c r="K26" i="1"/>
  <c r="K37" i="1"/>
  <c r="K80" i="1" s="1"/>
  <c r="J26" i="1"/>
  <c r="J37" i="1"/>
  <c r="J80" i="1" s="1"/>
  <c r="L26" i="1"/>
  <c r="L37" i="1"/>
  <c r="L80" i="1" s="1"/>
  <c r="P26" i="1"/>
  <c r="P28" i="1" s="1"/>
  <c r="P37" i="1"/>
  <c r="I26" i="1"/>
  <c r="I37" i="1"/>
  <c r="I80" i="1" s="1"/>
  <c r="F26" i="1"/>
  <c r="F37" i="1"/>
  <c r="N26" i="1"/>
  <c r="N28" i="1" s="1"/>
  <c r="N37" i="1"/>
  <c r="N80" i="1" s="1"/>
  <c r="C26" i="1"/>
  <c r="C28" i="1" s="1"/>
  <c r="C37" i="1"/>
  <c r="G37" i="1"/>
  <c r="G26" i="1"/>
  <c r="H26" i="1"/>
  <c r="H37" i="1"/>
  <c r="H80" i="1" s="1"/>
  <c r="M26" i="1"/>
  <c r="M37" i="1"/>
  <c r="M80" i="1" s="1"/>
  <c r="O26" i="1"/>
  <c r="O28" i="1" s="1"/>
  <c r="O37" i="1"/>
  <c r="O80" i="1" s="1"/>
  <c r="AB39" i="1" l="1"/>
  <c r="AB34" i="1"/>
  <c r="AB16" i="1"/>
  <c r="AB18" i="1" s="1"/>
  <c r="R26" i="1"/>
  <c r="R28" i="1" s="1"/>
  <c r="AA35" i="1"/>
  <c r="AA24" i="1"/>
  <c r="S25" i="1"/>
  <c r="S37" i="1" s="1"/>
  <c r="AI20" i="1"/>
  <c r="AJ20" i="1" s="1"/>
  <c r="Q24" i="1"/>
  <c r="Q25" i="1" s="1"/>
  <c r="Q35" i="1"/>
  <c r="Z25" i="1"/>
  <c r="Z37" i="1" s="1"/>
  <c r="X37" i="1"/>
  <c r="X80" i="1" s="1"/>
  <c r="P29" i="1"/>
  <c r="P36" i="1"/>
  <c r="Y26" i="1"/>
  <c r="Y37" i="1"/>
  <c r="Y80" i="1" s="1"/>
  <c r="W26" i="1"/>
  <c r="W37" i="1"/>
  <c r="W80" i="1" s="1"/>
  <c r="D29" i="1"/>
  <c r="L28" i="1"/>
  <c r="L36" i="1" s="1"/>
  <c r="O45" i="1"/>
  <c r="G28" i="1"/>
  <c r="G29" i="1" s="1"/>
  <c r="J45" i="1"/>
  <c r="F28" i="1"/>
  <c r="F29" i="1" s="1"/>
  <c r="I45" i="1"/>
  <c r="J28" i="1"/>
  <c r="M45" i="1"/>
  <c r="M28" i="1"/>
  <c r="P42" i="1" s="1"/>
  <c r="P45" i="1"/>
  <c r="I28" i="1"/>
  <c r="I29" i="1" s="1"/>
  <c r="L45" i="1"/>
  <c r="K28" i="1"/>
  <c r="K29" i="1" s="1"/>
  <c r="N45" i="1"/>
  <c r="E28" i="1"/>
  <c r="H45" i="1"/>
  <c r="H28" i="1"/>
  <c r="K45" i="1"/>
  <c r="N29" i="1"/>
  <c r="N36" i="1"/>
  <c r="O29" i="1"/>
  <c r="O36" i="1"/>
  <c r="M29" i="1"/>
  <c r="C29" i="1"/>
  <c r="C36" i="1"/>
  <c r="Z26" i="1" l="1"/>
  <c r="Z28" i="1"/>
  <c r="Z36" i="1" s="1"/>
  <c r="AB24" i="1"/>
  <c r="AB25" i="1" s="1"/>
  <c r="AB35" i="1"/>
  <c r="AA25" i="1"/>
  <c r="AA37" i="1" s="1"/>
  <c r="AC34" i="1"/>
  <c r="AC16" i="1"/>
  <c r="AC18" i="1" s="1"/>
  <c r="AC39" i="1"/>
  <c r="Q26" i="1"/>
  <c r="Q28" i="1" s="1"/>
  <c r="Q37" i="1"/>
  <c r="Z29" i="1"/>
  <c r="R36" i="1"/>
  <c r="R29" i="1"/>
  <c r="S26" i="1"/>
  <c r="S28" i="1" s="1"/>
  <c r="I36" i="1"/>
  <c r="L29" i="1"/>
  <c r="W28" i="1"/>
  <c r="W45" i="1" s="1"/>
  <c r="W36" i="1"/>
  <c r="X28" i="1"/>
  <c r="Y28" i="1"/>
  <c r="G36" i="1"/>
  <c r="M42" i="1"/>
  <c r="F36" i="1"/>
  <c r="K36" i="1"/>
  <c r="J29" i="1"/>
  <c r="K42" i="1"/>
  <c r="L42" i="1"/>
  <c r="I42" i="1"/>
  <c r="H36" i="1"/>
  <c r="J42" i="1"/>
  <c r="H42" i="1"/>
  <c r="E29" i="1"/>
  <c r="W29" i="1" s="1"/>
  <c r="E36" i="1"/>
  <c r="H29" i="1"/>
  <c r="M36" i="1"/>
  <c r="J36" i="1"/>
  <c r="N42" i="1"/>
  <c r="O42" i="1"/>
  <c r="AC35" i="1" l="1"/>
  <c r="AC24" i="1"/>
  <c r="AC25" i="1" s="1"/>
  <c r="W42" i="1"/>
  <c r="AD39" i="1"/>
  <c r="AD34" i="1"/>
  <c r="AD16" i="1"/>
  <c r="AD18" i="1" s="1"/>
  <c r="AA26" i="1"/>
  <c r="Q29" i="1"/>
  <c r="Q36" i="1"/>
  <c r="X29" i="1"/>
  <c r="S29" i="1"/>
  <c r="S36" i="1"/>
  <c r="AB26" i="1"/>
  <c r="AB28" i="1" s="1"/>
  <c r="AB37" i="1"/>
  <c r="Y29" i="1"/>
  <c r="Y36" i="1"/>
  <c r="Y45" i="1"/>
  <c r="X42" i="1"/>
  <c r="X45" i="1"/>
  <c r="X36" i="1"/>
  <c r="AA28" i="1" l="1"/>
  <c r="AA29" i="1" s="1"/>
  <c r="AD35" i="1"/>
  <c r="AD24" i="1"/>
  <c r="AD25" i="1" s="1"/>
  <c r="AF9" i="1"/>
  <c r="AE39" i="1"/>
  <c r="AE34" i="1"/>
  <c r="AE16" i="1"/>
  <c r="AE18" i="1" s="1"/>
  <c r="AC26" i="1"/>
  <c r="AC28" i="1" s="1"/>
  <c r="AC37" i="1"/>
  <c r="AB29" i="1"/>
  <c r="AB36" i="1"/>
  <c r="AA36" i="1" l="1"/>
  <c r="AE35" i="1"/>
  <c r="AE24" i="1"/>
  <c r="AE25" i="1" s="1"/>
  <c r="AC29" i="1"/>
  <c r="AC36" i="1"/>
  <c r="AG9" i="1"/>
  <c r="AF39" i="1"/>
  <c r="AF34" i="1"/>
  <c r="AF16" i="1"/>
  <c r="AF18" i="1" s="1"/>
  <c r="AD26" i="1"/>
  <c r="AD37" i="1"/>
  <c r="AD28" i="1" l="1"/>
  <c r="AD29" i="1" s="1"/>
  <c r="AF35" i="1"/>
  <c r="AF24" i="1"/>
  <c r="AF25" i="1" s="1"/>
  <c r="AH9" i="1"/>
  <c r="AG39" i="1"/>
  <c r="AG34" i="1"/>
  <c r="AG16" i="1"/>
  <c r="AG18" i="1" s="1"/>
  <c r="AE26" i="1"/>
  <c r="AE28" i="1" s="1"/>
  <c r="AE37" i="1"/>
  <c r="AD36" i="1" l="1"/>
  <c r="AG35" i="1"/>
  <c r="AG24" i="1"/>
  <c r="AG25" i="1" s="1"/>
  <c r="AE29" i="1"/>
  <c r="AE36" i="1"/>
  <c r="AF26" i="1"/>
  <c r="AF28" i="1" s="1"/>
  <c r="AF37" i="1"/>
  <c r="AI9" i="1"/>
  <c r="AH39" i="1"/>
  <c r="AH34" i="1"/>
  <c r="AH16" i="1"/>
  <c r="AH18" i="1" s="1"/>
  <c r="AI39" i="1" l="1"/>
  <c r="AI34" i="1"/>
  <c r="AI16" i="1"/>
  <c r="AI18" i="1" s="1"/>
  <c r="AJ9" i="1"/>
  <c r="AH35" i="1"/>
  <c r="AH24" i="1"/>
  <c r="AH25" i="1" s="1"/>
  <c r="AG26" i="1"/>
  <c r="AG37" i="1"/>
  <c r="AF29" i="1"/>
  <c r="AF36" i="1"/>
  <c r="AG28" i="1" l="1"/>
  <c r="AI35" i="1"/>
  <c r="AI24" i="1"/>
  <c r="AI25" i="1" s="1"/>
  <c r="AH26" i="1"/>
  <c r="AH28" i="1" s="1"/>
  <c r="AH37" i="1"/>
  <c r="AJ39" i="1"/>
  <c r="AJ16" i="1"/>
  <c r="AJ18" i="1" s="1"/>
  <c r="AJ34" i="1"/>
  <c r="AG29" i="1"/>
  <c r="AG36" i="1"/>
  <c r="AJ35" i="1" l="1"/>
  <c r="AJ24" i="1"/>
  <c r="AJ25" i="1" s="1"/>
  <c r="AI26" i="1"/>
  <c r="AI28" i="1" s="1"/>
  <c r="AI37" i="1"/>
  <c r="AH29" i="1"/>
  <c r="AH36" i="1"/>
  <c r="AI29" i="1" l="1"/>
  <c r="AI36" i="1"/>
  <c r="AJ26" i="1"/>
  <c r="AJ37" i="1"/>
  <c r="AJ28" i="1" l="1"/>
  <c r="AJ29" i="1" s="1"/>
  <c r="AK26" i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AM31" i="1" s="1"/>
  <c r="AM33" i="1" s="1"/>
  <c r="AM34" i="1" s="1"/>
  <c r="AJ36" i="1" l="1"/>
</calcChain>
</file>

<file path=xl/sharedStrings.xml><?xml version="1.0" encoding="utf-8"?>
<sst xmlns="http://schemas.openxmlformats.org/spreadsheetml/2006/main" count="145" uniqueCount="122">
  <si>
    <t>Price</t>
  </si>
  <si>
    <t>Shares</t>
  </si>
  <si>
    <t>MC</t>
  </si>
  <si>
    <t>Cash</t>
  </si>
  <si>
    <t>Debt</t>
  </si>
  <si>
    <t>EV</t>
  </si>
  <si>
    <t>Net Cash</t>
  </si>
  <si>
    <t>CEO</t>
  </si>
  <si>
    <t>Q323</t>
  </si>
  <si>
    <t>Q423</t>
  </si>
  <si>
    <t>Q322</t>
  </si>
  <si>
    <t>Q422</t>
  </si>
  <si>
    <t>Q123</t>
  </si>
  <si>
    <t>Q223</t>
  </si>
  <si>
    <t>Q122</t>
  </si>
  <si>
    <t>Q222</t>
  </si>
  <si>
    <t>Main</t>
  </si>
  <si>
    <t/>
  </si>
  <si>
    <t>Model</t>
  </si>
  <si>
    <t>Q121</t>
  </si>
  <si>
    <t>Q221</t>
  </si>
  <si>
    <t>Q321</t>
  </si>
  <si>
    <t>Q421</t>
  </si>
  <si>
    <t>Q420</t>
  </si>
  <si>
    <t>Q124</t>
  </si>
  <si>
    <t>Q224</t>
  </si>
  <si>
    <t>Q324</t>
  </si>
  <si>
    <t>Q424</t>
  </si>
  <si>
    <t>HLT</t>
  </si>
  <si>
    <t>HILTON WORLDWIDE HOLDINGS</t>
  </si>
  <si>
    <t>Christopher J. Nassetta</t>
  </si>
  <si>
    <t>Executives</t>
  </si>
  <si>
    <t>Name</t>
  </si>
  <si>
    <t>Role</t>
  </si>
  <si>
    <t>Jonathan D. Gray</t>
  </si>
  <si>
    <t>Charlene T. Begley</t>
  </si>
  <si>
    <t>Chris Carr</t>
  </si>
  <si>
    <t>Melanie L. Healey</t>
  </si>
  <si>
    <t>Raymond E. Mabus, Jr.</t>
  </si>
  <si>
    <t>Judith A McHale</t>
  </si>
  <si>
    <t>Elizabeth A. Smith</t>
  </si>
  <si>
    <t>Douglas M. Steenland</t>
  </si>
  <si>
    <t>Kevin J. Jacobs</t>
  </si>
  <si>
    <t>Michael W. Duffy</t>
  </si>
  <si>
    <t>CEO and Director</t>
  </si>
  <si>
    <t>Chairman</t>
  </si>
  <si>
    <t>Director</t>
  </si>
  <si>
    <t>CFO and President</t>
  </si>
  <si>
    <t>CAO</t>
  </si>
  <si>
    <t>Franchise and licensing fees</t>
  </si>
  <si>
    <t>Base and other management fees</t>
  </si>
  <si>
    <t>Incentive management fees</t>
  </si>
  <si>
    <t>Owned and leased hotels</t>
  </si>
  <si>
    <t>Other revenue</t>
  </si>
  <si>
    <t>Other revenues from managed and franchised properties</t>
  </si>
  <si>
    <t>Revenue</t>
  </si>
  <si>
    <t>D&amp;A</t>
  </si>
  <si>
    <t>G&amp;A</t>
  </si>
  <si>
    <t>Other expenses</t>
  </si>
  <si>
    <t>Other expenses from managed and franchised properties</t>
  </si>
  <si>
    <t>Operating expenses</t>
  </si>
  <si>
    <t>Operating income</t>
  </si>
  <si>
    <t>Interest expense</t>
  </si>
  <si>
    <t>Gain (loss) on currency transactions</t>
  </si>
  <si>
    <t>Loss on investments in affiliate</t>
  </si>
  <si>
    <t>Other non-operating income</t>
  </si>
  <si>
    <t>Pretax</t>
  </si>
  <si>
    <t>Taxes</t>
  </si>
  <si>
    <t>Net income</t>
  </si>
  <si>
    <t>EPS</t>
  </si>
  <si>
    <t>Non-controlling interest</t>
  </si>
  <si>
    <t>Hilton stockholders</t>
  </si>
  <si>
    <t>Dividend per share</t>
  </si>
  <si>
    <t>Gain on sale of assets</t>
  </si>
  <si>
    <t>Restricted cash</t>
  </si>
  <si>
    <t>A/R</t>
  </si>
  <si>
    <t>Prepaids</t>
  </si>
  <si>
    <t>other</t>
  </si>
  <si>
    <t>Current assets</t>
  </si>
  <si>
    <t>Intangibles + Goodwill</t>
  </si>
  <si>
    <t>Leases</t>
  </si>
  <si>
    <t>P&amp;E</t>
  </si>
  <si>
    <t>Deferred Tax</t>
  </si>
  <si>
    <t>Other</t>
  </si>
  <si>
    <t>Assets</t>
  </si>
  <si>
    <t>Net debt</t>
  </si>
  <si>
    <t>A/P</t>
  </si>
  <si>
    <t>Current maturities long-term debt</t>
  </si>
  <si>
    <t>Current portion of deferred revenue</t>
  </si>
  <si>
    <t>Current portion of liability for guest loyalty program</t>
  </si>
  <si>
    <t>Current liabilities</t>
  </si>
  <si>
    <t>Long-term debt</t>
  </si>
  <si>
    <t xml:space="preserve">Leases </t>
  </si>
  <si>
    <t>DT</t>
  </si>
  <si>
    <t>DR</t>
  </si>
  <si>
    <t>Liability for guest loyalty program</t>
  </si>
  <si>
    <t>Liabilities</t>
  </si>
  <si>
    <t>Hilton stockholder's deficit</t>
  </si>
  <si>
    <t>L+SE</t>
  </si>
  <si>
    <t>Total deficit</t>
  </si>
  <si>
    <t>Impairment losses</t>
  </si>
  <si>
    <t>Loss on debt extinguishment</t>
  </si>
  <si>
    <t>Gross Margin %</t>
  </si>
  <si>
    <t>Operating Margin %</t>
  </si>
  <si>
    <t>Net Margin %</t>
  </si>
  <si>
    <t>Tax Rate %</t>
  </si>
  <si>
    <t>Revenue Y/Y</t>
  </si>
  <si>
    <t>Revenue Q/Q</t>
  </si>
  <si>
    <t>ROA</t>
  </si>
  <si>
    <t>ROE</t>
  </si>
  <si>
    <t>NOPAT</t>
  </si>
  <si>
    <t>Invested Capital</t>
  </si>
  <si>
    <t>ROIC</t>
  </si>
  <si>
    <t>n/a</t>
  </si>
  <si>
    <t>ROCE</t>
  </si>
  <si>
    <t>Capital Employed</t>
  </si>
  <si>
    <t>Maturity</t>
  </si>
  <si>
    <t>Discount</t>
  </si>
  <si>
    <t>NPV</t>
  </si>
  <si>
    <t>Value</t>
  </si>
  <si>
    <t>Per Share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</si>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</sst>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kr&quot;;[Red]\-#,##0\ &quot;kr&quot;"/>
    <numFmt numFmtId="164" formatCode="0.0%"/>
  </numFmts>
  <fonts count="12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8"/>
      <color theme="1"/>
      <name val="Times New Roman"/>
      <family val="1"/>
    </font>
    <font>
      <b/>
      <u/>
      <sz val="14"/>
      <color theme="10"/>
      <name val="Aptos Narrow"/>
      <family val="2"/>
      <scheme val="minor"/>
    </font>
    <font>
      <b/>
      <u/>
      <sz val="16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3" fontId="0" fillId="0" borderId="1" xfId="0" applyNumberFormat="1" applyBorder="1"/>
    <xf numFmtId="3" fontId="0" fillId="0" borderId="0" xfId="0" applyNumberFormat="1"/>
    <xf numFmtId="2" fontId="0" fillId="0" borderId="1" xfId="0" applyNumberFormat="1" applyBorder="1"/>
    <xf numFmtId="0" fontId="0" fillId="0" borderId="0" xfId="0" quotePrefix="1"/>
    <xf numFmtId="3" fontId="0" fillId="2" borderId="0" xfId="0" applyNumberFormat="1" applyFill="1"/>
    <xf numFmtId="0" fontId="0" fillId="2" borderId="0" xfId="0" applyFill="1"/>
    <xf numFmtId="0" fontId="7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3" fillId="2" borderId="0" xfId="0" applyFont="1" applyFill="1" applyAlignment="1">
      <alignment horizontal="right"/>
    </xf>
    <xf numFmtId="0" fontId="10" fillId="0" borderId="0" xfId="0" applyFont="1"/>
    <xf numFmtId="0" fontId="9" fillId="0" borderId="1" xfId="0" applyFont="1" applyBorder="1" applyAlignment="1">
      <alignment horizontal="center"/>
    </xf>
    <xf numFmtId="3" fontId="9" fillId="2" borderId="2" xfId="0" applyNumberFormat="1" applyFont="1" applyFill="1" applyBorder="1"/>
    <xf numFmtId="3" fontId="9" fillId="0" borderId="2" xfId="0" applyNumberFormat="1" applyFont="1" applyBorder="1"/>
    <xf numFmtId="0" fontId="9" fillId="2" borderId="0" xfId="0" applyFont="1" applyFill="1"/>
    <xf numFmtId="0" fontId="9" fillId="0" borderId="0" xfId="0" applyFont="1"/>
    <xf numFmtId="0" fontId="9" fillId="2" borderId="2" xfId="0" applyFont="1" applyFill="1" applyBorder="1"/>
    <xf numFmtId="0" fontId="9" fillId="0" borderId="2" xfId="0" applyFont="1" applyBorder="1"/>
    <xf numFmtId="2" fontId="9" fillId="0" borderId="0" xfId="0" applyNumberFormat="1" applyFont="1"/>
    <xf numFmtId="0" fontId="0" fillId="2" borderId="3" xfId="0" applyFill="1" applyBorder="1"/>
    <xf numFmtId="0" fontId="0" fillId="0" borderId="3" xfId="0" applyBorder="1"/>
    <xf numFmtId="3" fontId="0" fillId="0" borderId="2" xfId="0" applyNumberFormat="1" applyBorder="1"/>
    <xf numFmtId="3" fontId="0" fillId="0" borderId="3" xfId="0" applyNumberFormat="1" applyBorder="1"/>
    <xf numFmtId="0" fontId="0" fillId="2" borderId="2" xfId="0" applyFill="1" applyBorder="1"/>
    <xf numFmtId="0" fontId="0" fillId="0" borderId="2" xfId="0" applyBorder="1"/>
    <xf numFmtId="0" fontId="11" fillId="2" borderId="4" xfId="0" applyFont="1" applyFill="1" applyBorder="1"/>
    <xf numFmtId="0" fontId="11" fillId="0" borderId="4" xfId="0" applyFont="1" applyBorder="1"/>
    <xf numFmtId="0" fontId="11" fillId="2" borderId="0" xfId="0" applyFont="1" applyFill="1"/>
    <xf numFmtId="0" fontId="11" fillId="0" borderId="0" xfId="0" applyFont="1"/>
    <xf numFmtId="0" fontId="11" fillId="2" borderId="5" xfId="0" applyFont="1" applyFill="1" applyBorder="1"/>
    <xf numFmtId="0" fontId="11" fillId="0" borderId="5" xfId="0" applyFont="1" applyBorder="1"/>
    <xf numFmtId="9" fontId="11" fillId="0" borderId="4" xfId="0" applyNumberFormat="1" applyFont="1" applyBorder="1"/>
    <xf numFmtId="9" fontId="11" fillId="0" borderId="0" xfId="0" applyNumberFormat="1" applyFont="1"/>
    <xf numFmtId="9" fontId="11" fillId="0" borderId="5" xfId="0" applyNumberFormat="1" applyFont="1" applyBorder="1"/>
    <xf numFmtId="1" fontId="0" fillId="0" borderId="0" xfId="0" applyNumberFormat="1"/>
    <xf numFmtId="0" fontId="11" fillId="3" borderId="4" xfId="0" applyFont="1" applyFill="1" applyBorder="1"/>
    <xf numFmtId="9" fontId="11" fillId="3" borderId="4" xfId="0" applyNumberFormat="1" applyFont="1" applyFill="1" applyBorder="1"/>
    <xf numFmtId="0" fontId="11" fillId="3" borderId="0" xfId="0" applyFont="1" applyFill="1"/>
    <xf numFmtId="9" fontId="11" fillId="3" borderId="0" xfId="0" applyNumberFormat="1" applyFont="1" applyFill="1"/>
    <xf numFmtId="0" fontId="11" fillId="3" borderId="5" xfId="0" applyFont="1" applyFill="1" applyBorder="1"/>
    <xf numFmtId="9" fontId="11" fillId="3" borderId="5" xfId="0" applyNumberFormat="1" applyFont="1" applyFill="1" applyBorder="1"/>
    <xf numFmtId="9" fontId="11" fillId="3" borderId="0" xfId="0" applyNumberFormat="1" applyFont="1" applyFill="1" applyAlignment="1">
      <alignment horizontal="right"/>
    </xf>
    <xf numFmtId="4" fontId="9" fillId="0" borderId="0" xfId="0" applyNumberFormat="1" applyFont="1"/>
    <xf numFmtId="164" fontId="11" fillId="3" borderId="5" xfId="0" applyNumberFormat="1" applyFont="1" applyFill="1" applyBorder="1"/>
    <xf numFmtId="10" fontId="11" fillId="0" borderId="4" xfId="0" applyNumberFormat="1" applyFont="1" applyBorder="1"/>
    <xf numFmtId="9" fontId="9" fillId="0" borderId="0" xfId="2" applyFont="1"/>
    <xf numFmtId="1" fontId="9" fillId="0" borderId="2" xfId="0" applyNumberFormat="1" applyFont="1" applyBorder="1"/>
    <xf numFmtId="6" fontId="0" fillId="0" borderId="0" xfId="0" applyNumberFormat="1"/>
    <xf numFmtId="2" fontId="11" fillId="0" borderId="4" xfId="0" applyNumberFormat="1" applyFont="1" applyBorder="1"/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0</xdr:row>
      <xdr:rowOff>138845</xdr:rowOff>
    </xdr:from>
    <xdr:to>
      <xdr:col>16</xdr:col>
      <xdr:colOff>4762</xdr:colOff>
      <xdr:row>109</xdr:row>
      <xdr:rowOff>27140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29A2687-277A-04E5-52C5-F70521D5044F}"/>
            </a:ext>
          </a:extLst>
        </xdr:cNvPr>
        <xdr:cNvCxnSpPr/>
      </xdr:nvCxnSpPr>
      <xdr:spPr>
        <a:xfrm>
          <a:off x="11516824" y="138845"/>
          <a:ext cx="0" cy="1814698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</xdr:row>
      <xdr:rowOff>0</xdr:rowOff>
    </xdr:from>
    <xdr:to>
      <xdr:col>25</xdr:col>
      <xdr:colOff>0</xdr:colOff>
      <xdr:row>109</xdr:row>
      <xdr:rowOff>156309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87F4C14-02EA-478E-A306-3E5A0A7C5FA7}"/>
            </a:ext>
          </a:extLst>
        </xdr:cNvPr>
        <xdr:cNvCxnSpPr/>
      </xdr:nvCxnSpPr>
      <xdr:spPr>
        <a:xfrm>
          <a:off x="16937421" y="268014"/>
          <a:ext cx="0" cy="17183067"/>
        </a:xfrm>
        <a:prstGeom prst="line">
          <a:avLst/>
        </a:prstGeom>
        <a:ln w="3175"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A943-7190-4997-8580-4E0BDA41CD8D}">
  <dimension ref="B1:L28"/>
  <sheetViews>
    <sheetView workbookViewId="0">
      <selection activeCell="L4" sqref="L4"/>
    </sheetView>
  </sheetViews>
  <sheetFormatPr defaultRowHeight="15" x14ac:dyDescent="0.25"/>
  <cols>
    <col min="2" max="2" width="22.28515625" customWidth="1"/>
    <col min="3" max="3" width="18.28515625" customWidth="1"/>
    <col min="12" max="12" width="21.7109375" bestFit="1" customWidth="1"/>
    <col min="13" max="13" width="9.140625" customWidth="1"/>
  </cols>
  <sheetData>
    <row r="1" spans="2:12" ht="21" x14ac:dyDescent="0.35">
      <c r="B1" s="9" t="s">
        <v>18</v>
      </c>
      <c r="K1" s="50" t="s">
        <v>28</v>
      </c>
      <c r="L1" s="50"/>
    </row>
    <row r="2" spans="2:12" ht="22.5" x14ac:dyDescent="0.25">
      <c r="B2" s="51" t="s">
        <v>29</v>
      </c>
      <c r="C2" s="51"/>
      <c r="D2" s="51"/>
      <c r="E2" s="51"/>
      <c r="F2" s="51"/>
      <c r="G2" s="51"/>
      <c r="H2" s="51"/>
      <c r="I2" s="51"/>
      <c r="K2" s="1" t="s">
        <v>0</v>
      </c>
      <c r="L2" s="4">
        <v>198.18</v>
      </c>
    </row>
    <row r="3" spans="2:12" x14ac:dyDescent="0.25">
      <c r="K3" s="1" t="s">
        <v>1</v>
      </c>
      <c r="L3" s="2">
        <v>255</v>
      </c>
    </row>
    <row r="4" spans="2:12" x14ac:dyDescent="0.25">
      <c r="K4" s="1" t="s">
        <v>2</v>
      </c>
      <c r="L4" s="2">
        <f>L3*L2</f>
        <v>50535.9</v>
      </c>
    </row>
    <row r="5" spans="2:12" x14ac:dyDescent="0.25">
      <c r="K5" s="1" t="s">
        <v>3</v>
      </c>
      <c r="L5" s="2">
        <f>1346+74</f>
        <v>1420</v>
      </c>
    </row>
    <row r="6" spans="2:12" x14ac:dyDescent="0.25">
      <c r="K6" s="1" t="s">
        <v>4</v>
      </c>
      <c r="L6" s="2">
        <f>10135+38+775</f>
        <v>10948</v>
      </c>
    </row>
    <row r="7" spans="2:12" x14ac:dyDescent="0.25">
      <c r="K7" s="1" t="s">
        <v>5</v>
      </c>
      <c r="L7" s="2">
        <f>L4-L5+L6</f>
        <v>60063.9</v>
      </c>
    </row>
    <row r="8" spans="2:12" x14ac:dyDescent="0.25">
      <c r="K8" s="1" t="s">
        <v>6</v>
      </c>
      <c r="L8" s="2">
        <f>L5-L6</f>
        <v>-9528</v>
      </c>
    </row>
    <row r="9" spans="2:12" x14ac:dyDescent="0.25">
      <c r="K9" s="1"/>
      <c r="L9" s="1"/>
    </row>
    <row r="10" spans="2:12" x14ac:dyDescent="0.25">
      <c r="K10" s="1" t="s">
        <v>7</v>
      </c>
      <c r="L10" s="1" t="s">
        <v>30</v>
      </c>
    </row>
    <row r="16" spans="2:12" ht="15.75" x14ac:dyDescent="0.25">
      <c r="B16" s="11" t="s">
        <v>31</v>
      </c>
      <c r="F16" s="5" t="s">
        <v>17</v>
      </c>
    </row>
    <row r="17" spans="2:3" x14ac:dyDescent="0.25">
      <c r="B17" s="12" t="s">
        <v>32</v>
      </c>
      <c r="C17" s="12" t="s">
        <v>33</v>
      </c>
    </row>
    <row r="18" spans="2:3" x14ac:dyDescent="0.25">
      <c r="B18" s="1" t="s">
        <v>30</v>
      </c>
      <c r="C18" s="1" t="s">
        <v>44</v>
      </c>
    </row>
    <row r="19" spans="2:3" x14ac:dyDescent="0.25">
      <c r="B19" s="1" t="s">
        <v>34</v>
      </c>
      <c r="C19" s="1" t="s">
        <v>45</v>
      </c>
    </row>
    <row r="20" spans="2:3" x14ac:dyDescent="0.25">
      <c r="B20" s="1" t="s">
        <v>35</v>
      </c>
      <c r="C20" s="1" t="s">
        <v>46</v>
      </c>
    </row>
    <row r="21" spans="2:3" x14ac:dyDescent="0.25">
      <c r="B21" s="1" t="s">
        <v>36</v>
      </c>
      <c r="C21" s="1" t="s">
        <v>46</v>
      </c>
    </row>
    <row r="22" spans="2:3" x14ac:dyDescent="0.25">
      <c r="B22" s="1" t="s">
        <v>37</v>
      </c>
      <c r="C22" s="1" t="s">
        <v>46</v>
      </c>
    </row>
    <row r="23" spans="2:3" x14ac:dyDescent="0.25">
      <c r="B23" s="1" t="s">
        <v>38</v>
      </c>
      <c r="C23" s="1" t="s">
        <v>46</v>
      </c>
    </row>
    <row r="24" spans="2:3" x14ac:dyDescent="0.25">
      <c r="B24" s="1" t="s">
        <v>39</v>
      </c>
      <c r="C24" s="1" t="s">
        <v>46</v>
      </c>
    </row>
    <row r="25" spans="2:3" x14ac:dyDescent="0.25">
      <c r="B25" s="1" t="s">
        <v>40</v>
      </c>
      <c r="C25" s="1" t="s">
        <v>46</v>
      </c>
    </row>
    <row r="26" spans="2:3" x14ac:dyDescent="0.25">
      <c r="B26" s="1" t="s">
        <v>41</v>
      </c>
      <c r="C26" s="1" t="s">
        <v>46</v>
      </c>
    </row>
    <row r="27" spans="2:3" x14ac:dyDescent="0.25">
      <c r="B27" s="1" t="s">
        <v>42</v>
      </c>
      <c r="C27" s="1" t="s">
        <v>47</v>
      </c>
    </row>
    <row r="28" spans="2:3" x14ac:dyDescent="0.25">
      <c r="B28" s="1" t="s">
        <v>43</v>
      </c>
      <c r="C28" s="1" t="s">
        <v>48</v>
      </c>
    </row>
  </sheetData>
  <mergeCells count="2">
    <mergeCell ref="K1:L1"/>
    <mergeCell ref="B2:I2"/>
  </mergeCells>
  <hyperlinks>
    <hyperlink ref="B1" location="Model!A1" display="Model" xr:uid="{191EB341-8C2F-4D17-8524-64F231C50E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46B5A-B7A0-44C9-84C2-DFF7588B118C}">
  <dimension ref="A1:FT85"/>
  <sheetViews>
    <sheetView tabSelected="1" zoomScale="130" zoomScaleNormal="130" workbookViewId="0">
      <pane xSplit="1" ySplit="2" topLeftCell="H18" activePane="bottomRight" state="frozen"/>
      <selection pane="topRight" activeCell="C1" sqref="C1"/>
      <selection pane="bottomLeft" activeCell="A3" sqref="A3"/>
      <selection pane="bottomRight" activeCell="P45" sqref="P45"/>
    </sheetView>
  </sheetViews>
  <sheetFormatPr defaultRowHeight="15" x14ac:dyDescent="0.25"/>
  <cols>
    <col min="1" max="1" width="34.5703125" style="7" customWidth="1"/>
    <col min="3" max="16" width="12" customWidth="1"/>
    <col min="17" max="17" width="10" bestFit="1" customWidth="1"/>
    <col min="23" max="25" width="12" customWidth="1"/>
    <col min="37" max="37" width="11" bestFit="1" customWidth="1"/>
    <col min="39" max="39" width="12.85546875" bestFit="1" customWidth="1"/>
  </cols>
  <sheetData>
    <row r="1" spans="1:44" s="7" customFormat="1" ht="21" x14ac:dyDescent="0.35">
      <c r="A1" s="8" t="s">
        <v>16</v>
      </c>
    </row>
    <row r="2" spans="1:44" s="10" customFormat="1" x14ac:dyDescent="0.25">
      <c r="C2" s="10" t="s">
        <v>23</v>
      </c>
      <c r="D2" s="10" t="s">
        <v>19</v>
      </c>
      <c r="E2" s="10" t="s">
        <v>20</v>
      </c>
      <c r="F2" s="10" t="s">
        <v>21</v>
      </c>
      <c r="G2" s="10" t="s">
        <v>22</v>
      </c>
      <c r="H2" s="10" t="s">
        <v>14</v>
      </c>
      <c r="I2" s="10" t="s">
        <v>15</v>
      </c>
      <c r="J2" s="10" t="s">
        <v>10</v>
      </c>
      <c r="K2" s="10" t="s">
        <v>11</v>
      </c>
      <c r="L2" s="10" t="s">
        <v>12</v>
      </c>
      <c r="M2" s="10" t="s">
        <v>13</v>
      </c>
      <c r="N2" s="10" t="s">
        <v>8</v>
      </c>
      <c r="O2" s="10" t="s">
        <v>9</v>
      </c>
      <c r="P2" s="10" t="s">
        <v>24</v>
      </c>
      <c r="Q2" s="10" t="s">
        <v>25</v>
      </c>
      <c r="R2" s="10" t="s">
        <v>26</v>
      </c>
      <c r="S2" s="10" t="s">
        <v>27</v>
      </c>
      <c r="U2" s="10">
        <v>2019</v>
      </c>
      <c r="V2" s="10">
        <v>2020</v>
      </c>
      <c r="W2" s="10">
        <v>2021</v>
      </c>
      <c r="X2" s="10">
        <v>2022</v>
      </c>
      <c r="Y2" s="10">
        <v>2023</v>
      </c>
      <c r="Z2" s="10">
        <v>2024</v>
      </c>
      <c r="AA2" s="10">
        <v>2025</v>
      </c>
      <c r="AB2" s="10">
        <v>2026</v>
      </c>
      <c r="AC2" s="10">
        <v>2027</v>
      </c>
      <c r="AD2" s="10">
        <v>2028</v>
      </c>
      <c r="AE2" s="10">
        <v>2029</v>
      </c>
      <c r="AF2" s="10">
        <v>2030</v>
      </c>
      <c r="AG2" s="10">
        <v>2031</v>
      </c>
      <c r="AH2" s="10">
        <v>2032</v>
      </c>
      <c r="AI2" s="10">
        <v>2033</v>
      </c>
      <c r="AJ2" s="10">
        <v>2034</v>
      </c>
      <c r="AK2" s="10">
        <v>2035</v>
      </c>
      <c r="AL2" s="10">
        <v>2036</v>
      </c>
      <c r="AM2" s="10">
        <v>2037</v>
      </c>
      <c r="AN2" s="10">
        <v>2038</v>
      </c>
      <c r="AO2" s="10">
        <v>2039</v>
      </c>
      <c r="AP2" s="10">
        <v>2040</v>
      </c>
      <c r="AQ2" s="10">
        <v>2041</v>
      </c>
      <c r="AR2" s="10">
        <v>2042</v>
      </c>
    </row>
    <row r="3" spans="1:44" s="3" customFormat="1" x14ac:dyDescent="0.25">
      <c r="A3" s="6" t="s">
        <v>49</v>
      </c>
      <c r="C3" s="3">
        <v>233</v>
      </c>
      <c r="D3" s="3">
        <v>242</v>
      </c>
      <c r="E3" s="3">
        <v>369</v>
      </c>
      <c r="F3" s="3">
        <v>451</v>
      </c>
      <c r="G3" s="3">
        <v>431</v>
      </c>
      <c r="H3" s="3">
        <v>545</v>
      </c>
      <c r="I3" s="3">
        <v>545</v>
      </c>
      <c r="J3" s="3">
        <v>573</v>
      </c>
      <c r="K3" s="3">
        <v>537</v>
      </c>
      <c r="L3" s="3">
        <v>508</v>
      </c>
      <c r="M3" s="3">
        <v>618</v>
      </c>
      <c r="N3" s="3">
        <v>643</v>
      </c>
      <c r="O3" s="3">
        <v>601</v>
      </c>
      <c r="P3" s="3">
        <v>571</v>
      </c>
      <c r="U3" s="3">
        <v>1681</v>
      </c>
      <c r="V3" s="3">
        <v>945</v>
      </c>
      <c r="W3" s="3">
        <f>SUM(D3:G3)</f>
        <v>1493</v>
      </c>
      <c r="X3" s="3">
        <f>SUM(H3:K3)</f>
        <v>2200</v>
      </c>
      <c r="Y3" s="3">
        <f>SUM(L3:O3)</f>
        <v>2370</v>
      </c>
    </row>
    <row r="4" spans="1:44" s="3" customFormat="1" x14ac:dyDescent="0.25">
      <c r="A4" s="6" t="s">
        <v>50</v>
      </c>
      <c r="C4" s="3">
        <v>31</v>
      </c>
      <c r="D4" s="3">
        <v>25</v>
      </c>
      <c r="E4" s="3">
        <v>42</v>
      </c>
      <c r="F4" s="3">
        <v>49</v>
      </c>
      <c r="G4" s="3">
        <v>60</v>
      </c>
      <c r="H4" s="3">
        <v>75</v>
      </c>
      <c r="I4" s="3">
        <v>75</v>
      </c>
      <c r="J4" s="3">
        <v>76</v>
      </c>
      <c r="K4" s="3">
        <v>88</v>
      </c>
      <c r="L4" s="3">
        <v>80</v>
      </c>
      <c r="M4" s="3">
        <v>86</v>
      </c>
      <c r="N4" s="3">
        <v>81</v>
      </c>
      <c r="O4" s="3">
        <v>95</v>
      </c>
      <c r="P4" s="3">
        <v>106</v>
      </c>
      <c r="U4" s="3">
        <v>332</v>
      </c>
      <c r="V4" s="3">
        <v>123</v>
      </c>
      <c r="W4" s="3">
        <f t="shared" ref="W4:W8" si="0">SUM(D4:G4)</f>
        <v>176</v>
      </c>
      <c r="X4" s="3">
        <f t="shared" ref="X4:X8" si="1">SUM(H4:K4)</f>
        <v>314</v>
      </c>
      <c r="Y4" s="3">
        <f t="shared" ref="Y4:Y8" si="2">SUM(L4:O4)</f>
        <v>342</v>
      </c>
    </row>
    <row r="5" spans="1:44" s="3" customFormat="1" x14ac:dyDescent="0.25">
      <c r="A5" s="6" t="s">
        <v>51</v>
      </c>
      <c r="C5" s="3">
        <v>13</v>
      </c>
      <c r="D5" s="3">
        <v>13</v>
      </c>
      <c r="E5" s="3">
        <v>21</v>
      </c>
      <c r="F5" s="3">
        <v>26</v>
      </c>
      <c r="G5" s="3">
        <v>38</v>
      </c>
      <c r="H5" s="3">
        <v>46</v>
      </c>
      <c r="I5" s="3">
        <v>46</v>
      </c>
      <c r="J5" s="3">
        <v>52</v>
      </c>
      <c r="K5" s="3">
        <v>64</v>
      </c>
      <c r="L5" s="3">
        <v>65</v>
      </c>
      <c r="M5" s="3">
        <v>69</v>
      </c>
      <c r="N5" s="3">
        <v>63</v>
      </c>
      <c r="O5" s="3">
        <v>77</v>
      </c>
      <c r="P5" s="3">
        <v>70</v>
      </c>
      <c r="U5" s="3">
        <v>230</v>
      </c>
      <c r="V5" s="3">
        <v>38</v>
      </c>
      <c r="W5" s="3">
        <f t="shared" si="0"/>
        <v>98</v>
      </c>
      <c r="X5" s="3">
        <f t="shared" si="1"/>
        <v>208</v>
      </c>
      <c r="Y5" s="3">
        <f t="shared" si="2"/>
        <v>274</v>
      </c>
    </row>
    <row r="6" spans="1:44" s="3" customFormat="1" x14ac:dyDescent="0.25">
      <c r="A6" s="6" t="s">
        <v>52</v>
      </c>
      <c r="C6" s="3">
        <v>86</v>
      </c>
      <c r="D6" s="3">
        <v>56</v>
      </c>
      <c r="E6" s="3">
        <v>121</v>
      </c>
      <c r="F6" s="3">
        <v>199</v>
      </c>
      <c r="G6" s="3">
        <v>222</v>
      </c>
      <c r="H6" s="3">
        <v>282</v>
      </c>
      <c r="I6" s="3">
        <v>282</v>
      </c>
      <c r="J6" s="3">
        <v>295</v>
      </c>
      <c r="K6" s="3">
        <v>349</v>
      </c>
      <c r="L6" s="3">
        <v>248</v>
      </c>
      <c r="M6" s="3">
        <v>341</v>
      </c>
      <c r="N6" s="3">
        <v>335</v>
      </c>
      <c r="O6" s="3">
        <v>320</v>
      </c>
      <c r="P6" s="3">
        <v>255</v>
      </c>
      <c r="U6" s="3">
        <v>1422</v>
      </c>
      <c r="V6" s="3">
        <v>421</v>
      </c>
      <c r="W6" s="3">
        <f t="shared" si="0"/>
        <v>598</v>
      </c>
      <c r="X6" s="3">
        <f t="shared" si="1"/>
        <v>1208</v>
      </c>
      <c r="Y6" s="3">
        <f t="shared" si="2"/>
        <v>1244</v>
      </c>
    </row>
    <row r="7" spans="1:44" s="3" customFormat="1" x14ac:dyDescent="0.25">
      <c r="A7" s="6" t="s">
        <v>53</v>
      </c>
      <c r="C7" s="3">
        <v>21</v>
      </c>
      <c r="D7" s="3">
        <v>17</v>
      </c>
      <c r="E7" s="3">
        <v>21</v>
      </c>
      <c r="F7" s="3">
        <v>18</v>
      </c>
      <c r="G7" s="3">
        <v>23</v>
      </c>
      <c r="H7" s="3">
        <v>25</v>
      </c>
      <c r="I7" s="3">
        <v>25</v>
      </c>
      <c r="J7" s="3">
        <v>28</v>
      </c>
      <c r="K7" s="3">
        <v>31</v>
      </c>
      <c r="L7" s="3">
        <v>35</v>
      </c>
      <c r="M7" s="3">
        <v>46</v>
      </c>
      <c r="N7" s="3">
        <v>45</v>
      </c>
      <c r="O7" s="3">
        <v>52</v>
      </c>
      <c r="P7" s="3">
        <v>50</v>
      </c>
      <c r="U7" s="3">
        <v>101</v>
      </c>
      <c r="V7" s="3">
        <v>73</v>
      </c>
      <c r="W7" s="3">
        <f t="shared" si="0"/>
        <v>79</v>
      </c>
      <c r="X7" s="3">
        <f t="shared" si="1"/>
        <v>109</v>
      </c>
      <c r="Y7" s="3">
        <f t="shared" si="2"/>
        <v>178</v>
      </c>
    </row>
    <row r="8" spans="1:44" s="3" customFormat="1" x14ac:dyDescent="0.25">
      <c r="A8" s="6" t="s">
        <v>54</v>
      </c>
      <c r="C8" s="3">
        <v>506</v>
      </c>
      <c r="D8" s="3">
        <v>521</v>
      </c>
      <c r="E8" s="3">
        <v>755</v>
      </c>
      <c r="F8" s="3">
        <v>1006</v>
      </c>
      <c r="G8" s="3">
        <v>1062</v>
      </c>
      <c r="H8" s="3">
        <v>1267</v>
      </c>
      <c r="I8" s="3">
        <v>1267</v>
      </c>
      <c r="J8" s="3">
        <v>1344</v>
      </c>
      <c r="K8" s="3">
        <v>1375</v>
      </c>
      <c r="L8" s="3">
        <v>1357</v>
      </c>
      <c r="M8" s="3">
        <v>1500</v>
      </c>
      <c r="N8" s="3">
        <v>1506</v>
      </c>
      <c r="O8" s="3">
        <v>1464</v>
      </c>
      <c r="P8" s="3">
        <v>1521</v>
      </c>
      <c r="U8" s="3">
        <v>5686</v>
      </c>
      <c r="V8" s="3">
        <v>2707</v>
      </c>
      <c r="W8" s="3">
        <f t="shared" si="0"/>
        <v>3344</v>
      </c>
      <c r="X8" s="3">
        <f t="shared" si="1"/>
        <v>5253</v>
      </c>
      <c r="Y8" s="3">
        <f t="shared" si="2"/>
        <v>5827</v>
      </c>
    </row>
    <row r="9" spans="1:44" s="14" customFormat="1" x14ac:dyDescent="0.25">
      <c r="A9" s="13" t="s">
        <v>55</v>
      </c>
      <c r="C9" s="14">
        <f t="shared" ref="C9:P9" si="3">SUM(C3:C8)</f>
        <v>890</v>
      </c>
      <c r="D9" s="14">
        <f t="shared" si="3"/>
        <v>874</v>
      </c>
      <c r="E9" s="14">
        <f t="shared" si="3"/>
        <v>1329</v>
      </c>
      <c r="F9" s="14">
        <f t="shared" si="3"/>
        <v>1749</v>
      </c>
      <c r="G9" s="14">
        <f t="shared" si="3"/>
        <v>1836</v>
      </c>
      <c r="H9" s="14">
        <f t="shared" si="3"/>
        <v>2240</v>
      </c>
      <c r="I9" s="14">
        <f t="shared" si="3"/>
        <v>2240</v>
      </c>
      <c r="J9" s="14">
        <f t="shared" si="3"/>
        <v>2368</v>
      </c>
      <c r="K9" s="14">
        <f t="shared" si="3"/>
        <v>2444</v>
      </c>
      <c r="L9" s="14">
        <f t="shared" si="3"/>
        <v>2293</v>
      </c>
      <c r="M9" s="14">
        <f t="shared" si="3"/>
        <v>2660</v>
      </c>
      <c r="N9" s="14">
        <f t="shared" si="3"/>
        <v>2673</v>
      </c>
      <c r="O9" s="14">
        <f t="shared" si="3"/>
        <v>2609</v>
      </c>
      <c r="P9" s="14">
        <f t="shared" si="3"/>
        <v>2573</v>
      </c>
      <c r="Q9" s="14">
        <f>M9*1.141</f>
        <v>3035.06</v>
      </c>
      <c r="R9" s="14">
        <f>N9*1.15</f>
        <v>3073.95</v>
      </c>
      <c r="S9" s="14">
        <f>P9*1.15</f>
        <v>2958.95</v>
      </c>
      <c r="U9" s="14">
        <f t="shared" ref="U9:X9" si="4">SUM(U3:U8)</f>
        <v>9452</v>
      </c>
      <c r="V9" s="14">
        <f t="shared" si="4"/>
        <v>4307</v>
      </c>
      <c r="W9" s="14">
        <f t="shared" si="4"/>
        <v>5788</v>
      </c>
      <c r="X9" s="14">
        <f t="shared" si="4"/>
        <v>9292</v>
      </c>
      <c r="Y9" s="14">
        <f>SUM(Y3:Y8)</f>
        <v>10235</v>
      </c>
      <c r="Z9" s="14">
        <f>SUM(P9:S9)</f>
        <v>11640.96</v>
      </c>
      <c r="AA9" s="14">
        <f>Z9*1.164</f>
        <v>13550.077439999997</v>
      </c>
      <c r="AB9" s="14">
        <f>AA9*1.1573</f>
        <v>15681.504621311997</v>
      </c>
      <c r="AC9" s="14">
        <f>AB9*1.1573</f>
        <v>18148.205298244375</v>
      </c>
      <c r="AD9" s="14">
        <f>AC9*1.1573</f>
        <v>21002.917991658214</v>
      </c>
      <c r="AE9" s="14">
        <f>AD9*1.1573</f>
        <v>24306.676991746051</v>
      </c>
      <c r="AF9" s="14">
        <f>AE9*1.075</f>
        <v>26129.677766127003</v>
      </c>
      <c r="AG9" s="14">
        <f t="shared" ref="AG9:AI9" si="5">AF9*1.075</f>
        <v>28089.403598586527</v>
      </c>
      <c r="AH9" s="14">
        <f t="shared" si="5"/>
        <v>30196.108868480515</v>
      </c>
      <c r="AI9" s="14">
        <f t="shared" si="5"/>
        <v>32460.817033616553</v>
      </c>
      <c r="AJ9" s="14">
        <f>AI9*1.025</f>
        <v>33272.337459456961</v>
      </c>
    </row>
    <row r="10" spans="1:44" s="3" customFormat="1" x14ac:dyDescent="0.25">
      <c r="A10" s="6" t="s">
        <v>52</v>
      </c>
      <c r="C10" s="3">
        <v>142</v>
      </c>
      <c r="D10" s="3">
        <v>110</v>
      </c>
      <c r="E10" s="3">
        <v>142</v>
      </c>
      <c r="F10" s="3">
        <v>200</v>
      </c>
      <c r="G10" s="3">
        <v>227</v>
      </c>
      <c r="H10" s="3">
        <v>257</v>
      </c>
      <c r="I10" s="3">
        <v>257</v>
      </c>
      <c r="J10" s="3">
        <v>263</v>
      </c>
      <c r="K10" s="3">
        <v>294</v>
      </c>
      <c r="L10" s="3">
        <v>251</v>
      </c>
      <c r="M10" s="3">
        <v>297</v>
      </c>
      <c r="N10" s="3">
        <v>301</v>
      </c>
      <c r="O10" s="3">
        <v>292</v>
      </c>
      <c r="P10" s="3">
        <v>247</v>
      </c>
      <c r="U10" s="3">
        <v>1254</v>
      </c>
      <c r="V10" s="3">
        <v>620</v>
      </c>
      <c r="W10" s="3">
        <f t="shared" ref="W10:W17" si="6">SUM(D10:G10)</f>
        <v>679</v>
      </c>
      <c r="X10" s="3">
        <f t="shared" ref="X10:X17" si="7">SUM(H10:K10)</f>
        <v>1071</v>
      </c>
      <c r="Y10" s="3">
        <f t="shared" ref="Y10:Y17" si="8">SUM(L10:O10)</f>
        <v>1141</v>
      </c>
    </row>
    <row r="11" spans="1:44" s="3" customFormat="1" x14ac:dyDescent="0.25">
      <c r="A11" s="6" t="s">
        <v>56</v>
      </c>
      <c r="C11" s="3">
        <v>62</v>
      </c>
      <c r="D11" s="3">
        <v>51</v>
      </c>
      <c r="E11" s="3">
        <v>46</v>
      </c>
      <c r="F11" s="3">
        <v>46</v>
      </c>
      <c r="G11" s="3">
        <v>45</v>
      </c>
      <c r="H11" s="3">
        <v>40</v>
      </c>
      <c r="I11" s="3">
        <v>40</v>
      </c>
      <c r="J11" s="3">
        <v>39</v>
      </c>
      <c r="K11" s="3">
        <v>39</v>
      </c>
      <c r="L11" s="3">
        <v>37</v>
      </c>
      <c r="M11" s="3">
        <v>37</v>
      </c>
      <c r="N11" s="3">
        <v>40</v>
      </c>
      <c r="O11" s="3">
        <v>33</v>
      </c>
      <c r="P11" s="3">
        <v>36</v>
      </c>
      <c r="U11" s="3">
        <v>346</v>
      </c>
      <c r="V11" s="3">
        <v>331</v>
      </c>
      <c r="W11" s="3">
        <f t="shared" si="6"/>
        <v>188</v>
      </c>
      <c r="X11" s="3">
        <f t="shared" si="7"/>
        <v>158</v>
      </c>
      <c r="Y11" s="3">
        <f t="shared" si="8"/>
        <v>147</v>
      </c>
    </row>
    <row r="12" spans="1:44" s="3" customFormat="1" x14ac:dyDescent="0.25">
      <c r="A12" s="6" t="s">
        <v>57</v>
      </c>
      <c r="C12" s="3">
        <v>122</v>
      </c>
      <c r="D12" s="3">
        <v>97</v>
      </c>
      <c r="E12" s="3">
        <v>98</v>
      </c>
      <c r="F12" s="3">
        <v>107</v>
      </c>
      <c r="G12" s="3">
        <v>103</v>
      </c>
      <c r="H12" s="3">
        <v>103</v>
      </c>
      <c r="I12" s="3">
        <v>103</v>
      </c>
      <c r="J12" s="3">
        <v>93</v>
      </c>
      <c r="K12" s="3">
        <v>95</v>
      </c>
      <c r="L12" s="3">
        <v>91</v>
      </c>
      <c r="M12" s="3">
        <v>111</v>
      </c>
      <c r="N12" s="3">
        <v>96</v>
      </c>
      <c r="O12" s="3">
        <v>110</v>
      </c>
      <c r="P12" s="3">
        <v>104</v>
      </c>
      <c r="U12" s="3">
        <v>441</v>
      </c>
      <c r="V12" s="3">
        <v>311</v>
      </c>
      <c r="W12" s="3">
        <f t="shared" si="6"/>
        <v>405</v>
      </c>
      <c r="X12" s="3">
        <f t="shared" si="7"/>
        <v>394</v>
      </c>
      <c r="Y12" s="3">
        <f t="shared" si="8"/>
        <v>408</v>
      </c>
    </row>
    <row r="13" spans="1:44" s="3" customFormat="1" x14ac:dyDescent="0.25">
      <c r="A13" s="6" t="s">
        <v>100</v>
      </c>
      <c r="C13" s="3">
        <v>122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K13" s="3">
        <v>0</v>
      </c>
      <c r="M13" s="3">
        <v>0</v>
      </c>
      <c r="O13" s="3">
        <v>38</v>
      </c>
      <c r="U13" s="3">
        <v>0</v>
      </c>
      <c r="V13" s="3">
        <v>258</v>
      </c>
      <c r="W13" s="3">
        <f t="shared" si="6"/>
        <v>0</v>
      </c>
      <c r="X13" s="3">
        <f t="shared" si="7"/>
        <v>0</v>
      </c>
      <c r="Y13" s="3">
        <f t="shared" si="8"/>
        <v>38</v>
      </c>
    </row>
    <row r="14" spans="1:44" s="3" customFormat="1" x14ac:dyDescent="0.25">
      <c r="A14" s="6" t="s">
        <v>58</v>
      </c>
      <c r="C14" s="3">
        <f>12+3</f>
        <v>15</v>
      </c>
      <c r="D14" s="3">
        <v>10</v>
      </c>
      <c r="E14" s="3">
        <v>9</v>
      </c>
      <c r="F14" s="3">
        <v>12</v>
      </c>
      <c r="G14" s="3">
        <v>14</v>
      </c>
      <c r="H14" s="3">
        <v>11</v>
      </c>
      <c r="I14" s="3">
        <v>11</v>
      </c>
      <c r="J14" s="3">
        <v>13</v>
      </c>
      <c r="K14" s="3">
        <v>25</v>
      </c>
      <c r="L14" s="3">
        <v>21</v>
      </c>
      <c r="M14" s="3">
        <v>33</v>
      </c>
      <c r="N14" s="3">
        <v>26</v>
      </c>
      <c r="O14" s="3">
        <v>32</v>
      </c>
      <c r="P14" s="3">
        <v>30</v>
      </c>
      <c r="U14" s="3">
        <v>72</v>
      </c>
      <c r="V14" s="3">
        <f>60+41</f>
        <v>101</v>
      </c>
      <c r="W14" s="3">
        <f t="shared" si="6"/>
        <v>45</v>
      </c>
      <c r="X14" s="3">
        <f t="shared" si="7"/>
        <v>60</v>
      </c>
      <c r="Y14" s="3">
        <f t="shared" si="8"/>
        <v>112</v>
      </c>
    </row>
    <row r="15" spans="1:44" s="3" customFormat="1" x14ac:dyDescent="0.25">
      <c r="A15" s="6" t="s">
        <v>59</v>
      </c>
      <c r="C15" s="3">
        <v>622</v>
      </c>
      <c r="D15" s="3">
        <v>585</v>
      </c>
      <c r="E15" s="3">
        <v>810</v>
      </c>
      <c r="F15" s="3">
        <v>944</v>
      </c>
      <c r="G15" s="3">
        <v>1115</v>
      </c>
      <c r="H15" s="3">
        <v>1231</v>
      </c>
      <c r="I15" s="3">
        <v>1231</v>
      </c>
      <c r="J15" s="3">
        <v>1337</v>
      </c>
      <c r="K15" s="3">
        <v>1487</v>
      </c>
      <c r="L15" s="3">
        <v>1395</v>
      </c>
      <c r="M15" s="3">
        <v>1508</v>
      </c>
      <c r="N15" s="3">
        <v>1557</v>
      </c>
      <c r="O15" s="3">
        <v>1704</v>
      </c>
      <c r="P15" s="3">
        <v>1630</v>
      </c>
      <c r="U15" s="3">
        <v>5763</v>
      </c>
      <c r="V15" s="3">
        <v>3104</v>
      </c>
      <c r="W15" s="3">
        <f t="shared" si="6"/>
        <v>3454</v>
      </c>
      <c r="X15" s="3">
        <f t="shared" si="7"/>
        <v>5286</v>
      </c>
      <c r="Y15" s="3">
        <f t="shared" si="8"/>
        <v>6164</v>
      </c>
    </row>
    <row r="16" spans="1:44" s="3" customFormat="1" x14ac:dyDescent="0.25">
      <c r="A16" s="6" t="s">
        <v>60</v>
      </c>
      <c r="C16" s="3">
        <f t="shared" ref="C16:P16" si="9">SUM(C10:C15)</f>
        <v>1085</v>
      </c>
      <c r="D16" s="3">
        <f t="shared" si="9"/>
        <v>853</v>
      </c>
      <c r="E16" s="3">
        <f t="shared" si="9"/>
        <v>1105</v>
      </c>
      <c r="F16" s="3">
        <f t="shared" si="9"/>
        <v>1309</v>
      </c>
      <c r="G16" s="3">
        <f t="shared" si="9"/>
        <v>1504</v>
      </c>
      <c r="H16" s="3">
        <f t="shared" si="9"/>
        <v>1642</v>
      </c>
      <c r="I16" s="3">
        <f t="shared" si="9"/>
        <v>1642</v>
      </c>
      <c r="J16" s="3">
        <f t="shared" si="9"/>
        <v>1745</v>
      </c>
      <c r="K16" s="3">
        <f t="shared" si="9"/>
        <v>1940</v>
      </c>
      <c r="L16" s="3">
        <f t="shared" si="9"/>
        <v>1795</v>
      </c>
      <c r="M16" s="3">
        <f t="shared" si="9"/>
        <v>1986</v>
      </c>
      <c r="N16" s="3">
        <f t="shared" si="9"/>
        <v>2020</v>
      </c>
      <c r="O16" s="3">
        <f t="shared" si="9"/>
        <v>2209</v>
      </c>
      <c r="P16" s="3">
        <f t="shared" si="9"/>
        <v>2047</v>
      </c>
      <c r="Q16" s="3">
        <f>Q9*0.76</f>
        <v>2306.6455999999998</v>
      </c>
      <c r="R16" s="3">
        <f t="shared" ref="R16:S16" si="10">R9*0.76</f>
        <v>2336.2019999999998</v>
      </c>
      <c r="S16" s="3">
        <f t="shared" si="10"/>
        <v>2248.8019999999997</v>
      </c>
      <c r="U16" s="3">
        <f>SUM(U10:U15)</f>
        <v>7876</v>
      </c>
      <c r="V16" s="3">
        <f>SUM(V10:V15)</f>
        <v>4725</v>
      </c>
      <c r="W16" s="3">
        <f t="shared" si="6"/>
        <v>4771</v>
      </c>
      <c r="X16" s="3">
        <f t="shared" si="7"/>
        <v>6969</v>
      </c>
      <c r="Y16" s="3">
        <f>SUM(Y10:Y15)</f>
        <v>8010</v>
      </c>
      <c r="Z16" s="3">
        <f>SUM(P16:S16)</f>
        <v>8938.6495999999988</v>
      </c>
      <c r="AA16" s="3">
        <f>AA9*0.77</f>
        <v>10433.559628799998</v>
      </c>
      <c r="AB16" s="3">
        <f t="shared" ref="AB16:AJ16" si="11">AB9*0.77</f>
        <v>12074.758558410238</v>
      </c>
      <c r="AC16" s="3">
        <f t="shared" si="11"/>
        <v>13974.118079648169</v>
      </c>
      <c r="AD16" s="3">
        <f t="shared" si="11"/>
        <v>16172.246853576826</v>
      </c>
      <c r="AE16" s="3">
        <f t="shared" si="11"/>
        <v>18716.141283644462</v>
      </c>
      <c r="AF16" s="3">
        <f t="shared" si="11"/>
        <v>20119.851879917791</v>
      </c>
      <c r="AG16" s="3">
        <f t="shared" si="11"/>
        <v>21628.840770911625</v>
      </c>
      <c r="AH16" s="3">
        <f t="shared" si="11"/>
        <v>23251.003828729998</v>
      </c>
      <c r="AI16" s="3">
        <f t="shared" si="11"/>
        <v>24994.829115884746</v>
      </c>
      <c r="AJ16" s="3">
        <f t="shared" si="11"/>
        <v>25619.699843781862</v>
      </c>
    </row>
    <row r="17" spans="1:176" s="3" customFormat="1" x14ac:dyDescent="0.25">
      <c r="A17" s="6" t="s">
        <v>73</v>
      </c>
      <c r="F17" s="3">
        <v>-8</v>
      </c>
      <c r="G17" s="3">
        <v>1</v>
      </c>
      <c r="L17" s="3">
        <v>0</v>
      </c>
      <c r="P17" s="3">
        <v>7</v>
      </c>
      <c r="U17" s="3">
        <v>81</v>
      </c>
      <c r="V17" s="3">
        <v>0</v>
      </c>
      <c r="W17" s="3">
        <f t="shared" si="6"/>
        <v>-7</v>
      </c>
      <c r="X17" s="3">
        <f t="shared" si="7"/>
        <v>0</v>
      </c>
      <c r="Y17" s="3">
        <f t="shared" si="8"/>
        <v>0</v>
      </c>
    </row>
    <row r="18" spans="1:176" s="14" customFormat="1" x14ac:dyDescent="0.25">
      <c r="A18" s="13" t="s">
        <v>61</v>
      </c>
      <c r="C18" s="14">
        <f>C9-C16+C17</f>
        <v>-195</v>
      </c>
      <c r="D18" s="14">
        <f>D9-D16+D17</f>
        <v>21</v>
      </c>
      <c r="E18" s="14">
        <f>E9-E16+E17</f>
        <v>224</v>
      </c>
      <c r="F18" s="14">
        <f>F9-F16+F17</f>
        <v>432</v>
      </c>
      <c r="G18" s="14">
        <f>G9-G16+G17</f>
        <v>333</v>
      </c>
      <c r="H18" s="14">
        <f t="shared" ref="H18:O18" si="12">H9-H16</f>
        <v>598</v>
      </c>
      <c r="I18" s="14">
        <f t="shared" si="12"/>
        <v>598</v>
      </c>
      <c r="J18" s="14">
        <f t="shared" si="12"/>
        <v>623</v>
      </c>
      <c r="K18" s="14">
        <f t="shared" si="12"/>
        <v>504</v>
      </c>
      <c r="L18" s="14">
        <f t="shared" si="12"/>
        <v>498</v>
      </c>
      <c r="M18" s="14">
        <f t="shared" si="12"/>
        <v>674</v>
      </c>
      <c r="N18" s="14">
        <f t="shared" si="12"/>
        <v>653</v>
      </c>
      <c r="O18" s="14">
        <f t="shared" si="12"/>
        <v>400</v>
      </c>
      <c r="P18" s="14">
        <f>P9-P16+P17</f>
        <v>533</v>
      </c>
      <c r="Q18" s="14">
        <f t="shared" ref="Q18:S18" si="13">Q9-Q16+Q17</f>
        <v>728.41440000000011</v>
      </c>
      <c r="R18" s="14">
        <f t="shared" si="13"/>
        <v>737.74800000000005</v>
      </c>
      <c r="S18" s="14">
        <f t="shared" si="13"/>
        <v>710.14800000000014</v>
      </c>
      <c r="U18" s="14">
        <f t="shared" ref="U18:X18" si="14">U9-U16+U17</f>
        <v>1657</v>
      </c>
      <c r="V18" s="14">
        <f t="shared" si="14"/>
        <v>-418</v>
      </c>
      <c r="W18" s="14">
        <f t="shared" si="14"/>
        <v>1010</v>
      </c>
      <c r="X18" s="14">
        <f t="shared" si="14"/>
        <v>2323</v>
      </c>
      <c r="Y18" s="14">
        <f>Y9-Y16</f>
        <v>2225</v>
      </c>
      <c r="Z18" s="14">
        <f>Z9-Z16</f>
        <v>2702.3104000000003</v>
      </c>
      <c r="AA18" s="14">
        <f>AA9-AA16</f>
        <v>3116.5178111999994</v>
      </c>
      <c r="AB18" s="14">
        <f t="shared" ref="AB18:AJ18" si="15">AB9-AB16</f>
        <v>3606.7460629017587</v>
      </c>
      <c r="AC18" s="14">
        <f t="shared" si="15"/>
        <v>4174.0872185962053</v>
      </c>
      <c r="AD18" s="14">
        <f t="shared" si="15"/>
        <v>4830.6711380813886</v>
      </c>
      <c r="AE18" s="14">
        <f t="shared" si="15"/>
        <v>5590.53570810159</v>
      </c>
      <c r="AF18" s="14">
        <f t="shared" si="15"/>
        <v>6009.8258862092116</v>
      </c>
      <c r="AG18" s="14">
        <f t="shared" si="15"/>
        <v>6460.5628276749012</v>
      </c>
      <c r="AH18" s="14">
        <f t="shared" si="15"/>
        <v>6945.1050397505169</v>
      </c>
      <c r="AI18" s="14">
        <f t="shared" si="15"/>
        <v>7465.9879177318071</v>
      </c>
      <c r="AJ18" s="14">
        <f t="shared" si="15"/>
        <v>7652.6376156750994</v>
      </c>
    </row>
    <row r="19" spans="1:176" s="3" customFormat="1" x14ac:dyDescent="0.25">
      <c r="A19" s="6" t="s">
        <v>62</v>
      </c>
      <c r="C19" s="3">
        <v>113</v>
      </c>
      <c r="D19" s="3">
        <v>103</v>
      </c>
      <c r="E19" s="3">
        <v>101</v>
      </c>
      <c r="F19" s="3">
        <v>98</v>
      </c>
      <c r="G19" s="3">
        <v>95</v>
      </c>
      <c r="H19" s="3">
        <v>99</v>
      </c>
      <c r="I19" s="3">
        <v>99</v>
      </c>
      <c r="J19" s="3">
        <v>106</v>
      </c>
      <c r="K19" s="3">
        <v>120</v>
      </c>
      <c r="L19" s="3">
        <v>116</v>
      </c>
      <c r="M19" s="3">
        <v>111</v>
      </c>
      <c r="N19" s="3">
        <v>113</v>
      </c>
      <c r="O19" s="3">
        <v>124</v>
      </c>
      <c r="P19" s="3">
        <v>131</v>
      </c>
      <c r="Q19" s="3">
        <f>AVERAGE(L19:P19)</f>
        <v>119</v>
      </c>
      <c r="R19" s="3">
        <f t="shared" ref="R19:S20" si="16">AVERAGE(M19:Q19)</f>
        <v>119.6</v>
      </c>
      <c r="S19" s="3">
        <f t="shared" si="16"/>
        <v>121.32000000000001</v>
      </c>
      <c r="U19" s="3">
        <v>414</v>
      </c>
      <c r="V19" s="3">
        <v>429</v>
      </c>
      <c r="W19" s="3">
        <f t="shared" ref="W19:W23" si="17">SUM(D19:G19)</f>
        <v>397</v>
      </c>
      <c r="X19" s="3">
        <f t="shared" ref="X19:X23" si="18">SUM(H19:K19)</f>
        <v>424</v>
      </c>
      <c r="Y19" s="3">
        <f t="shared" ref="Y19:Y23" si="19">SUM(L19:O19)</f>
        <v>464</v>
      </c>
      <c r="Z19" s="3">
        <f>SUM(P19:S19)</f>
        <v>490.92</v>
      </c>
      <c r="AA19" s="3">
        <f>AVERAGE(W19:Z19)</f>
        <v>443.98</v>
      </c>
      <c r="AB19" s="3">
        <f>AA19*1.03</f>
        <v>457.29940000000005</v>
      </c>
      <c r="AC19" s="3">
        <f t="shared" ref="AC19:AJ19" si="20">AB19*1.03</f>
        <v>471.01838200000009</v>
      </c>
      <c r="AD19" s="3">
        <f t="shared" si="20"/>
        <v>485.14893346000008</v>
      </c>
      <c r="AE19" s="3">
        <f t="shared" si="20"/>
        <v>499.70340146380011</v>
      </c>
      <c r="AF19" s="3">
        <f t="shared" si="20"/>
        <v>514.6945035077141</v>
      </c>
      <c r="AG19" s="3">
        <f t="shared" si="20"/>
        <v>530.13533861294559</v>
      </c>
      <c r="AH19" s="3">
        <f t="shared" si="20"/>
        <v>546.03939877133394</v>
      </c>
      <c r="AI19" s="3">
        <f t="shared" si="20"/>
        <v>562.42058073447402</v>
      </c>
      <c r="AJ19" s="3">
        <f t="shared" si="20"/>
        <v>579.2931981565082</v>
      </c>
    </row>
    <row r="20" spans="1:176" x14ac:dyDescent="0.25">
      <c r="A20" s="7" t="s">
        <v>63</v>
      </c>
      <c r="C20" s="3">
        <v>-11</v>
      </c>
      <c r="D20" s="3">
        <v>2</v>
      </c>
      <c r="E20" s="3">
        <v>-1</v>
      </c>
      <c r="F20" s="3">
        <v>0</v>
      </c>
      <c r="G20" s="3">
        <v>8</v>
      </c>
      <c r="H20" s="3">
        <v>8</v>
      </c>
      <c r="I20" s="3">
        <v>8</v>
      </c>
      <c r="J20" s="3">
        <v>0</v>
      </c>
      <c r="K20" s="3">
        <v>1</v>
      </c>
      <c r="L20" s="3">
        <v>0</v>
      </c>
      <c r="M20" s="3">
        <v>-6</v>
      </c>
      <c r="N20" s="3">
        <v>-7</v>
      </c>
      <c r="O20" s="3">
        <v>-3</v>
      </c>
      <c r="P20" s="3">
        <v>-1</v>
      </c>
      <c r="Q20" s="3">
        <f t="shared" ref="Q20:Q23" si="21">AVERAGE(L20:P20)</f>
        <v>-3.4</v>
      </c>
      <c r="R20" s="3">
        <f t="shared" si="16"/>
        <v>-4.08</v>
      </c>
      <c r="S20" s="3">
        <f t="shared" si="16"/>
        <v>-3.6960000000000002</v>
      </c>
      <c r="U20" s="3">
        <v>-2</v>
      </c>
      <c r="V20" s="3">
        <v>-27</v>
      </c>
      <c r="W20" s="3">
        <f t="shared" si="17"/>
        <v>9</v>
      </c>
      <c r="X20" s="3">
        <f t="shared" si="18"/>
        <v>17</v>
      </c>
      <c r="Y20" s="3">
        <f t="shared" si="19"/>
        <v>-16</v>
      </c>
      <c r="Z20" s="3">
        <f>SUM(P20:S20)</f>
        <v>-12.176</v>
      </c>
      <c r="AA20" s="3">
        <f t="shared" ref="AA20:AA23" si="22">AVERAGE(W20:Z20)</f>
        <v>-0.54400000000000004</v>
      </c>
      <c r="AB20" s="3">
        <f t="shared" ref="AB20:AJ23" si="23">AVERAGE(X20:AA20)</f>
        <v>-2.93</v>
      </c>
      <c r="AC20" s="3">
        <f t="shared" si="23"/>
        <v>-7.9125000000000005</v>
      </c>
      <c r="AD20" s="3">
        <f t="shared" si="23"/>
        <v>-5.890625</v>
      </c>
      <c r="AE20" s="3">
        <f t="shared" si="23"/>
        <v>-4.3192812500000004</v>
      </c>
      <c r="AF20" s="3">
        <f t="shared" si="23"/>
        <v>-5.2631015625000002</v>
      </c>
      <c r="AG20" s="3">
        <f t="shared" si="23"/>
        <v>-5.8463769531250005</v>
      </c>
      <c r="AH20" s="3">
        <f t="shared" si="23"/>
        <v>-5.3298461914062507</v>
      </c>
      <c r="AI20" s="3">
        <f t="shared" si="23"/>
        <v>-5.1896514892578125</v>
      </c>
      <c r="AJ20" s="3">
        <f t="shared" si="23"/>
        <v>-5.4072440490722657</v>
      </c>
    </row>
    <row r="21" spans="1:176" x14ac:dyDescent="0.25">
      <c r="A21" s="7" t="s">
        <v>101</v>
      </c>
      <c r="C21" s="3">
        <v>-48</v>
      </c>
      <c r="D21" s="3">
        <v>-69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U21" s="3">
        <v>0</v>
      </c>
      <c r="V21" s="3">
        <v>-48</v>
      </c>
      <c r="W21" s="3">
        <f t="shared" si="17"/>
        <v>-69</v>
      </c>
      <c r="X21" s="3">
        <f t="shared" si="18"/>
        <v>0</v>
      </c>
      <c r="Y21" s="3">
        <f t="shared" si="19"/>
        <v>0</v>
      </c>
      <c r="Z21" s="3">
        <f>SUM(P21:S21)</f>
        <v>0</v>
      </c>
      <c r="AA21" s="3">
        <f t="shared" si="22"/>
        <v>-17.25</v>
      </c>
      <c r="AB21" s="3">
        <f t="shared" si="23"/>
        <v>-4.3125</v>
      </c>
      <c r="AC21" s="3">
        <f t="shared" si="23"/>
        <v>-5.390625</v>
      </c>
      <c r="AD21" s="3">
        <f t="shared" si="23"/>
        <v>-6.73828125</v>
      </c>
      <c r="AE21" s="3">
        <f t="shared" si="23"/>
        <v>-8.4228515625</v>
      </c>
      <c r="AF21" s="3">
        <f t="shared" si="23"/>
        <v>-6.216064453125</v>
      </c>
      <c r="AG21" s="3">
        <f t="shared" si="23"/>
        <v>-6.69195556640625</v>
      </c>
      <c r="AH21" s="3">
        <f t="shared" si="23"/>
        <v>-7.0172882080078125</v>
      </c>
      <c r="AI21" s="3">
        <f t="shared" si="23"/>
        <v>-7.0870399475097656</v>
      </c>
      <c r="AJ21" s="3">
        <f t="shared" si="23"/>
        <v>-6.753087043762207</v>
      </c>
    </row>
    <row r="22" spans="1:176" x14ac:dyDescent="0.25">
      <c r="A22" s="7" t="s">
        <v>64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92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U22" s="3">
        <v>0</v>
      </c>
      <c r="V22" s="3">
        <v>0</v>
      </c>
      <c r="W22" s="3">
        <f t="shared" si="17"/>
        <v>0</v>
      </c>
      <c r="X22" s="3">
        <f t="shared" si="18"/>
        <v>0</v>
      </c>
      <c r="Y22" s="3">
        <f t="shared" si="19"/>
        <v>92</v>
      </c>
      <c r="Z22" s="3">
        <f>SUM(P22:S22)</f>
        <v>0</v>
      </c>
      <c r="AA22" s="3">
        <f t="shared" si="22"/>
        <v>23</v>
      </c>
      <c r="AB22" s="3">
        <f t="shared" si="23"/>
        <v>28.75</v>
      </c>
      <c r="AC22" s="3">
        <f t="shared" si="23"/>
        <v>35.9375</v>
      </c>
      <c r="AD22" s="3">
        <f t="shared" si="23"/>
        <v>21.921875</v>
      </c>
      <c r="AE22" s="3">
        <f t="shared" si="23"/>
        <v>27.40234375</v>
      </c>
      <c r="AF22" s="3">
        <f t="shared" si="23"/>
        <v>28.5029296875</v>
      </c>
      <c r="AG22" s="3">
        <f t="shared" si="23"/>
        <v>28.441162109375</v>
      </c>
      <c r="AH22" s="3">
        <f t="shared" si="23"/>
        <v>26.56707763671875</v>
      </c>
      <c r="AI22" s="3">
        <f t="shared" si="23"/>
        <v>27.728378295898438</v>
      </c>
      <c r="AJ22" s="3">
        <f t="shared" si="23"/>
        <v>27.809886932373047</v>
      </c>
    </row>
    <row r="23" spans="1:176" x14ac:dyDescent="0.25">
      <c r="A23" s="7" t="s">
        <v>65</v>
      </c>
      <c r="C23" s="3">
        <v>18</v>
      </c>
      <c r="D23" s="3">
        <v>5</v>
      </c>
      <c r="E23" s="3">
        <v>5</v>
      </c>
      <c r="F23" s="3">
        <v>6</v>
      </c>
      <c r="G23" s="3">
        <v>7</v>
      </c>
      <c r="H23" s="3">
        <v>6</v>
      </c>
      <c r="I23" s="3">
        <v>6</v>
      </c>
      <c r="J23" s="3">
        <v>10</v>
      </c>
      <c r="K23" s="3">
        <v>18</v>
      </c>
      <c r="L23" s="3">
        <v>12</v>
      </c>
      <c r="M23" s="3">
        <v>11</v>
      </c>
      <c r="N23" s="3">
        <v>15</v>
      </c>
      <c r="O23" s="3">
        <v>1</v>
      </c>
      <c r="P23" s="3">
        <v>-36</v>
      </c>
      <c r="Q23" s="3">
        <f t="shared" si="21"/>
        <v>0.6</v>
      </c>
      <c r="R23" s="3">
        <f t="shared" ref="R23" si="24">AVERAGE(M23:Q23)</f>
        <v>-1.6800000000000002</v>
      </c>
      <c r="S23" s="3">
        <f t="shared" ref="S23" si="25">AVERAGE(N23:R23)</f>
        <v>-4.2159999999999993</v>
      </c>
      <c r="U23" s="3">
        <v>3</v>
      </c>
      <c r="V23" s="3">
        <v>-2</v>
      </c>
      <c r="W23" s="3">
        <f t="shared" si="17"/>
        <v>23</v>
      </c>
      <c r="X23" s="3">
        <f t="shared" si="18"/>
        <v>40</v>
      </c>
      <c r="Y23" s="3">
        <f t="shared" si="19"/>
        <v>39</v>
      </c>
      <c r="Z23" s="3">
        <f>SUM(P23:S23)</f>
        <v>-41.295999999999999</v>
      </c>
      <c r="AA23" s="3">
        <f t="shared" si="22"/>
        <v>15.176</v>
      </c>
      <c r="AB23" s="3">
        <f t="shared" si="23"/>
        <v>13.22</v>
      </c>
      <c r="AC23" s="3">
        <f t="shared" si="23"/>
        <v>6.5250000000000004</v>
      </c>
      <c r="AD23" s="3">
        <f t="shared" si="23"/>
        <v>-1.5937499999999991</v>
      </c>
      <c r="AE23" s="3">
        <f t="shared" si="23"/>
        <v>8.3318124999999998</v>
      </c>
      <c r="AF23" s="3">
        <f t="shared" si="23"/>
        <v>6.6207656250000007</v>
      </c>
      <c r="AG23" s="3">
        <f t="shared" si="23"/>
        <v>4.9709570312500002</v>
      </c>
      <c r="AH23" s="3">
        <f t="shared" si="23"/>
        <v>4.5824462890625011</v>
      </c>
      <c r="AI23" s="3">
        <f t="shared" si="23"/>
        <v>6.126495361328125</v>
      </c>
      <c r="AJ23" s="3">
        <f t="shared" si="23"/>
        <v>5.5751660766601567</v>
      </c>
    </row>
    <row r="24" spans="1:176" s="25" customFormat="1" x14ac:dyDescent="0.25">
      <c r="A24" s="24" t="s">
        <v>66</v>
      </c>
      <c r="C24" s="22">
        <f>C18-C19+C20-C22+C23+C21</f>
        <v>-349</v>
      </c>
      <c r="D24" s="22">
        <f>D18-D19+D20-D22+D23+D21</f>
        <v>-144</v>
      </c>
      <c r="E24" s="22">
        <f>E18-E19+E20-E22+E23</f>
        <v>127</v>
      </c>
      <c r="F24" s="22">
        <f>F18-F19-F20-F22+F23</f>
        <v>340</v>
      </c>
      <c r="G24" s="22">
        <f>G18-G19-G20-G22+G23</f>
        <v>237</v>
      </c>
      <c r="H24" s="22">
        <f t="shared" ref="H24:P24" si="26">H18-H19+H20-H22+H23</f>
        <v>513</v>
      </c>
      <c r="I24" s="22">
        <f t="shared" si="26"/>
        <v>513</v>
      </c>
      <c r="J24" s="22">
        <f t="shared" si="26"/>
        <v>527</v>
      </c>
      <c r="K24" s="22">
        <f t="shared" si="26"/>
        <v>403</v>
      </c>
      <c r="L24" s="22">
        <f t="shared" si="26"/>
        <v>302</v>
      </c>
      <c r="M24" s="22">
        <f t="shared" si="26"/>
        <v>568</v>
      </c>
      <c r="N24" s="22">
        <f t="shared" si="26"/>
        <v>548</v>
      </c>
      <c r="O24" s="22">
        <f t="shared" si="26"/>
        <v>274</v>
      </c>
      <c r="P24" s="22">
        <f t="shared" si="26"/>
        <v>365</v>
      </c>
      <c r="Q24" s="22">
        <f t="shared" ref="Q24:S24" si="27">Q18-Q19+Q20-Q22+Q23</f>
        <v>606.61440000000016</v>
      </c>
      <c r="R24" s="22">
        <f t="shared" si="27"/>
        <v>612.38800000000003</v>
      </c>
      <c r="S24" s="22">
        <f t="shared" si="27"/>
        <v>580.91600000000005</v>
      </c>
      <c r="U24" s="22">
        <f>U18-U19+U20-U22+U23</f>
        <v>1244</v>
      </c>
      <c r="V24" s="22">
        <f>V18-V19+V20-V22+V23+V21</f>
        <v>-924</v>
      </c>
      <c r="W24" s="22">
        <f>SUM(D24:G24)</f>
        <v>560</v>
      </c>
      <c r="X24" s="22">
        <f>SUM(H24:K24)</f>
        <v>1956</v>
      </c>
      <c r="Y24" s="22">
        <f>SUM(L24:O24)</f>
        <v>1692</v>
      </c>
      <c r="Z24" s="22">
        <f>Z18-Z19+Z20-Z21-Z22+Z23</f>
        <v>2157.9184000000005</v>
      </c>
      <c r="AA24" s="22">
        <f>AA18-SUM(AA19:AA23)</f>
        <v>2652.1558111999993</v>
      </c>
      <c r="AB24" s="22">
        <f t="shared" ref="AB24:AJ24" si="28">AB18-SUM(AB19:AB23)</f>
        <v>3114.7191629017589</v>
      </c>
      <c r="AC24" s="22">
        <f t="shared" si="28"/>
        <v>3673.9094615962053</v>
      </c>
      <c r="AD24" s="22">
        <f t="shared" si="28"/>
        <v>4337.8229858713885</v>
      </c>
      <c r="AE24" s="22">
        <f t="shared" si="28"/>
        <v>5067.8402832002903</v>
      </c>
      <c r="AF24" s="22">
        <f t="shared" si="28"/>
        <v>5471.4868534046227</v>
      </c>
      <c r="AG24" s="22">
        <f t="shared" si="28"/>
        <v>5909.5537024408623</v>
      </c>
      <c r="AH24" s="22">
        <f t="shared" si="28"/>
        <v>6380.2632514528159</v>
      </c>
      <c r="AI24" s="22">
        <f t="shared" si="28"/>
        <v>6881.9891547768739</v>
      </c>
      <c r="AJ24" s="22">
        <f t="shared" si="28"/>
        <v>7052.1196956023923</v>
      </c>
    </row>
    <row r="25" spans="1:176" x14ac:dyDescent="0.25">
      <c r="A25" s="7" t="s">
        <v>67</v>
      </c>
      <c r="C25" s="3">
        <v>124</v>
      </c>
      <c r="D25" s="3">
        <v>35</v>
      </c>
      <c r="E25" s="3">
        <v>1</v>
      </c>
      <c r="F25" s="3">
        <v>100</v>
      </c>
      <c r="G25" s="3">
        <v>89</v>
      </c>
      <c r="H25" s="3">
        <v>146</v>
      </c>
      <c r="I25" s="3">
        <v>146</v>
      </c>
      <c r="J25" s="3">
        <v>181</v>
      </c>
      <c r="K25" s="3">
        <v>70</v>
      </c>
      <c r="L25" s="3">
        <v>93</v>
      </c>
      <c r="M25" s="3">
        <v>155</v>
      </c>
      <c r="N25" s="3">
        <v>169</v>
      </c>
      <c r="O25" s="3">
        <v>124</v>
      </c>
      <c r="P25" s="3">
        <v>97</v>
      </c>
      <c r="Q25" s="35">
        <f>Q24*0.29</f>
        <v>175.91817600000005</v>
      </c>
      <c r="R25" s="35">
        <f>R24*0.29</f>
        <v>177.59252000000001</v>
      </c>
      <c r="S25" s="35">
        <f>S24*0.29</f>
        <v>168.46564000000001</v>
      </c>
      <c r="U25" s="3">
        <v>358</v>
      </c>
      <c r="V25" s="3">
        <v>204</v>
      </c>
      <c r="W25" s="3">
        <f>SUM(D25:G25)</f>
        <v>225</v>
      </c>
      <c r="X25" s="3">
        <f>SUM(H25:K25)</f>
        <v>543</v>
      </c>
      <c r="Y25" s="3">
        <f>SUM(L25:O25)</f>
        <v>541</v>
      </c>
      <c r="Z25" s="35">
        <f>Z24*0.29</f>
        <v>625.79633600000011</v>
      </c>
      <c r="AA25" s="35">
        <f t="shared" ref="AA25:AJ25" si="29">AA24*0.29</f>
        <v>769.12518524799975</v>
      </c>
      <c r="AB25" s="35">
        <f t="shared" si="29"/>
        <v>903.26855724151005</v>
      </c>
      <c r="AC25" s="35">
        <f t="shared" si="29"/>
        <v>1065.4337438628995</v>
      </c>
      <c r="AD25" s="35">
        <f t="shared" si="29"/>
        <v>1257.9686659027025</v>
      </c>
      <c r="AE25" s="35">
        <f t="shared" si="29"/>
        <v>1469.673682128084</v>
      </c>
      <c r="AF25" s="35">
        <f t="shared" si="29"/>
        <v>1586.7311874873405</v>
      </c>
      <c r="AG25" s="35">
        <f t="shared" si="29"/>
        <v>1713.77057370785</v>
      </c>
      <c r="AH25" s="35">
        <f t="shared" si="29"/>
        <v>1850.2763429213164</v>
      </c>
      <c r="AI25" s="35">
        <f t="shared" si="29"/>
        <v>1995.7768548852932</v>
      </c>
      <c r="AJ25" s="35">
        <f t="shared" si="29"/>
        <v>2045.1147117246937</v>
      </c>
    </row>
    <row r="26" spans="1:176" s="18" customFormat="1" x14ac:dyDescent="0.25">
      <c r="A26" s="17" t="s">
        <v>68</v>
      </c>
      <c r="C26" s="14">
        <f>C24+C25</f>
        <v>-225</v>
      </c>
      <c r="D26" s="14">
        <f>D24+D25</f>
        <v>-109</v>
      </c>
      <c r="E26" s="14">
        <f>E24+E25</f>
        <v>128</v>
      </c>
      <c r="F26" s="14">
        <f t="shared" ref="F26:P26" si="30">F24-F25</f>
        <v>240</v>
      </c>
      <c r="G26" s="14">
        <f t="shared" si="30"/>
        <v>148</v>
      </c>
      <c r="H26" s="14">
        <f t="shared" si="30"/>
        <v>367</v>
      </c>
      <c r="I26" s="14">
        <f t="shared" si="30"/>
        <v>367</v>
      </c>
      <c r="J26" s="14">
        <f t="shared" si="30"/>
        <v>346</v>
      </c>
      <c r="K26" s="14">
        <f t="shared" si="30"/>
        <v>333</v>
      </c>
      <c r="L26" s="14">
        <f t="shared" si="30"/>
        <v>209</v>
      </c>
      <c r="M26" s="14">
        <f t="shared" si="30"/>
        <v>413</v>
      </c>
      <c r="N26" s="14">
        <f t="shared" si="30"/>
        <v>379</v>
      </c>
      <c r="O26" s="14">
        <f t="shared" si="30"/>
        <v>150</v>
      </c>
      <c r="P26" s="14">
        <f t="shared" si="30"/>
        <v>268</v>
      </c>
      <c r="Q26" s="14">
        <f t="shared" ref="Q26:S26" si="31">Q24-Q25</f>
        <v>430.69622400000014</v>
      </c>
      <c r="R26" s="14">
        <f t="shared" si="31"/>
        <v>434.79548</v>
      </c>
      <c r="S26" s="14">
        <f t="shared" si="31"/>
        <v>412.45036000000005</v>
      </c>
      <c r="U26" s="14">
        <f>U24-U25</f>
        <v>886</v>
      </c>
      <c r="V26" s="14">
        <f>V24+V25</f>
        <v>-720</v>
      </c>
      <c r="W26" s="14">
        <f t="shared" ref="W26:X26" si="32">W24-W25</f>
        <v>335</v>
      </c>
      <c r="X26" s="14">
        <f t="shared" si="32"/>
        <v>1413</v>
      </c>
      <c r="Y26" s="14">
        <f>Y24-Y25</f>
        <v>1151</v>
      </c>
      <c r="Z26" s="14">
        <f>Z24-Z25</f>
        <v>1532.1220640000004</v>
      </c>
      <c r="AA26" s="14">
        <f t="shared" ref="AA26:AJ26" si="33">AA24-AA25</f>
        <v>1883.0306259519996</v>
      </c>
      <c r="AB26" s="14">
        <f t="shared" si="33"/>
        <v>2211.4506056602486</v>
      </c>
      <c r="AC26" s="14">
        <f t="shared" si="33"/>
        <v>2608.4757177333058</v>
      </c>
      <c r="AD26" s="14">
        <f t="shared" si="33"/>
        <v>3079.854319968686</v>
      </c>
      <c r="AE26" s="14">
        <f t="shared" si="33"/>
        <v>3598.1666010722065</v>
      </c>
      <c r="AF26" s="14">
        <f t="shared" si="33"/>
        <v>3884.7556659172824</v>
      </c>
      <c r="AG26" s="14">
        <f t="shared" si="33"/>
        <v>4195.7831287330118</v>
      </c>
      <c r="AH26" s="14">
        <f t="shared" si="33"/>
        <v>4529.9869085314995</v>
      </c>
      <c r="AI26" s="14">
        <f t="shared" si="33"/>
        <v>4886.2122998915802</v>
      </c>
      <c r="AJ26" s="14">
        <f t="shared" si="33"/>
        <v>5007.0049838776986</v>
      </c>
      <c r="AK26" s="47">
        <f>AJ26*(1+$AM$29)</f>
        <v>4956.9349340389217</v>
      </c>
      <c r="AL26" s="47">
        <f t="shared" ref="AL26:CW26" si="34">AK26*(1+$AM$29)</f>
        <v>4907.3655846985321</v>
      </c>
      <c r="AM26" s="47">
        <f t="shared" si="34"/>
        <v>4858.2919288515468</v>
      </c>
      <c r="AN26" s="47">
        <f t="shared" si="34"/>
        <v>4809.709009563031</v>
      </c>
      <c r="AO26" s="47">
        <f t="shared" si="34"/>
        <v>4761.6119194674011</v>
      </c>
      <c r="AP26" s="47">
        <f t="shared" si="34"/>
        <v>4713.9958002727271</v>
      </c>
      <c r="AQ26" s="47">
        <f t="shared" si="34"/>
        <v>4666.8558422699998</v>
      </c>
      <c r="AR26" s="47">
        <f t="shared" si="34"/>
        <v>4620.1872838473</v>
      </c>
      <c r="AS26" s="47">
        <f t="shared" si="34"/>
        <v>4573.9854110088272</v>
      </c>
      <c r="AT26" s="47">
        <f t="shared" si="34"/>
        <v>4528.2455568987389</v>
      </c>
      <c r="AU26" s="47">
        <f t="shared" si="34"/>
        <v>4482.9631013297512</v>
      </c>
      <c r="AV26" s="47">
        <f t="shared" si="34"/>
        <v>4438.1334703164539</v>
      </c>
      <c r="AW26" s="47">
        <f t="shared" si="34"/>
        <v>4393.7521356132893</v>
      </c>
      <c r="AX26" s="47">
        <f t="shared" si="34"/>
        <v>4349.8146142571568</v>
      </c>
      <c r="AY26" s="47">
        <f t="shared" si="34"/>
        <v>4306.3164681145854</v>
      </c>
      <c r="AZ26" s="47">
        <f t="shared" si="34"/>
        <v>4263.2533034334392</v>
      </c>
      <c r="BA26" s="47">
        <f t="shared" si="34"/>
        <v>4220.6207703991049</v>
      </c>
      <c r="BB26" s="47">
        <f t="shared" si="34"/>
        <v>4178.414562695114</v>
      </c>
      <c r="BC26" s="47">
        <f t="shared" si="34"/>
        <v>4136.6304170681624</v>
      </c>
      <c r="BD26" s="47">
        <f t="shared" si="34"/>
        <v>4095.2641128974806</v>
      </c>
      <c r="BE26" s="47">
        <f t="shared" si="34"/>
        <v>4054.3114717685057</v>
      </c>
      <c r="BF26" s="47">
        <f t="shared" si="34"/>
        <v>4013.7683570508207</v>
      </c>
      <c r="BG26" s="47">
        <f t="shared" si="34"/>
        <v>3973.6306734803125</v>
      </c>
      <c r="BH26" s="47">
        <f t="shared" si="34"/>
        <v>3933.8943667455092</v>
      </c>
      <c r="BI26" s="47">
        <f t="shared" si="34"/>
        <v>3894.555423078054</v>
      </c>
      <c r="BJ26" s="47">
        <f t="shared" si="34"/>
        <v>3855.6098688472734</v>
      </c>
      <c r="BK26" s="47">
        <f t="shared" si="34"/>
        <v>3817.0537701588005</v>
      </c>
      <c r="BL26" s="47">
        <f t="shared" si="34"/>
        <v>3778.8832324572127</v>
      </c>
      <c r="BM26" s="47">
        <f t="shared" si="34"/>
        <v>3741.0944001326407</v>
      </c>
      <c r="BN26" s="47">
        <f t="shared" si="34"/>
        <v>3703.6834561313144</v>
      </c>
      <c r="BO26" s="47">
        <f t="shared" si="34"/>
        <v>3666.6466215700011</v>
      </c>
      <c r="BP26" s="47">
        <f t="shared" si="34"/>
        <v>3629.9801553543011</v>
      </c>
      <c r="BQ26" s="47">
        <f t="shared" si="34"/>
        <v>3593.680353800758</v>
      </c>
      <c r="BR26" s="47">
        <f t="shared" si="34"/>
        <v>3557.7435502627504</v>
      </c>
      <c r="BS26" s="47">
        <f t="shared" si="34"/>
        <v>3522.166114760123</v>
      </c>
      <c r="BT26" s="47">
        <f t="shared" si="34"/>
        <v>3486.9444536125216</v>
      </c>
      <c r="BU26" s="47">
        <f t="shared" si="34"/>
        <v>3452.0750090763963</v>
      </c>
      <c r="BV26" s="47">
        <f t="shared" si="34"/>
        <v>3417.5542589856323</v>
      </c>
      <c r="BW26" s="47">
        <f t="shared" si="34"/>
        <v>3383.3787163957759</v>
      </c>
      <c r="BX26" s="47">
        <f t="shared" si="34"/>
        <v>3349.5449292318181</v>
      </c>
      <c r="BY26" s="47">
        <f t="shared" si="34"/>
        <v>3316.0494799394996</v>
      </c>
      <c r="BZ26" s="47">
        <f t="shared" si="34"/>
        <v>3282.8889851401045</v>
      </c>
      <c r="CA26" s="47">
        <f t="shared" si="34"/>
        <v>3250.0600952887035</v>
      </c>
      <c r="CB26" s="47">
        <f t="shared" si="34"/>
        <v>3217.5594943358165</v>
      </c>
      <c r="CC26" s="47">
        <f t="shared" si="34"/>
        <v>3185.3838993924583</v>
      </c>
      <c r="CD26" s="47">
        <f t="shared" si="34"/>
        <v>3153.5300603985338</v>
      </c>
      <c r="CE26" s="47">
        <f t="shared" si="34"/>
        <v>3121.9947597945484</v>
      </c>
      <c r="CF26" s="47">
        <f t="shared" si="34"/>
        <v>3090.7748121966029</v>
      </c>
      <c r="CG26" s="47">
        <f t="shared" si="34"/>
        <v>3059.8670640746368</v>
      </c>
      <c r="CH26" s="47">
        <f t="shared" si="34"/>
        <v>3029.2683934338902</v>
      </c>
      <c r="CI26" s="47">
        <f t="shared" si="34"/>
        <v>2998.9757094995512</v>
      </c>
      <c r="CJ26" s="47">
        <f t="shared" si="34"/>
        <v>2968.9859524045555</v>
      </c>
      <c r="CK26" s="47">
        <f t="shared" si="34"/>
        <v>2939.2960928805101</v>
      </c>
      <c r="CL26" s="47">
        <f t="shared" si="34"/>
        <v>2909.9031319517048</v>
      </c>
      <c r="CM26" s="47">
        <f t="shared" si="34"/>
        <v>2880.8041006321878</v>
      </c>
      <c r="CN26" s="47">
        <f t="shared" si="34"/>
        <v>2851.9960596258657</v>
      </c>
      <c r="CO26" s="47">
        <f t="shared" si="34"/>
        <v>2823.4760990296068</v>
      </c>
      <c r="CP26" s="47">
        <f t="shared" si="34"/>
        <v>2795.2413380393104</v>
      </c>
      <c r="CQ26" s="47">
        <f t="shared" si="34"/>
        <v>2767.2889246589175</v>
      </c>
      <c r="CR26" s="47">
        <f t="shared" si="34"/>
        <v>2739.6160354123281</v>
      </c>
      <c r="CS26" s="47">
        <f t="shared" si="34"/>
        <v>2712.2198750582047</v>
      </c>
      <c r="CT26" s="47">
        <f t="shared" si="34"/>
        <v>2685.0976763076228</v>
      </c>
      <c r="CU26" s="47">
        <f t="shared" si="34"/>
        <v>2658.2466995445466</v>
      </c>
      <c r="CV26" s="47">
        <f t="shared" si="34"/>
        <v>2631.6642325491011</v>
      </c>
      <c r="CW26" s="47">
        <f t="shared" si="34"/>
        <v>2605.34759022361</v>
      </c>
      <c r="CX26" s="47">
        <f t="shared" ref="CX26:FI26" si="35">CW26*(1+$AM$29)</f>
        <v>2579.2941143213739</v>
      </c>
      <c r="CY26" s="47">
        <f t="shared" si="35"/>
        <v>2553.5011731781601</v>
      </c>
      <c r="CZ26" s="47">
        <f t="shared" si="35"/>
        <v>2527.9661614463785</v>
      </c>
      <c r="DA26" s="47">
        <f t="shared" si="35"/>
        <v>2502.6864998319147</v>
      </c>
      <c r="DB26" s="47">
        <f t="shared" si="35"/>
        <v>2477.6596348335956</v>
      </c>
      <c r="DC26" s="47">
        <f t="shared" si="35"/>
        <v>2452.8830384852595</v>
      </c>
      <c r="DD26" s="47">
        <f t="shared" si="35"/>
        <v>2428.354208100407</v>
      </c>
      <c r="DE26" s="47">
        <f t="shared" si="35"/>
        <v>2404.0706660194028</v>
      </c>
      <c r="DF26" s="47">
        <f t="shared" si="35"/>
        <v>2380.0299593592085</v>
      </c>
      <c r="DG26" s="47">
        <f t="shared" si="35"/>
        <v>2356.2296597656164</v>
      </c>
      <c r="DH26" s="47">
        <f t="shared" si="35"/>
        <v>2332.66736316796</v>
      </c>
      <c r="DI26" s="47">
        <f t="shared" si="35"/>
        <v>2309.3406895362805</v>
      </c>
      <c r="DJ26" s="47">
        <f t="shared" si="35"/>
        <v>2286.2472826409175</v>
      </c>
      <c r="DK26" s="47">
        <f t="shared" si="35"/>
        <v>2263.3848098145086</v>
      </c>
      <c r="DL26" s="47">
        <f t="shared" si="35"/>
        <v>2240.7509617163637</v>
      </c>
      <c r="DM26" s="47">
        <f t="shared" si="35"/>
        <v>2218.3434520992</v>
      </c>
      <c r="DN26" s="47">
        <f t="shared" si="35"/>
        <v>2196.1600175782082</v>
      </c>
      <c r="DO26" s="47">
        <f t="shared" si="35"/>
        <v>2174.198417402426</v>
      </c>
      <c r="DP26" s="47">
        <f t="shared" si="35"/>
        <v>2152.4564332284017</v>
      </c>
      <c r="DQ26" s="47">
        <f t="shared" si="35"/>
        <v>2130.9318688961175</v>
      </c>
      <c r="DR26" s="47">
        <f t="shared" si="35"/>
        <v>2109.6225502071561</v>
      </c>
      <c r="DS26" s="47">
        <f t="shared" si="35"/>
        <v>2088.5263247050843</v>
      </c>
      <c r="DT26" s="47">
        <f t="shared" si="35"/>
        <v>2067.6410614580336</v>
      </c>
      <c r="DU26" s="47">
        <f t="shared" si="35"/>
        <v>2046.9646508434532</v>
      </c>
      <c r="DV26" s="47">
        <f t="shared" si="35"/>
        <v>2026.4950043350186</v>
      </c>
      <c r="DW26" s="47">
        <f t="shared" si="35"/>
        <v>2006.2300542916685</v>
      </c>
      <c r="DX26" s="47">
        <f t="shared" si="35"/>
        <v>1986.1677537487517</v>
      </c>
      <c r="DY26" s="47">
        <f t="shared" si="35"/>
        <v>1966.3060762112641</v>
      </c>
      <c r="DZ26" s="47">
        <f t="shared" si="35"/>
        <v>1946.6430154491513</v>
      </c>
      <c r="EA26" s="47">
        <f t="shared" si="35"/>
        <v>1927.1765852946598</v>
      </c>
      <c r="EB26" s="47">
        <f t="shared" si="35"/>
        <v>1907.9048194417132</v>
      </c>
      <c r="EC26" s="47">
        <f t="shared" si="35"/>
        <v>1888.8257712472962</v>
      </c>
      <c r="ED26" s="47">
        <f t="shared" si="35"/>
        <v>1869.9375135348232</v>
      </c>
      <c r="EE26" s="47">
        <f t="shared" si="35"/>
        <v>1851.238138399475</v>
      </c>
      <c r="EF26" s="47">
        <f t="shared" si="35"/>
        <v>1832.7257570154802</v>
      </c>
      <c r="EG26" s="47">
        <f t="shared" si="35"/>
        <v>1814.3984994453253</v>
      </c>
      <c r="EH26" s="47">
        <f t="shared" si="35"/>
        <v>1796.254514450872</v>
      </c>
      <c r="EI26" s="47">
        <f t="shared" si="35"/>
        <v>1778.2919693063632</v>
      </c>
      <c r="EJ26" s="47">
        <f t="shared" si="35"/>
        <v>1760.5090496132996</v>
      </c>
      <c r="EK26" s="47">
        <f t="shared" si="35"/>
        <v>1742.9039591171666</v>
      </c>
      <c r="EL26" s="47">
        <f t="shared" si="35"/>
        <v>1725.4749195259949</v>
      </c>
      <c r="EM26" s="47">
        <f t="shared" si="35"/>
        <v>1708.2201703307348</v>
      </c>
      <c r="EN26" s="47">
        <f t="shared" si="35"/>
        <v>1691.1379686274274</v>
      </c>
      <c r="EO26" s="47">
        <f t="shared" si="35"/>
        <v>1674.2265889411531</v>
      </c>
      <c r="EP26" s="47">
        <f t="shared" si="35"/>
        <v>1657.4843230517415</v>
      </c>
      <c r="EQ26" s="47">
        <f t="shared" si="35"/>
        <v>1640.9094798212241</v>
      </c>
      <c r="ER26" s="47">
        <f t="shared" si="35"/>
        <v>1624.5003850230119</v>
      </c>
      <c r="ES26" s="47">
        <f t="shared" si="35"/>
        <v>1608.2553811727817</v>
      </c>
      <c r="ET26" s="47">
        <f t="shared" si="35"/>
        <v>1592.1728273610538</v>
      </c>
      <c r="EU26" s="47">
        <f t="shared" si="35"/>
        <v>1576.2510990874432</v>
      </c>
      <c r="EV26" s="47">
        <f t="shared" si="35"/>
        <v>1560.4885880965687</v>
      </c>
      <c r="EW26" s="47">
        <f t="shared" si="35"/>
        <v>1544.8837022156031</v>
      </c>
      <c r="EX26" s="47">
        <f t="shared" si="35"/>
        <v>1529.434865193447</v>
      </c>
      <c r="EY26" s="47">
        <f t="shared" si="35"/>
        <v>1514.1405165415124</v>
      </c>
      <c r="EZ26" s="47">
        <f t="shared" si="35"/>
        <v>1498.9991113760973</v>
      </c>
      <c r="FA26" s="47">
        <f t="shared" si="35"/>
        <v>1484.0091202623364</v>
      </c>
      <c r="FB26" s="47">
        <f t="shared" si="35"/>
        <v>1469.169029059713</v>
      </c>
      <c r="FC26" s="47">
        <f t="shared" si="35"/>
        <v>1454.4773387691159</v>
      </c>
      <c r="FD26" s="47">
        <f t="shared" si="35"/>
        <v>1439.9325653814249</v>
      </c>
      <c r="FE26" s="47">
        <f t="shared" si="35"/>
        <v>1425.5332397276106</v>
      </c>
      <c r="FF26" s="47">
        <f t="shared" si="35"/>
        <v>1411.2779073303345</v>
      </c>
      <c r="FG26" s="47">
        <f t="shared" si="35"/>
        <v>1397.1651282570313</v>
      </c>
      <c r="FH26" s="47">
        <f t="shared" si="35"/>
        <v>1383.193476974461</v>
      </c>
      <c r="FI26" s="47">
        <f t="shared" si="35"/>
        <v>1369.3615422047164</v>
      </c>
      <c r="FJ26" s="47">
        <f t="shared" ref="FJ26:FT26" si="36">FI26*(1+$AM$29)</f>
        <v>1355.6679267826692</v>
      </c>
      <c r="FK26" s="47">
        <f t="shared" si="36"/>
        <v>1342.1112475148425</v>
      </c>
      <c r="FL26" s="47">
        <f t="shared" si="36"/>
        <v>1328.690135039694</v>
      </c>
      <c r="FM26" s="47">
        <f t="shared" si="36"/>
        <v>1315.4032336892972</v>
      </c>
      <c r="FN26" s="47">
        <f t="shared" si="36"/>
        <v>1302.2492013524043</v>
      </c>
      <c r="FO26" s="47">
        <f t="shared" si="36"/>
        <v>1289.2267093388803</v>
      </c>
      <c r="FP26" s="47">
        <f t="shared" si="36"/>
        <v>1276.3344422454913</v>
      </c>
      <c r="FQ26" s="47">
        <f t="shared" si="36"/>
        <v>1263.5710978230363</v>
      </c>
      <c r="FR26" s="47">
        <f t="shared" si="36"/>
        <v>1250.9353868448059</v>
      </c>
      <c r="FS26" s="47">
        <f t="shared" si="36"/>
        <v>1238.4260329763579</v>
      </c>
      <c r="FT26" s="47">
        <f t="shared" si="36"/>
        <v>1226.0417726465944</v>
      </c>
    </row>
    <row r="27" spans="1:176" x14ac:dyDescent="0.25">
      <c r="A27" s="7" t="s">
        <v>70</v>
      </c>
      <c r="C27" s="3">
        <v>1</v>
      </c>
      <c r="D27" s="3">
        <v>1</v>
      </c>
      <c r="E27" s="3">
        <v>2</v>
      </c>
      <c r="F27" s="3">
        <v>1</v>
      </c>
      <c r="G27" s="3">
        <v>-1</v>
      </c>
      <c r="H27" s="3">
        <v>1</v>
      </c>
      <c r="I27" s="3">
        <v>1</v>
      </c>
      <c r="J27" s="3">
        <v>1</v>
      </c>
      <c r="K27" s="3">
        <v>-5</v>
      </c>
      <c r="L27" s="3">
        <v>-3</v>
      </c>
      <c r="M27" s="3">
        <v>-2</v>
      </c>
      <c r="N27" s="3">
        <v>-2</v>
      </c>
      <c r="O27" s="3">
        <v>-3</v>
      </c>
      <c r="P27" s="3">
        <v>-3</v>
      </c>
      <c r="Q27" s="3">
        <f>AVERAGE(L27:P27)</f>
        <v>-2.6</v>
      </c>
      <c r="R27" s="3">
        <f>AVERAGE(M27:Q27)</f>
        <v>-2.52</v>
      </c>
      <c r="S27" s="3">
        <f>AVERAGE(N27:R27)</f>
        <v>-2.6239999999999997</v>
      </c>
      <c r="U27" s="3">
        <v>-5</v>
      </c>
      <c r="V27" s="3">
        <v>5</v>
      </c>
      <c r="W27" s="3">
        <f>SUM(D27:G27)</f>
        <v>3</v>
      </c>
      <c r="X27" s="3">
        <f>SUM(H27:K27)</f>
        <v>-2</v>
      </c>
      <c r="Y27" s="3">
        <f>SUM(L27:O27)</f>
        <v>-10</v>
      </c>
      <c r="Z27" s="3">
        <f>AVERAGE(W27:Y27)</f>
        <v>-3</v>
      </c>
      <c r="AA27" s="3">
        <f t="shared" ref="AA27" si="37">AVERAGE(X27:Z27)</f>
        <v>-5</v>
      </c>
      <c r="AB27" s="3">
        <f>AA27*1.1</f>
        <v>-5.5</v>
      </c>
      <c r="AC27" s="3">
        <f t="shared" ref="AC27:AJ27" si="38">AB27*1.1</f>
        <v>-6.0500000000000007</v>
      </c>
      <c r="AD27" s="3">
        <f t="shared" si="38"/>
        <v>-6.6550000000000011</v>
      </c>
      <c r="AE27" s="3">
        <f t="shared" si="38"/>
        <v>-7.3205000000000018</v>
      </c>
      <c r="AF27" s="3">
        <f t="shared" si="38"/>
        <v>-8.0525500000000019</v>
      </c>
      <c r="AG27" s="3">
        <f t="shared" si="38"/>
        <v>-8.8578050000000026</v>
      </c>
      <c r="AH27" s="3">
        <f t="shared" si="38"/>
        <v>-9.7435855000000036</v>
      </c>
      <c r="AI27" s="3">
        <f t="shared" si="38"/>
        <v>-10.717944050000005</v>
      </c>
      <c r="AJ27" s="3">
        <f t="shared" si="38"/>
        <v>-11.789738455000007</v>
      </c>
      <c r="AK27" s="3"/>
    </row>
    <row r="28" spans="1:176" x14ac:dyDescent="0.25">
      <c r="A28" s="7" t="s">
        <v>71</v>
      </c>
      <c r="C28" s="3">
        <f t="shared" ref="C28:S28" si="39">C26+C27</f>
        <v>-224</v>
      </c>
      <c r="D28" s="3">
        <f t="shared" si="39"/>
        <v>-108</v>
      </c>
      <c r="E28" s="3">
        <f t="shared" si="39"/>
        <v>130</v>
      </c>
      <c r="F28" s="3">
        <f t="shared" si="39"/>
        <v>241</v>
      </c>
      <c r="G28" s="3">
        <f t="shared" si="39"/>
        <v>147</v>
      </c>
      <c r="H28" s="3">
        <f t="shared" si="39"/>
        <v>368</v>
      </c>
      <c r="I28" s="3">
        <f t="shared" si="39"/>
        <v>368</v>
      </c>
      <c r="J28" s="3">
        <f t="shared" si="39"/>
        <v>347</v>
      </c>
      <c r="K28" s="3">
        <f t="shared" si="39"/>
        <v>328</v>
      </c>
      <c r="L28" s="3">
        <f t="shared" si="39"/>
        <v>206</v>
      </c>
      <c r="M28" s="3">
        <f t="shared" si="39"/>
        <v>411</v>
      </c>
      <c r="N28" s="3">
        <f t="shared" si="39"/>
        <v>377</v>
      </c>
      <c r="O28" s="3">
        <f t="shared" si="39"/>
        <v>147</v>
      </c>
      <c r="P28" s="3">
        <f t="shared" si="39"/>
        <v>265</v>
      </c>
      <c r="Q28" s="3">
        <f t="shared" si="39"/>
        <v>428.09622400000012</v>
      </c>
      <c r="R28" s="3">
        <f t="shared" si="39"/>
        <v>432.27548000000002</v>
      </c>
      <c r="S28" s="3">
        <f t="shared" si="39"/>
        <v>409.82636000000002</v>
      </c>
      <c r="U28" s="3">
        <f t="shared" ref="U28:V28" si="40">U26+U27</f>
        <v>881</v>
      </c>
      <c r="V28" s="3">
        <f t="shared" si="40"/>
        <v>-715</v>
      </c>
      <c r="W28" s="3">
        <f>SUM(D28:G28)</f>
        <v>410</v>
      </c>
      <c r="X28" s="3">
        <f>SUM(H28:K28)</f>
        <v>1411</v>
      </c>
      <c r="Y28" s="3">
        <f>SUM(L28:O28)</f>
        <v>1141</v>
      </c>
      <c r="Z28" s="3">
        <f t="shared" ref="Z28" si="41">Z26+Z27</f>
        <v>1529.1220640000004</v>
      </c>
      <c r="AA28" s="3">
        <f t="shared" ref="AA28" si="42">AA26+AA27</f>
        <v>1878.0306259519996</v>
      </c>
      <c r="AB28" s="3">
        <f t="shared" ref="AB28" si="43">AB26+AB27</f>
        <v>2205.9506056602486</v>
      </c>
      <c r="AC28" s="3">
        <f t="shared" ref="AC28" si="44">AC26+AC27</f>
        <v>2602.4257177333056</v>
      </c>
      <c r="AD28" s="3">
        <f t="shared" ref="AD28" si="45">AD26+AD27</f>
        <v>3073.1993199686858</v>
      </c>
      <c r="AE28" s="3">
        <f t="shared" ref="AE28" si="46">AE26+AE27</f>
        <v>3590.8461010722067</v>
      </c>
      <c r="AF28" s="3">
        <f t="shared" ref="AF28" si="47">AF26+AF27</f>
        <v>3876.7031159172825</v>
      </c>
      <c r="AG28" s="3">
        <f t="shared" ref="AG28" si="48">AG26+AG27</f>
        <v>4186.9253237330122</v>
      </c>
      <c r="AH28" s="3">
        <f t="shared" ref="AH28" si="49">AH26+AH27</f>
        <v>4520.2433230314991</v>
      </c>
      <c r="AI28" s="3">
        <f t="shared" ref="AI28" si="50">AI26+AI27</f>
        <v>4875.4943558415798</v>
      </c>
      <c r="AJ28" s="3">
        <f t="shared" ref="AJ28" si="51">AJ26+AJ27</f>
        <v>4995.2152454226989</v>
      </c>
    </row>
    <row r="29" spans="1:176" s="16" customFormat="1" x14ac:dyDescent="0.25">
      <c r="A29" s="15" t="s">
        <v>69</v>
      </c>
      <c r="C29" s="19">
        <f t="shared" ref="C29:P29" si="52">C28/C30</f>
        <v>-0.80286738351254483</v>
      </c>
      <c r="D29" s="19">
        <f t="shared" si="52"/>
        <v>-0.38848920863309355</v>
      </c>
      <c r="E29" s="19">
        <f t="shared" si="52"/>
        <v>0.46263345195729538</v>
      </c>
      <c r="F29" s="19">
        <f t="shared" si="52"/>
        <v>0.85765124555160144</v>
      </c>
      <c r="G29" s="19">
        <f t="shared" si="52"/>
        <v>0.52127659574468088</v>
      </c>
      <c r="H29" s="19">
        <f t="shared" si="52"/>
        <v>1.3049645390070923</v>
      </c>
      <c r="I29" s="19">
        <f t="shared" si="52"/>
        <v>1.3142857142857143</v>
      </c>
      <c r="J29" s="19">
        <f t="shared" si="52"/>
        <v>1.2618181818181817</v>
      </c>
      <c r="K29" s="19">
        <f t="shared" si="52"/>
        <v>1.2058823529411764</v>
      </c>
      <c r="L29" s="19">
        <f t="shared" si="52"/>
        <v>0.76579925650557623</v>
      </c>
      <c r="M29" s="19">
        <f t="shared" si="52"/>
        <v>1.5451127819548873</v>
      </c>
      <c r="N29" s="19">
        <f t="shared" si="52"/>
        <v>1.4389312977099236</v>
      </c>
      <c r="O29" s="19">
        <f t="shared" si="52"/>
        <v>0.56976744186046513</v>
      </c>
      <c r="P29" s="19">
        <f t="shared" si="52"/>
        <v>1.0392156862745099</v>
      </c>
      <c r="Q29" s="19">
        <f t="shared" ref="Q29:S29" si="53">Q28/Q30</f>
        <v>1.6987945396825401</v>
      </c>
      <c r="R29" s="19">
        <f t="shared" si="53"/>
        <v>1.7862623140495868</v>
      </c>
      <c r="S29" s="19">
        <f t="shared" si="53"/>
        <v>1.7664929310344828</v>
      </c>
      <c r="U29" s="19">
        <f>U28/U30</f>
        <v>3.0379310344827588</v>
      </c>
      <c r="V29" s="19">
        <f>V28/V30</f>
        <v>-2.5812274368231045</v>
      </c>
      <c r="W29" s="43">
        <f>SUM(D29:G29)</f>
        <v>1.4530720846204841</v>
      </c>
      <c r="X29" s="43">
        <f>SUM(H29:K29)</f>
        <v>5.0869507880521647</v>
      </c>
      <c r="Y29" s="19">
        <f>Y28/Y30</f>
        <v>4.3260663507109003</v>
      </c>
      <c r="Z29" s="19">
        <f>Z28/Z30</f>
        <v>6.2349523506625903</v>
      </c>
      <c r="AA29" s="19">
        <f t="shared" ref="AA29:AJ29" si="54">AA28/AA30</f>
        <v>7.7604571320330562</v>
      </c>
      <c r="AB29" s="19">
        <f t="shared" si="54"/>
        <v>8.6621097080899823</v>
      </c>
      <c r="AC29" s="19">
        <f t="shared" si="54"/>
        <v>9.7713105797245525</v>
      </c>
      <c r="AD29" s="19">
        <f t="shared" si="54"/>
        <v>10.878581663605967</v>
      </c>
      <c r="AE29" s="19">
        <f t="shared" si="54"/>
        <v>12.770290646178108</v>
      </c>
      <c r="AF29" s="19">
        <f t="shared" si="54"/>
        <v>14.116351810349686</v>
      </c>
      <c r="AG29" s="19">
        <f t="shared" si="54"/>
        <v>15.699743421543987</v>
      </c>
      <c r="AH29" s="19">
        <f t="shared" si="54"/>
        <v>17.584219102480912</v>
      </c>
      <c r="AI29" s="19">
        <f t="shared" si="54"/>
        <v>19.392088919489215</v>
      </c>
      <c r="AJ29" s="19">
        <f t="shared" si="54"/>
        <v>19.817367698180803</v>
      </c>
      <c r="AL29" s="16" t="s">
        <v>116</v>
      </c>
      <c r="AM29" s="46">
        <v>-0.01</v>
      </c>
    </row>
    <row r="30" spans="1:176" x14ac:dyDescent="0.25">
      <c r="A30" s="7" t="s">
        <v>1</v>
      </c>
      <c r="C30">
        <v>279</v>
      </c>
      <c r="D30">
        <v>278</v>
      </c>
      <c r="E30">
        <v>281</v>
      </c>
      <c r="F30">
        <v>281</v>
      </c>
      <c r="G30">
        <v>282</v>
      </c>
      <c r="H30">
        <v>282</v>
      </c>
      <c r="I30">
        <v>280</v>
      </c>
      <c r="J30">
        <v>275</v>
      </c>
      <c r="K30">
        <v>272</v>
      </c>
      <c r="L30">
        <v>269</v>
      </c>
      <c r="M30">
        <v>266</v>
      </c>
      <c r="N30">
        <v>262</v>
      </c>
      <c r="O30">
        <v>258</v>
      </c>
      <c r="P30">
        <v>255</v>
      </c>
      <c r="Q30">
        <v>252</v>
      </c>
      <c r="R30">
        <v>242</v>
      </c>
      <c r="S30">
        <v>232</v>
      </c>
      <c r="U30">
        <v>290</v>
      </c>
      <c r="V30">
        <v>277</v>
      </c>
      <c r="W30" s="3">
        <f>AVERAGE(D30:G30)</f>
        <v>280.5</v>
      </c>
      <c r="X30" s="3">
        <f>AVERAGE(H30:K30)</f>
        <v>277.25</v>
      </c>
      <c r="Y30" s="3">
        <f>AVERAGE(L30:O30)</f>
        <v>263.75</v>
      </c>
      <c r="Z30">
        <f>AVERAGE(P30:S30)</f>
        <v>245.25</v>
      </c>
      <c r="AA30">
        <f t="shared" ref="AA30:AJ30" si="55">AVERAGE(Q30:T30)</f>
        <v>242</v>
      </c>
      <c r="AB30" s="35">
        <f t="shared" si="55"/>
        <v>254.66666666666666</v>
      </c>
      <c r="AC30" s="35">
        <f t="shared" si="55"/>
        <v>266.33333333333331</v>
      </c>
      <c r="AD30" s="35">
        <f t="shared" si="55"/>
        <v>282.5</v>
      </c>
      <c r="AE30" s="35">
        <f t="shared" si="55"/>
        <v>281.1875</v>
      </c>
      <c r="AF30" s="35">
        <f t="shared" si="55"/>
        <v>274.625</v>
      </c>
      <c r="AG30" s="35">
        <f t="shared" si="55"/>
        <v>266.6875</v>
      </c>
      <c r="AH30" s="35">
        <f t="shared" si="55"/>
        <v>257.0625</v>
      </c>
      <c r="AI30" s="35">
        <f t="shared" si="55"/>
        <v>251.41666666666666</v>
      </c>
      <c r="AJ30" s="35">
        <f t="shared" si="55"/>
        <v>252.0625</v>
      </c>
      <c r="AL30" t="s">
        <v>117</v>
      </c>
      <c r="AM30" s="46">
        <v>8.0699999999999994E-2</v>
      </c>
    </row>
    <row r="31" spans="1:176" x14ac:dyDescent="0.25">
      <c r="A31" s="7" t="s">
        <v>72</v>
      </c>
      <c r="AL31" t="s">
        <v>118</v>
      </c>
      <c r="AM31" s="48">
        <f>NPV(AM30,Z26:FT26)</f>
        <v>45460.521709396788</v>
      </c>
    </row>
    <row r="32" spans="1:176" x14ac:dyDescent="0.25">
      <c r="AL32" t="s">
        <v>3</v>
      </c>
      <c r="AM32" s="3">
        <v>-9129</v>
      </c>
    </row>
    <row r="33" spans="1:39" x14ac:dyDescent="0.25">
      <c r="AL33" t="s">
        <v>119</v>
      </c>
      <c r="AM33" s="48">
        <f>AM31+AM32</f>
        <v>36331.521709396788</v>
      </c>
    </row>
    <row r="34" spans="1:39" s="27" customFormat="1" x14ac:dyDescent="0.25">
      <c r="A34" s="26" t="s">
        <v>102</v>
      </c>
      <c r="C34" s="32">
        <f t="shared" ref="C34:S34" si="56">(C3+C4+C5+C6+C7+C8-C10-C14-C15)/C9</f>
        <v>0.12471910112359551</v>
      </c>
      <c r="D34" s="32">
        <f t="shared" si="56"/>
        <v>0.19336384439359267</v>
      </c>
      <c r="E34" s="32">
        <f t="shared" si="56"/>
        <v>0.27689992475545522</v>
      </c>
      <c r="F34" s="32">
        <f t="shared" si="56"/>
        <v>0.33905088622069757</v>
      </c>
      <c r="G34" s="32">
        <f t="shared" si="56"/>
        <v>0.26143790849673204</v>
      </c>
      <c r="H34" s="32">
        <f t="shared" si="56"/>
        <v>0.33080357142857142</v>
      </c>
      <c r="I34" s="32">
        <f t="shared" si="56"/>
        <v>0.33080357142857142</v>
      </c>
      <c r="J34" s="32">
        <f t="shared" si="56"/>
        <v>0.31883445945945948</v>
      </c>
      <c r="K34" s="32">
        <f t="shared" si="56"/>
        <v>0.26104746317512273</v>
      </c>
      <c r="L34" s="32">
        <f t="shared" si="56"/>
        <v>0.27300479720889664</v>
      </c>
      <c r="M34" s="32">
        <f t="shared" si="56"/>
        <v>0.30902255639097742</v>
      </c>
      <c r="N34" s="32">
        <f t="shared" si="56"/>
        <v>0.2951739618406285</v>
      </c>
      <c r="O34" s="32">
        <f t="shared" si="56"/>
        <v>0.22269068608662324</v>
      </c>
      <c r="P34" s="32">
        <f t="shared" si="56"/>
        <v>0.25884181888845703</v>
      </c>
      <c r="Q34" s="32">
        <f t="shared" si="56"/>
        <v>0</v>
      </c>
      <c r="R34" s="32">
        <f t="shared" si="56"/>
        <v>0</v>
      </c>
      <c r="S34" s="32">
        <f t="shared" si="56"/>
        <v>0</v>
      </c>
      <c r="U34" s="32">
        <f t="shared" ref="U34:AJ34" si="57">(U3+U4+U5+U6+U7+U8-U10-U14-U15)/U9</f>
        <v>0.25</v>
      </c>
      <c r="V34" s="32">
        <f t="shared" si="57"/>
        <v>0.11191084281402368</v>
      </c>
      <c r="W34" s="32">
        <f t="shared" si="57"/>
        <v>0.27816171389080857</v>
      </c>
      <c r="X34" s="32">
        <f t="shared" si="57"/>
        <v>0.3094059405940594</v>
      </c>
      <c r="Y34" s="32">
        <f t="shared" si="57"/>
        <v>0.27532975085490963</v>
      </c>
      <c r="Z34" s="32">
        <f t="shared" si="57"/>
        <v>0</v>
      </c>
      <c r="AA34" s="32">
        <f t="shared" si="57"/>
        <v>0</v>
      </c>
      <c r="AB34" s="32">
        <f t="shared" si="57"/>
        <v>0</v>
      </c>
      <c r="AC34" s="32">
        <f t="shared" si="57"/>
        <v>0</v>
      </c>
      <c r="AD34" s="32">
        <f t="shared" si="57"/>
        <v>0</v>
      </c>
      <c r="AE34" s="32">
        <f t="shared" si="57"/>
        <v>0</v>
      </c>
      <c r="AF34" s="32">
        <f t="shared" si="57"/>
        <v>0</v>
      </c>
      <c r="AG34" s="32">
        <f t="shared" si="57"/>
        <v>0</v>
      </c>
      <c r="AH34" s="32">
        <f t="shared" si="57"/>
        <v>0</v>
      </c>
      <c r="AI34" s="32">
        <f t="shared" si="57"/>
        <v>0</v>
      </c>
      <c r="AJ34" s="32">
        <f t="shared" si="57"/>
        <v>0</v>
      </c>
      <c r="AL34" s="27" t="s">
        <v>120</v>
      </c>
      <c r="AM34" s="49">
        <f>AM33/P30</f>
        <v>142.47655572312465</v>
      </c>
    </row>
    <row r="35" spans="1:39" s="29" customFormat="1" x14ac:dyDescent="0.25">
      <c r="A35" s="28" t="s">
        <v>103</v>
      </c>
      <c r="C35" s="33">
        <f t="shared" ref="C35:P35" si="58">C18/C9</f>
        <v>-0.21910112359550563</v>
      </c>
      <c r="D35" s="33">
        <f t="shared" si="58"/>
        <v>2.4027459954233409E-2</v>
      </c>
      <c r="E35" s="33">
        <f t="shared" si="58"/>
        <v>0.16854778028592926</v>
      </c>
      <c r="F35" s="33">
        <f t="shared" si="58"/>
        <v>0.24699828473413379</v>
      </c>
      <c r="G35" s="33">
        <f t="shared" si="58"/>
        <v>0.18137254901960784</v>
      </c>
      <c r="H35" s="33">
        <f t="shared" si="58"/>
        <v>0.26696428571428571</v>
      </c>
      <c r="I35" s="33">
        <f t="shared" si="58"/>
        <v>0.26696428571428571</v>
      </c>
      <c r="J35" s="33">
        <f t="shared" si="58"/>
        <v>0.26309121621621623</v>
      </c>
      <c r="K35" s="33">
        <f t="shared" si="58"/>
        <v>0.20621931260229132</v>
      </c>
      <c r="L35" s="33">
        <f t="shared" si="58"/>
        <v>0.21718273004797209</v>
      </c>
      <c r="M35" s="33">
        <f t="shared" si="58"/>
        <v>0.25338345864661654</v>
      </c>
      <c r="N35" s="33">
        <f t="shared" si="58"/>
        <v>0.2442947998503554</v>
      </c>
      <c r="O35" s="33">
        <f t="shared" si="58"/>
        <v>0.15331544653123802</v>
      </c>
      <c r="P35" s="33">
        <f t="shared" si="58"/>
        <v>0.20715118538670813</v>
      </c>
      <c r="Q35" s="33">
        <f t="shared" ref="Q35:S35" si="59">Q18/Q9</f>
        <v>0.24000000000000005</v>
      </c>
      <c r="R35" s="33">
        <f t="shared" si="59"/>
        <v>0.24000000000000002</v>
      </c>
      <c r="S35" s="33">
        <f t="shared" si="59"/>
        <v>0.24000000000000007</v>
      </c>
      <c r="U35" s="33">
        <f t="shared" ref="U35:AB35" si="60">U18/U9</f>
        <v>0.17530681337283116</v>
      </c>
      <c r="V35" s="33">
        <f t="shared" si="60"/>
        <v>-9.7051311817970748E-2</v>
      </c>
      <c r="W35" s="33">
        <f t="shared" si="60"/>
        <v>0.17449896337249482</v>
      </c>
      <c r="X35" s="33">
        <f t="shared" si="60"/>
        <v>0.25</v>
      </c>
      <c r="Y35" s="33">
        <f t="shared" si="60"/>
        <v>0.21739130434782608</v>
      </c>
      <c r="Z35" s="33">
        <f t="shared" si="60"/>
        <v>0.23213810544834795</v>
      </c>
      <c r="AA35" s="33">
        <f t="shared" si="60"/>
        <v>0.23</v>
      </c>
      <c r="AB35" s="33">
        <f t="shared" si="60"/>
        <v>0.22999999999999995</v>
      </c>
      <c r="AC35" s="33">
        <f t="shared" ref="AC35:AJ35" si="61">AC18/AC9</f>
        <v>0.22999999999999995</v>
      </c>
      <c r="AD35" s="33">
        <f t="shared" si="61"/>
        <v>0.22999999999999995</v>
      </c>
      <c r="AE35" s="33">
        <f t="shared" si="61"/>
        <v>0.22999999999999993</v>
      </c>
      <c r="AF35" s="33">
        <f t="shared" si="61"/>
        <v>0.23000000000000004</v>
      </c>
      <c r="AG35" s="33">
        <f t="shared" si="61"/>
        <v>0.23</v>
      </c>
      <c r="AH35" s="33">
        <f t="shared" si="61"/>
        <v>0.22999999999999995</v>
      </c>
      <c r="AI35" s="33">
        <f t="shared" si="61"/>
        <v>0.23</v>
      </c>
      <c r="AJ35" s="33">
        <f t="shared" si="61"/>
        <v>0.22999999999999995</v>
      </c>
      <c r="AL35" s="29" t="s">
        <v>121</v>
      </c>
      <c r="AM35" s="33">
        <f>AM34/Main!L2-1</f>
        <v>-0.28107500392004925</v>
      </c>
    </row>
    <row r="36" spans="1:39" s="29" customFormat="1" x14ac:dyDescent="0.25">
      <c r="A36" s="28" t="s">
        <v>104</v>
      </c>
      <c r="C36" s="33">
        <f t="shared" ref="C36:P36" si="62">C28/C9</f>
        <v>-0.25168539325842698</v>
      </c>
      <c r="D36" s="33">
        <f t="shared" si="62"/>
        <v>-0.12356979405034325</v>
      </c>
      <c r="E36" s="33">
        <f t="shared" si="62"/>
        <v>9.7817908201655382E-2</v>
      </c>
      <c r="F36" s="33">
        <f t="shared" si="62"/>
        <v>0.1377930245854774</v>
      </c>
      <c r="G36" s="33">
        <f t="shared" si="62"/>
        <v>8.0065359477124176E-2</v>
      </c>
      <c r="H36" s="33">
        <f t="shared" si="62"/>
        <v>0.16428571428571428</v>
      </c>
      <c r="I36" s="33">
        <f t="shared" si="62"/>
        <v>0.16428571428571428</v>
      </c>
      <c r="J36" s="33">
        <f t="shared" si="62"/>
        <v>0.14653716216216217</v>
      </c>
      <c r="K36" s="33">
        <f t="shared" si="62"/>
        <v>0.13420621931260229</v>
      </c>
      <c r="L36" s="33">
        <f t="shared" si="62"/>
        <v>8.9838639337112947E-2</v>
      </c>
      <c r="M36" s="33">
        <f t="shared" si="62"/>
        <v>0.15451127819548871</v>
      </c>
      <c r="N36" s="33">
        <f t="shared" si="62"/>
        <v>0.14104002992891881</v>
      </c>
      <c r="O36" s="33">
        <f t="shared" si="62"/>
        <v>5.6343426600229972E-2</v>
      </c>
      <c r="P36" s="33">
        <f t="shared" si="62"/>
        <v>0.10299261562378546</v>
      </c>
      <c r="Q36" s="33">
        <f t="shared" ref="Q36:S36" si="63">Q28/Q9</f>
        <v>0.14105033310708853</v>
      </c>
      <c r="R36" s="33">
        <f t="shared" si="63"/>
        <v>0.14062541030270501</v>
      </c>
      <c r="S36" s="33">
        <f t="shared" si="63"/>
        <v>0.13850398283174775</v>
      </c>
      <c r="U36" s="33">
        <f t="shared" ref="U36:AB36" si="64">U28/U9</f>
        <v>9.3207786711807031E-2</v>
      </c>
      <c r="V36" s="33">
        <f t="shared" si="64"/>
        <v>-0.1660088228465289</v>
      </c>
      <c r="W36" s="33">
        <f t="shared" si="64"/>
        <v>7.0836212854181069E-2</v>
      </c>
      <c r="X36" s="33">
        <f t="shared" si="64"/>
        <v>0.15185105467068447</v>
      </c>
      <c r="Y36" s="33">
        <f t="shared" si="64"/>
        <v>0.11148021494870543</v>
      </c>
      <c r="Z36" s="33">
        <f t="shared" si="64"/>
        <v>0.1313570413436693</v>
      </c>
      <c r="AA36" s="33">
        <f t="shared" si="64"/>
        <v>0.13859925408308219</v>
      </c>
      <c r="AB36" s="33">
        <f t="shared" si="64"/>
        <v>0.14067212674619531</v>
      </c>
      <c r="AC36" s="33">
        <f t="shared" ref="AC36:AJ36" si="65">AC28/AC9</f>
        <v>0.14339851654560354</v>
      </c>
      <c r="AD36" s="33">
        <f t="shared" si="65"/>
        <v>0.14632249295975333</v>
      </c>
      <c r="AE36" s="33">
        <f t="shared" si="65"/>
        <v>0.14773085199147418</v>
      </c>
      <c r="AF36" s="33">
        <f t="shared" si="65"/>
        <v>0.14836398483806851</v>
      </c>
      <c r="AG36" s="33">
        <f t="shared" si="65"/>
        <v>0.14905711006066716</v>
      </c>
      <c r="AH36" s="33">
        <f t="shared" si="65"/>
        <v>0.14969621889758938</v>
      </c>
      <c r="AI36" s="33">
        <f t="shared" si="65"/>
        <v>0.15019629206475296</v>
      </c>
      <c r="AJ36" s="33">
        <f t="shared" si="65"/>
        <v>0.15013117883615701</v>
      </c>
    </row>
    <row r="37" spans="1:39" s="31" customFormat="1" x14ac:dyDescent="0.25">
      <c r="A37" s="30" t="s">
        <v>105</v>
      </c>
      <c r="C37" s="34">
        <f t="shared" ref="C37:P37" si="66">C25/C24</f>
        <v>-0.35530085959885388</v>
      </c>
      <c r="D37" s="34">
        <f t="shared" si="66"/>
        <v>-0.24305555555555555</v>
      </c>
      <c r="E37" s="34">
        <f t="shared" si="66"/>
        <v>7.874015748031496E-3</v>
      </c>
      <c r="F37" s="34">
        <f t="shared" si="66"/>
        <v>0.29411764705882354</v>
      </c>
      <c r="G37" s="34">
        <f t="shared" si="66"/>
        <v>0.37552742616033757</v>
      </c>
      <c r="H37" s="34">
        <f t="shared" si="66"/>
        <v>0.28460038986354774</v>
      </c>
      <c r="I37" s="34">
        <f t="shared" si="66"/>
        <v>0.28460038986354774</v>
      </c>
      <c r="J37" s="34">
        <f t="shared" si="66"/>
        <v>0.34345351043643263</v>
      </c>
      <c r="K37" s="34">
        <f t="shared" si="66"/>
        <v>0.17369727047146402</v>
      </c>
      <c r="L37" s="34">
        <f t="shared" si="66"/>
        <v>0.30794701986754969</v>
      </c>
      <c r="M37" s="34">
        <f t="shared" si="66"/>
        <v>0.272887323943662</v>
      </c>
      <c r="N37" s="34">
        <f t="shared" si="66"/>
        <v>0.30839416058394159</v>
      </c>
      <c r="O37" s="34">
        <f t="shared" si="66"/>
        <v>0.45255474452554745</v>
      </c>
      <c r="P37" s="34">
        <f t="shared" si="66"/>
        <v>0.26575342465753427</v>
      </c>
      <c r="Q37" s="34">
        <f t="shared" ref="Q37:S37" si="67">Q25/Q24</f>
        <v>0.28999999999999998</v>
      </c>
      <c r="R37" s="34">
        <f t="shared" si="67"/>
        <v>0.28999999999999998</v>
      </c>
      <c r="S37" s="34">
        <f t="shared" si="67"/>
        <v>0.28999999999999998</v>
      </c>
      <c r="U37" s="34">
        <f t="shared" ref="U37:AB37" si="68">U25/U24</f>
        <v>0.28778135048231512</v>
      </c>
      <c r="V37" s="34">
        <f t="shared" si="68"/>
        <v>-0.22077922077922077</v>
      </c>
      <c r="W37" s="34">
        <f t="shared" si="68"/>
        <v>0.4017857142857143</v>
      </c>
      <c r="X37" s="34">
        <f t="shared" si="68"/>
        <v>0.27760736196319019</v>
      </c>
      <c r="Y37" s="34">
        <f t="shared" si="68"/>
        <v>0.31973995271867611</v>
      </c>
      <c r="Z37" s="34">
        <f t="shared" si="68"/>
        <v>0.28999999999999998</v>
      </c>
      <c r="AA37" s="34">
        <f t="shared" si="68"/>
        <v>0.28999999999999998</v>
      </c>
      <c r="AB37" s="34">
        <f t="shared" si="68"/>
        <v>0.28999999999999998</v>
      </c>
      <c r="AC37" s="34">
        <f t="shared" ref="AC37:AJ37" si="69">AC25/AC24</f>
        <v>0.28999999999999998</v>
      </c>
      <c r="AD37" s="34">
        <f t="shared" si="69"/>
        <v>0.28999999999999998</v>
      </c>
      <c r="AE37" s="34">
        <f t="shared" si="69"/>
        <v>0.28999999999999998</v>
      </c>
      <c r="AF37" s="34">
        <f t="shared" si="69"/>
        <v>0.28999999999999998</v>
      </c>
      <c r="AG37" s="34">
        <f t="shared" si="69"/>
        <v>0.28999999999999998</v>
      </c>
      <c r="AH37" s="34">
        <f t="shared" si="69"/>
        <v>0.28999999999999998</v>
      </c>
      <c r="AI37" s="34">
        <f t="shared" si="69"/>
        <v>0.28999999999999998</v>
      </c>
      <c r="AJ37" s="34">
        <f t="shared" si="69"/>
        <v>0.28999999999999998</v>
      </c>
    </row>
    <row r="39" spans="1:39" s="27" customFormat="1" x14ac:dyDescent="0.25">
      <c r="A39" s="26" t="s">
        <v>106</v>
      </c>
      <c r="C39" s="32"/>
      <c r="D39" s="32"/>
      <c r="E39" s="32"/>
      <c r="F39" s="32"/>
      <c r="G39" s="32">
        <f t="shared" ref="G39:S39" si="70">G9/C9-1</f>
        <v>1.0629213483146067</v>
      </c>
      <c r="H39" s="32">
        <f t="shared" si="70"/>
        <v>1.5629290617848972</v>
      </c>
      <c r="I39" s="32">
        <f t="shared" si="70"/>
        <v>0.68547780285929272</v>
      </c>
      <c r="J39" s="32">
        <f t="shared" si="70"/>
        <v>0.35391652372784455</v>
      </c>
      <c r="K39" s="32">
        <f t="shared" si="70"/>
        <v>0.33115468409586057</v>
      </c>
      <c r="L39" s="32">
        <f t="shared" si="70"/>
        <v>2.3660714285714368E-2</v>
      </c>
      <c r="M39" s="32">
        <f t="shared" si="70"/>
        <v>0.1875</v>
      </c>
      <c r="N39" s="32">
        <f t="shared" si="70"/>
        <v>0.12880067567567566</v>
      </c>
      <c r="O39" s="32">
        <f t="shared" si="70"/>
        <v>6.7512274959083518E-2</v>
      </c>
      <c r="P39" s="32">
        <f t="shared" si="70"/>
        <v>0.12211077191452246</v>
      </c>
      <c r="Q39" s="32">
        <f t="shared" si="70"/>
        <v>0.14100000000000001</v>
      </c>
      <c r="R39" s="32">
        <f t="shared" si="70"/>
        <v>0.14999999999999991</v>
      </c>
      <c r="S39" s="32">
        <f t="shared" si="70"/>
        <v>0.13413185128401683</v>
      </c>
      <c r="U39" s="32"/>
      <c r="V39" s="32">
        <f t="shared" ref="V39:AJ39" si="71">V9/U9-1</f>
        <v>-0.54432924248836223</v>
      </c>
      <c r="W39" s="32">
        <f t="shared" si="71"/>
        <v>0.34385883445553755</v>
      </c>
      <c r="X39" s="32">
        <f t="shared" si="71"/>
        <v>0.60539046302695221</v>
      </c>
      <c r="Y39" s="32">
        <f t="shared" si="71"/>
        <v>0.10148514851485158</v>
      </c>
      <c r="Z39" s="45">
        <f t="shared" si="71"/>
        <v>0.13736785539814345</v>
      </c>
      <c r="AA39" s="45">
        <f t="shared" si="71"/>
        <v>0.16399999999999992</v>
      </c>
      <c r="AB39" s="45">
        <f t="shared" si="71"/>
        <v>0.1573</v>
      </c>
      <c r="AC39" s="45">
        <f t="shared" si="71"/>
        <v>0.1573</v>
      </c>
      <c r="AD39" s="45">
        <f t="shared" si="71"/>
        <v>0.1573</v>
      </c>
      <c r="AE39" s="45">
        <f t="shared" si="71"/>
        <v>0.1573</v>
      </c>
      <c r="AF39" s="45">
        <f t="shared" si="71"/>
        <v>7.4999999999999956E-2</v>
      </c>
      <c r="AG39" s="45">
        <f t="shared" si="71"/>
        <v>7.4999999999999956E-2</v>
      </c>
      <c r="AH39" s="45">
        <f t="shared" si="71"/>
        <v>7.4999999999999956E-2</v>
      </c>
      <c r="AI39" s="45">
        <f t="shared" si="71"/>
        <v>7.4999999999999956E-2</v>
      </c>
      <c r="AJ39" s="45">
        <f t="shared" si="71"/>
        <v>2.4999999999999911E-2</v>
      </c>
    </row>
    <row r="40" spans="1:39" s="31" customFormat="1" x14ac:dyDescent="0.25">
      <c r="A40" s="30" t="s">
        <v>107</v>
      </c>
      <c r="C40" s="34"/>
      <c r="D40" s="34">
        <f t="shared" ref="D40:S40" si="72">D9/C9-1</f>
        <v>-1.7977528089887618E-2</v>
      </c>
      <c r="E40" s="34">
        <f t="shared" si="72"/>
        <v>0.52059496567505725</v>
      </c>
      <c r="F40" s="34">
        <f t="shared" si="72"/>
        <v>0.31602708803611734</v>
      </c>
      <c r="G40" s="34">
        <f t="shared" si="72"/>
        <v>4.9742710120068701E-2</v>
      </c>
      <c r="H40" s="34">
        <f t="shared" si="72"/>
        <v>0.22004357298474941</v>
      </c>
      <c r="I40" s="34">
        <f t="shared" si="72"/>
        <v>0</v>
      </c>
      <c r="J40" s="34">
        <f t="shared" si="72"/>
        <v>5.7142857142857162E-2</v>
      </c>
      <c r="K40" s="34">
        <f t="shared" si="72"/>
        <v>3.2094594594594517E-2</v>
      </c>
      <c r="L40" s="34">
        <f t="shared" si="72"/>
        <v>-6.1783960720130926E-2</v>
      </c>
      <c r="M40" s="34">
        <f t="shared" si="72"/>
        <v>0.1600523331879633</v>
      </c>
      <c r="N40" s="34">
        <f t="shared" si="72"/>
        <v>4.8872180451127178E-3</v>
      </c>
      <c r="O40" s="34">
        <f t="shared" si="72"/>
        <v>-2.3943135054246167E-2</v>
      </c>
      <c r="P40" s="34">
        <f t="shared" si="72"/>
        <v>-1.3798390187811371E-2</v>
      </c>
      <c r="Q40" s="34">
        <f t="shared" si="72"/>
        <v>0.1795802565099105</v>
      </c>
      <c r="R40" s="34">
        <f t="shared" si="72"/>
        <v>1.2813585233899749E-2</v>
      </c>
      <c r="S40" s="34">
        <f t="shared" si="72"/>
        <v>-3.7411148522259685E-2</v>
      </c>
    </row>
    <row r="41" spans="1:39" s="29" customFormat="1" x14ac:dyDescent="0.25">
      <c r="A41" s="28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</row>
    <row r="42" spans="1:39" s="36" customFormat="1" x14ac:dyDescent="0.25">
      <c r="A42" s="36" t="s">
        <v>108</v>
      </c>
      <c r="C42" s="37"/>
      <c r="D42" s="37"/>
      <c r="E42" s="37"/>
      <c r="F42" s="37"/>
      <c r="G42" s="37"/>
      <c r="H42" s="37">
        <f>SUM(E28:H28)/AVERAGE(H61)</f>
        <v>5.7312892166375577E-2</v>
      </c>
      <c r="I42" s="37">
        <f>SUM(F28:I28)/AVERAGE(H61:I61)</f>
        <v>7.2889984112058617E-2</v>
      </c>
      <c r="J42" s="37">
        <f>SUM(G28:J28)/AVERAGE(H61:J61)</f>
        <v>7.9613368141707483E-2</v>
      </c>
      <c r="K42" s="37">
        <f t="shared" ref="K42:P42" si="73">SUM(H28:K28)/AVERAGE(H61:K61)</f>
        <v>9.1207317270244503E-2</v>
      </c>
      <c r="L42" s="37">
        <f t="shared" si="73"/>
        <v>8.1060470851654146E-2</v>
      </c>
      <c r="M42" s="37">
        <f t="shared" si="73"/>
        <v>8.3966985117306811E-2</v>
      </c>
      <c r="N42" s="37">
        <f t="shared" si="73"/>
        <v>8.6348791639451333E-2</v>
      </c>
      <c r="O42" s="37">
        <f t="shared" si="73"/>
        <v>7.4686216432931316E-2</v>
      </c>
      <c r="P42" s="37">
        <f t="shared" si="73"/>
        <v>7.7632217370208631E-2</v>
      </c>
      <c r="V42" s="37">
        <f>V28/V61</f>
        <v>-4.2673828707848402E-2</v>
      </c>
      <c r="W42" s="37">
        <f>W28/W61</f>
        <v>2.6552684411631371E-2</v>
      </c>
      <c r="X42" s="37">
        <f>X28/X61</f>
        <v>9.0844707700231786E-2</v>
      </c>
      <c r="Y42" s="37">
        <f>Y28/Y61</f>
        <v>7.4086098305304854E-2</v>
      </c>
    </row>
    <row r="43" spans="1:39" s="38" customFormat="1" x14ac:dyDescent="0.25">
      <c r="A43" s="38" t="s">
        <v>109</v>
      </c>
      <c r="C43" s="39"/>
      <c r="D43" s="39"/>
      <c r="E43" s="39"/>
      <c r="F43" s="39"/>
      <c r="G43" s="39"/>
      <c r="H43" s="42" t="s">
        <v>113</v>
      </c>
      <c r="I43" s="42" t="s">
        <v>113</v>
      </c>
      <c r="J43" s="42" t="s">
        <v>113</v>
      </c>
      <c r="K43" s="42" t="s">
        <v>113</v>
      </c>
      <c r="L43" s="42" t="s">
        <v>113</v>
      </c>
      <c r="M43" s="42" t="s">
        <v>113</v>
      </c>
      <c r="N43" s="42" t="s">
        <v>113</v>
      </c>
      <c r="O43" s="42" t="s">
        <v>113</v>
      </c>
      <c r="P43" s="42" t="s">
        <v>113</v>
      </c>
    </row>
    <row r="44" spans="1:39" s="38" customFormat="1" x14ac:dyDescent="0.25">
      <c r="A44" s="38" t="s">
        <v>114</v>
      </c>
      <c r="C44" s="39"/>
      <c r="D44" s="39"/>
      <c r="E44" s="39"/>
      <c r="F44" s="39"/>
      <c r="G44" s="39"/>
      <c r="H44" s="42">
        <f t="shared" ref="H44:P44" si="74">H18/H82</f>
        <v>4.8327137546468404E-2</v>
      </c>
      <c r="I44" s="42">
        <f t="shared" si="74"/>
        <v>4.9068679740707312E-2</v>
      </c>
      <c r="J44" s="42">
        <f t="shared" si="74"/>
        <v>5.1305278761426334E-2</v>
      </c>
      <c r="K44" s="42">
        <f t="shared" si="74"/>
        <v>4.1447368421052629E-2</v>
      </c>
      <c r="L44" s="42">
        <f t="shared" si="74"/>
        <v>4.212841553168091E-2</v>
      </c>
      <c r="M44" s="42">
        <f t="shared" si="74"/>
        <v>5.6820097791266226E-2</v>
      </c>
      <c r="N44" s="42">
        <f t="shared" si="74"/>
        <v>5.6104476329581578E-2</v>
      </c>
      <c r="O44" s="42">
        <f t="shared" si="74"/>
        <v>3.4249507663327343E-2</v>
      </c>
      <c r="P44" s="42">
        <f t="shared" si="74"/>
        <v>4.3839447277512746E-2</v>
      </c>
      <c r="V44" s="39">
        <f>V18/V82</f>
        <v>-2.9181792795308574E-2</v>
      </c>
      <c r="W44" s="39">
        <f>W18/W82</f>
        <v>8.1307357913379494E-2</v>
      </c>
      <c r="X44" s="39">
        <f>X18/X82</f>
        <v>0.19103618421052632</v>
      </c>
      <c r="Y44" s="39">
        <f>Y18/Y82</f>
        <v>0.19051288637725833</v>
      </c>
    </row>
    <row r="45" spans="1:39" s="40" customFormat="1" x14ac:dyDescent="0.25">
      <c r="A45" s="40" t="s">
        <v>112</v>
      </c>
      <c r="C45" s="41"/>
      <c r="D45" s="41"/>
      <c r="E45" s="41"/>
      <c r="F45" s="41"/>
      <c r="G45" s="41"/>
      <c r="H45" s="41">
        <f t="shared" ref="H45:P45" si="75">SUM(E26:H26)/AVERAGE(E81:H81)</f>
        <v>0.11838047995709881</v>
      </c>
      <c r="I45" s="41">
        <f t="shared" si="75"/>
        <v>0.149689813888333</v>
      </c>
      <c r="J45" s="41">
        <f t="shared" si="75"/>
        <v>0.16511294370742202</v>
      </c>
      <c r="K45" s="41">
        <f t="shared" si="75"/>
        <v>0.19104921579232018</v>
      </c>
      <c r="L45" s="41">
        <f t="shared" si="75"/>
        <v>0.17084708845250654</v>
      </c>
      <c r="M45" s="41">
        <f t="shared" si="75"/>
        <v>0.17826801863524253</v>
      </c>
      <c r="N45" s="41">
        <f t="shared" si="75"/>
        <v>0.18436236741180942</v>
      </c>
      <c r="O45" s="41">
        <f t="shared" si="75"/>
        <v>0.16138530566461021</v>
      </c>
      <c r="P45" s="41">
        <f t="shared" si="75"/>
        <v>0.17251826768846909</v>
      </c>
      <c r="V45" s="44">
        <f>V28/AVERAGE(U81:V81)</f>
        <v>-0.10586319218241043</v>
      </c>
      <c r="W45" s="44">
        <f>W28/AVERAGE(V81:W81)</f>
        <v>5.7975113122171948E-2</v>
      </c>
      <c r="X45" s="44">
        <f>X28/AVERAGE(W81:X81)</f>
        <v>0.19247033146910381</v>
      </c>
      <c r="Y45" s="44">
        <f>Y28/AVERAGE(X81:Y81)</f>
        <v>0.16151178427348006</v>
      </c>
    </row>
    <row r="47" spans="1:39" x14ac:dyDescent="0.25">
      <c r="A47" s="7" t="s">
        <v>85</v>
      </c>
      <c r="H47" s="3">
        <f t="shared" ref="H47:O47" si="76">H48-H49</f>
        <v>-8078</v>
      </c>
      <c r="I47" s="3">
        <f t="shared" si="76"/>
        <v>-8242</v>
      </c>
      <c r="J47" s="3">
        <f t="shared" si="76"/>
        <v>-8155</v>
      </c>
      <c r="K47" s="3">
        <f t="shared" si="76"/>
        <v>-8293</v>
      </c>
      <c r="L47" s="3">
        <f t="shared" si="76"/>
        <v>-8594</v>
      </c>
      <c r="M47" s="3">
        <f t="shared" si="76"/>
        <v>-8687</v>
      </c>
      <c r="N47" s="3">
        <f t="shared" si="76"/>
        <v>-8744</v>
      </c>
      <c r="O47" s="3">
        <f t="shared" si="76"/>
        <v>-9129</v>
      </c>
      <c r="P47" s="3">
        <f>P48-P49</f>
        <v>-9528</v>
      </c>
      <c r="V47" s="3">
        <f t="shared" ref="V47" si="77">V48-V49</f>
        <v>-8195</v>
      </c>
      <c r="W47" s="3">
        <f t="shared" ref="W47" si="78">W48-W49</f>
        <v>-8124</v>
      </c>
      <c r="X47" s="3">
        <f t="shared" ref="X47" si="79">X48-X49</f>
        <v>-8293</v>
      </c>
      <c r="Y47" s="3">
        <f t="shared" ref="Y47" si="80">Y48-Y49</f>
        <v>-9129</v>
      </c>
    </row>
    <row r="48" spans="1:39" x14ac:dyDescent="0.25">
      <c r="A48" s="7" t="s">
        <v>3</v>
      </c>
      <c r="H48" s="3">
        <f t="shared" ref="H48" si="81">H50+H51</f>
        <v>1510</v>
      </c>
      <c r="I48" s="3">
        <f t="shared" ref="I48:O48" si="82">I50+I51</f>
        <v>1254</v>
      </c>
      <c r="J48" s="3">
        <f t="shared" si="82"/>
        <v>1362</v>
      </c>
      <c r="K48" s="3">
        <f t="shared" si="82"/>
        <v>1286</v>
      </c>
      <c r="L48" s="3">
        <f t="shared" si="82"/>
        <v>978</v>
      </c>
      <c r="M48" s="3">
        <f t="shared" si="82"/>
        <v>883</v>
      </c>
      <c r="N48" s="3">
        <f t="shared" si="82"/>
        <v>779</v>
      </c>
      <c r="O48" s="3">
        <f t="shared" si="82"/>
        <v>875</v>
      </c>
      <c r="P48" s="3">
        <f>P50+P51</f>
        <v>1420</v>
      </c>
      <c r="V48" s="3">
        <f t="shared" ref="V48:X48" si="83">V50+V51</f>
        <v>3263</v>
      </c>
      <c r="W48" s="3">
        <f t="shared" si="83"/>
        <v>1512</v>
      </c>
      <c r="X48" s="3">
        <f t="shared" si="83"/>
        <v>1286</v>
      </c>
      <c r="Y48" s="3">
        <f t="shared" ref="Y48" si="84">Y50+Y51</f>
        <v>875</v>
      </c>
    </row>
    <row r="49" spans="1:25" s="21" customFormat="1" ht="15.75" thickBot="1" x14ac:dyDescent="0.3">
      <c r="A49" s="20" t="s">
        <v>4</v>
      </c>
      <c r="H49" s="23">
        <f t="shared" ref="H49" si="85">H63+H67+H68</f>
        <v>9588</v>
      </c>
      <c r="I49" s="23">
        <f t="shared" ref="I49:O49" si="86">I63+I67+I68</f>
        <v>9496</v>
      </c>
      <c r="J49" s="23">
        <f t="shared" si="86"/>
        <v>9517</v>
      </c>
      <c r="K49" s="23">
        <f t="shared" si="86"/>
        <v>9579</v>
      </c>
      <c r="L49" s="23">
        <f t="shared" si="86"/>
        <v>9572</v>
      </c>
      <c r="M49" s="23">
        <f t="shared" si="86"/>
        <v>9570</v>
      </c>
      <c r="N49" s="23">
        <f t="shared" si="86"/>
        <v>9523</v>
      </c>
      <c r="O49" s="23">
        <f t="shared" si="86"/>
        <v>10004</v>
      </c>
      <c r="P49" s="23">
        <f>P63+P67+P68</f>
        <v>10948</v>
      </c>
      <c r="V49" s="23">
        <f t="shared" ref="V49:X49" si="87">V63+V67+V68</f>
        <v>11458</v>
      </c>
      <c r="W49" s="23">
        <f t="shared" si="87"/>
        <v>9636</v>
      </c>
      <c r="X49" s="23">
        <f t="shared" si="87"/>
        <v>9579</v>
      </c>
      <c r="Y49" s="23">
        <f t="shared" ref="Y49" si="88">Y63+Y67+Y68</f>
        <v>10004</v>
      </c>
    </row>
    <row r="50" spans="1:25" s="3" customFormat="1" x14ac:dyDescent="0.25">
      <c r="A50" s="6" t="s">
        <v>3</v>
      </c>
      <c r="H50" s="3">
        <v>1432</v>
      </c>
      <c r="I50" s="3">
        <v>1175</v>
      </c>
      <c r="J50" s="3">
        <v>1282</v>
      </c>
      <c r="K50" s="3">
        <v>1209</v>
      </c>
      <c r="L50" s="3">
        <v>901</v>
      </c>
      <c r="M50" s="3">
        <v>806</v>
      </c>
      <c r="N50" s="3">
        <v>698</v>
      </c>
      <c r="O50" s="3">
        <v>800</v>
      </c>
      <c r="P50" s="3">
        <v>1346</v>
      </c>
      <c r="V50" s="3">
        <v>3218</v>
      </c>
      <c r="W50" s="3">
        <v>1427</v>
      </c>
      <c r="X50" s="3">
        <v>1209</v>
      </c>
      <c r="Y50" s="3">
        <v>800</v>
      </c>
    </row>
    <row r="51" spans="1:25" s="3" customFormat="1" x14ac:dyDescent="0.25">
      <c r="A51" s="6" t="s">
        <v>74</v>
      </c>
      <c r="H51" s="3">
        <v>78</v>
      </c>
      <c r="I51" s="3">
        <v>79</v>
      </c>
      <c r="J51" s="3">
        <v>80</v>
      </c>
      <c r="K51" s="3">
        <v>77</v>
      </c>
      <c r="L51" s="3">
        <v>77</v>
      </c>
      <c r="M51" s="3">
        <v>77</v>
      </c>
      <c r="N51" s="3">
        <v>81</v>
      </c>
      <c r="O51" s="3">
        <v>75</v>
      </c>
      <c r="P51" s="3">
        <v>74</v>
      </c>
      <c r="V51" s="3">
        <v>45</v>
      </c>
      <c r="W51" s="3">
        <v>85</v>
      </c>
      <c r="X51" s="3">
        <v>77</v>
      </c>
      <c r="Y51" s="3">
        <v>75</v>
      </c>
    </row>
    <row r="52" spans="1:25" s="3" customFormat="1" x14ac:dyDescent="0.25">
      <c r="A52" s="6" t="s">
        <v>75</v>
      </c>
      <c r="H52" s="3">
        <v>1054</v>
      </c>
      <c r="I52" s="3">
        <v>1289</v>
      </c>
      <c r="J52" s="3">
        <v>1278</v>
      </c>
      <c r="K52" s="3">
        <v>1327</v>
      </c>
      <c r="L52" s="3">
        <v>1298</v>
      </c>
      <c r="M52" s="3">
        <v>1402</v>
      </c>
      <c r="N52" s="3">
        <v>1396</v>
      </c>
      <c r="O52" s="3">
        <v>1487</v>
      </c>
      <c r="P52" s="3">
        <v>1467</v>
      </c>
      <c r="V52" s="3">
        <v>771</v>
      </c>
      <c r="W52" s="3">
        <v>1068</v>
      </c>
      <c r="X52" s="3">
        <v>1327</v>
      </c>
      <c r="Y52" s="3">
        <v>1487</v>
      </c>
    </row>
    <row r="53" spans="1:25" s="3" customFormat="1" x14ac:dyDescent="0.25">
      <c r="A53" s="6" t="s">
        <v>76</v>
      </c>
      <c r="H53" s="3">
        <v>165</v>
      </c>
      <c r="I53" s="3">
        <v>128</v>
      </c>
      <c r="J53" s="3">
        <v>139</v>
      </c>
      <c r="K53" s="3">
        <v>105</v>
      </c>
      <c r="L53" s="3">
        <v>158</v>
      </c>
      <c r="M53" s="3">
        <v>146</v>
      </c>
      <c r="N53" s="3">
        <v>157</v>
      </c>
      <c r="O53" s="3">
        <v>131</v>
      </c>
      <c r="P53" s="3">
        <v>193</v>
      </c>
      <c r="V53" s="3">
        <v>70</v>
      </c>
      <c r="W53" s="3">
        <v>89</v>
      </c>
      <c r="X53" s="3">
        <v>105</v>
      </c>
      <c r="Y53" s="3">
        <v>131</v>
      </c>
    </row>
    <row r="54" spans="1:25" s="3" customFormat="1" x14ac:dyDescent="0.25">
      <c r="A54" s="6" t="s">
        <v>77</v>
      </c>
      <c r="H54" s="3">
        <v>132</v>
      </c>
      <c r="I54" s="3">
        <v>169</v>
      </c>
      <c r="J54" s="3">
        <v>197</v>
      </c>
      <c r="K54" s="3">
        <v>152</v>
      </c>
      <c r="L54" s="3">
        <v>127</v>
      </c>
      <c r="M54" s="3">
        <v>149</v>
      </c>
      <c r="N54" s="3">
        <v>152</v>
      </c>
      <c r="O54" s="3">
        <v>121</v>
      </c>
      <c r="P54" s="3">
        <v>103</v>
      </c>
      <c r="V54" s="3">
        <v>98</v>
      </c>
      <c r="W54" s="3">
        <v>202</v>
      </c>
      <c r="X54" s="3">
        <v>152</v>
      </c>
      <c r="Y54" s="3">
        <v>121</v>
      </c>
    </row>
    <row r="55" spans="1:25" s="14" customFormat="1" x14ac:dyDescent="0.25">
      <c r="A55" s="13" t="s">
        <v>78</v>
      </c>
      <c r="H55" s="14">
        <f t="shared" ref="H55:L55" si="89">SUM(H50:H54)</f>
        <v>2861</v>
      </c>
      <c r="I55" s="14">
        <f t="shared" si="89"/>
        <v>2840</v>
      </c>
      <c r="J55" s="14">
        <f t="shared" si="89"/>
        <v>2976</v>
      </c>
      <c r="K55" s="14">
        <f t="shared" si="89"/>
        <v>2870</v>
      </c>
      <c r="L55" s="14">
        <f t="shared" si="89"/>
        <v>2561</v>
      </c>
      <c r="M55" s="14">
        <f>SUM(M50:M54)</f>
        <v>2580</v>
      </c>
      <c r="N55" s="14">
        <f>SUM(N50:N54)</f>
        <v>2484</v>
      </c>
      <c r="O55" s="14">
        <f>SUM(O50:O54)</f>
        <v>2614</v>
      </c>
      <c r="P55" s="14">
        <f>SUM(P50:P54)</f>
        <v>3183</v>
      </c>
      <c r="V55" s="14">
        <f t="shared" ref="V55:X55" si="90">SUM(V50:V54)</f>
        <v>4202</v>
      </c>
      <c r="W55" s="14">
        <f t="shared" si="90"/>
        <v>2871</v>
      </c>
      <c r="X55" s="14">
        <f t="shared" si="90"/>
        <v>2870</v>
      </c>
      <c r="Y55" s="14">
        <f>SUM(Y50:Y54)</f>
        <v>2614</v>
      </c>
    </row>
    <row r="56" spans="1:25" s="3" customFormat="1" x14ac:dyDescent="0.25">
      <c r="A56" s="6" t="s">
        <v>79</v>
      </c>
      <c r="H56" s="3">
        <f>5061+4875+778+178</f>
        <v>10892</v>
      </c>
      <c r="I56" s="3">
        <f>5030+4847+873+167</f>
        <v>10917</v>
      </c>
      <c r="J56" s="3">
        <f>4990+4814+874+158</f>
        <v>10836</v>
      </c>
      <c r="K56" s="3">
        <f>5052+4840+887+161</f>
        <v>10940</v>
      </c>
      <c r="L56" s="3">
        <f>5041+4841+960+161</f>
        <v>11003</v>
      </c>
      <c r="M56" s="3">
        <f>5048+4842+958+164</f>
        <v>11012</v>
      </c>
      <c r="N56" s="3">
        <f>5033+4831+986+167</f>
        <v>11017</v>
      </c>
      <c r="O56" s="3">
        <f>5052+4846+1064+173</f>
        <v>11135</v>
      </c>
      <c r="P56" s="3">
        <f>5044+4831+1087+173</f>
        <v>11135</v>
      </c>
      <c r="V56" s="3">
        <f>5095+4904+653+266</f>
        <v>10918</v>
      </c>
      <c r="W56" s="3">
        <f>5071+4883+758+194</f>
        <v>10906</v>
      </c>
      <c r="X56" s="3">
        <f>5052+4840+887+161</f>
        <v>10940</v>
      </c>
      <c r="Y56" s="3">
        <f>5052+4846+1064+173</f>
        <v>11135</v>
      </c>
    </row>
    <row r="57" spans="1:25" s="3" customFormat="1" x14ac:dyDescent="0.25">
      <c r="A57" s="6" t="s">
        <v>80</v>
      </c>
      <c r="H57" s="3">
        <v>659</v>
      </c>
      <c r="I57" s="3">
        <v>610</v>
      </c>
      <c r="J57" s="3">
        <v>624</v>
      </c>
      <c r="K57" s="3">
        <v>662</v>
      </c>
      <c r="L57" s="3">
        <v>661</v>
      </c>
      <c r="M57" s="3">
        <v>668</v>
      </c>
      <c r="N57" s="3">
        <v>645</v>
      </c>
      <c r="O57" s="3">
        <v>618</v>
      </c>
      <c r="P57" s="3">
        <v>594</v>
      </c>
      <c r="V57" s="3">
        <v>772</v>
      </c>
      <c r="W57" s="3">
        <v>694</v>
      </c>
      <c r="X57" s="3">
        <v>662</v>
      </c>
      <c r="Y57" s="3">
        <v>618</v>
      </c>
    </row>
    <row r="58" spans="1:25" s="3" customFormat="1" x14ac:dyDescent="0.25">
      <c r="A58" s="6" t="s">
        <v>81</v>
      </c>
      <c r="H58" s="3">
        <v>290</v>
      </c>
      <c r="I58" s="3">
        <v>271</v>
      </c>
      <c r="J58" s="3">
        <v>254</v>
      </c>
      <c r="K58" s="3">
        <v>280</v>
      </c>
      <c r="L58" s="3">
        <v>287</v>
      </c>
      <c r="M58" s="3">
        <v>297</v>
      </c>
      <c r="N58" s="3">
        <v>305</v>
      </c>
      <c r="O58" s="3">
        <v>382</v>
      </c>
      <c r="P58" s="3">
        <v>377</v>
      </c>
      <c r="V58" s="3">
        <v>346</v>
      </c>
      <c r="W58" s="3">
        <v>305</v>
      </c>
      <c r="X58" s="3">
        <v>280</v>
      </c>
      <c r="Y58" s="3">
        <v>382</v>
      </c>
    </row>
    <row r="59" spans="1:25" s="3" customFormat="1" x14ac:dyDescent="0.25">
      <c r="A59" s="6" t="s">
        <v>82</v>
      </c>
      <c r="H59" s="3">
        <v>213</v>
      </c>
      <c r="I59" s="3">
        <v>213</v>
      </c>
      <c r="J59" s="3">
        <v>213</v>
      </c>
      <c r="K59" s="3">
        <v>204</v>
      </c>
      <c r="L59" s="3">
        <v>204</v>
      </c>
      <c r="M59" s="3">
        <v>204</v>
      </c>
      <c r="N59" s="3">
        <v>204</v>
      </c>
      <c r="O59" s="3">
        <v>140</v>
      </c>
      <c r="P59" s="3">
        <v>140</v>
      </c>
      <c r="V59" s="3">
        <v>194</v>
      </c>
      <c r="W59" s="3">
        <v>213</v>
      </c>
      <c r="X59" s="3">
        <v>204</v>
      </c>
      <c r="Y59" s="3">
        <v>140</v>
      </c>
    </row>
    <row r="60" spans="1:25" s="3" customFormat="1" x14ac:dyDescent="0.25">
      <c r="A60" s="6" t="s">
        <v>83</v>
      </c>
      <c r="H60" s="3">
        <v>544</v>
      </c>
      <c r="I60" s="3">
        <v>531</v>
      </c>
      <c r="J60" s="3">
        <v>605</v>
      </c>
      <c r="K60" s="3">
        <v>576</v>
      </c>
      <c r="L60" s="3">
        <v>495</v>
      </c>
      <c r="M60" s="3">
        <v>536</v>
      </c>
      <c r="N60" s="3">
        <v>545</v>
      </c>
      <c r="O60" s="3">
        <v>512</v>
      </c>
      <c r="P60" s="3">
        <v>503</v>
      </c>
      <c r="V60" s="3">
        <v>323</v>
      </c>
      <c r="W60" s="3">
        <v>452</v>
      </c>
      <c r="X60" s="3">
        <v>576</v>
      </c>
      <c r="Y60" s="3">
        <v>512</v>
      </c>
    </row>
    <row r="61" spans="1:25" s="14" customFormat="1" x14ac:dyDescent="0.25">
      <c r="A61" s="13" t="s">
        <v>84</v>
      </c>
      <c r="H61" s="14">
        <f t="shared" ref="H61:I61" si="91">SUM(H56:H60)+H55</f>
        <v>15459</v>
      </c>
      <c r="I61" s="14">
        <f t="shared" si="91"/>
        <v>15382</v>
      </c>
      <c r="J61" s="14">
        <f t="shared" ref="J61" si="92">SUM(J56:J60)+J55</f>
        <v>15508</v>
      </c>
      <c r="K61" s="14">
        <f t="shared" ref="K61" si="93">SUM(K56:K60)+K55</f>
        <v>15532</v>
      </c>
      <c r="L61" s="14">
        <f t="shared" ref="L61" si="94">SUM(L56:L60)+L55</f>
        <v>15211</v>
      </c>
      <c r="M61" s="14">
        <f t="shared" ref="M61:O61" si="95">SUM(M56:M60)+M55</f>
        <v>15297</v>
      </c>
      <c r="N61" s="14">
        <f t="shared" si="95"/>
        <v>15200</v>
      </c>
      <c r="O61" s="14">
        <f t="shared" si="95"/>
        <v>15401</v>
      </c>
      <c r="P61" s="14">
        <f>SUM(P56:P60)+P55</f>
        <v>15932</v>
      </c>
      <c r="V61" s="14">
        <f t="shared" ref="V61" si="96">SUM(V56:V60)+V55</f>
        <v>16755</v>
      </c>
      <c r="W61" s="14">
        <f t="shared" ref="W61" si="97">SUM(W56:W60)+W55</f>
        <v>15441</v>
      </c>
      <c r="X61" s="14">
        <f t="shared" ref="X61" si="98">SUM(X56:X60)+X55</f>
        <v>15532</v>
      </c>
      <c r="Y61" s="14">
        <f t="shared" ref="Y61" si="99">SUM(Y56:Y60)+Y55</f>
        <v>15401</v>
      </c>
    </row>
    <row r="62" spans="1:25" s="3" customFormat="1" x14ac:dyDescent="0.25">
      <c r="A62" s="6" t="s">
        <v>86</v>
      </c>
      <c r="H62" s="3">
        <v>1604</v>
      </c>
      <c r="I62" s="3">
        <v>1647</v>
      </c>
      <c r="J62" s="3">
        <v>1728</v>
      </c>
      <c r="K62" s="3">
        <v>1790</v>
      </c>
      <c r="L62" s="3">
        <v>1704</v>
      </c>
      <c r="M62" s="3">
        <v>1694</v>
      </c>
      <c r="N62" s="3">
        <v>1876</v>
      </c>
      <c r="O62" s="3">
        <v>1979</v>
      </c>
      <c r="P62" s="3">
        <v>1935</v>
      </c>
      <c r="V62" s="3">
        <v>1302</v>
      </c>
      <c r="W62" s="3">
        <v>1568</v>
      </c>
      <c r="X62" s="3">
        <v>1790</v>
      </c>
      <c r="Y62" s="3">
        <v>1979</v>
      </c>
    </row>
    <row r="63" spans="1:25" s="3" customFormat="1" x14ac:dyDescent="0.25">
      <c r="A63" s="6" t="s">
        <v>87</v>
      </c>
      <c r="H63" s="3">
        <v>45</v>
      </c>
      <c r="I63" s="3">
        <v>41</v>
      </c>
      <c r="J63" s="3">
        <v>39</v>
      </c>
      <c r="K63" s="3">
        <v>39</v>
      </c>
      <c r="L63" s="3">
        <v>35</v>
      </c>
      <c r="M63" s="3">
        <v>35</v>
      </c>
      <c r="N63" s="3">
        <v>37</v>
      </c>
      <c r="O63" s="3">
        <v>39</v>
      </c>
      <c r="P63" s="3">
        <v>38</v>
      </c>
      <c r="V63" s="3">
        <v>56</v>
      </c>
      <c r="W63" s="3">
        <v>54</v>
      </c>
      <c r="X63" s="3">
        <v>39</v>
      </c>
      <c r="Y63" s="3">
        <v>39</v>
      </c>
    </row>
    <row r="64" spans="1:25" s="3" customFormat="1" x14ac:dyDescent="0.25">
      <c r="A64" s="6" t="s">
        <v>88</v>
      </c>
      <c r="H64" s="3">
        <v>271</v>
      </c>
      <c r="I64" s="3">
        <v>260</v>
      </c>
      <c r="J64" s="3">
        <v>266</v>
      </c>
      <c r="K64" s="3">
        <v>433</v>
      </c>
      <c r="L64" s="3">
        <v>444</v>
      </c>
      <c r="M64" s="3">
        <v>460</v>
      </c>
      <c r="N64" s="3">
        <v>460</v>
      </c>
      <c r="O64" s="3">
        <v>502</v>
      </c>
      <c r="P64" s="3">
        <v>513</v>
      </c>
      <c r="V64" s="3">
        <v>370</v>
      </c>
      <c r="W64" s="3">
        <v>350</v>
      </c>
      <c r="X64" s="3">
        <v>433</v>
      </c>
      <c r="Y64" s="3">
        <v>502</v>
      </c>
    </row>
    <row r="65" spans="1:25" s="3" customFormat="1" x14ac:dyDescent="0.25">
      <c r="A65" s="6" t="s">
        <v>89</v>
      </c>
      <c r="H65" s="3">
        <v>1165</v>
      </c>
      <c r="I65" s="3">
        <v>1247</v>
      </c>
      <c r="J65" s="3">
        <v>1332</v>
      </c>
      <c r="K65" s="3">
        <v>1110</v>
      </c>
      <c r="L65" s="3">
        <v>1207</v>
      </c>
      <c r="M65" s="3">
        <v>1246</v>
      </c>
      <c r="N65" s="3">
        <v>1188</v>
      </c>
      <c r="O65" s="3">
        <v>1202</v>
      </c>
      <c r="P65" s="3">
        <v>1288</v>
      </c>
      <c r="V65" s="3">
        <v>703</v>
      </c>
      <c r="W65" s="3">
        <v>1047</v>
      </c>
      <c r="X65" s="3">
        <v>1110</v>
      </c>
      <c r="Y65" s="3">
        <v>1202</v>
      </c>
    </row>
    <row r="66" spans="1:25" s="14" customFormat="1" x14ac:dyDescent="0.25">
      <c r="A66" s="13" t="s">
        <v>90</v>
      </c>
      <c r="H66" s="14">
        <f t="shared" ref="H66:I66" si="100">SUM(H62:H65)</f>
        <v>3085</v>
      </c>
      <c r="I66" s="14">
        <f t="shared" si="100"/>
        <v>3195</v>
      </c>
      <c r="J66" s="14">
        <f t="shared" ref="J66" si="101">SUM(J62:J65)</f>
        <v>3365</v>
      </c>
      <c r="K66" s="14">
        <f t="shared" ref="K66" si="102">SUM(K62:K65)</f>
        <v>3372</v>
      </c>
      <c r="L66" s="14">
        <f t="shared" ref="L66" si="103">SUM(L62:L65)</f>
        <v>3390</v>
      </c>
      <c r="M66" s="14">
        <f t="shared" ref="M66:O66" si="104">SUM(M62:M65)</f>
        <v>3435</v>
      </c>
      <c r="N66" s="14">
        <f t="shared" si="104"/>
        <v>3561</v>
      </c>
      <c r="O66" s="14">
        <f t="shared" si="104"/>
        <v>3722</v>
      </c>
      <c r="P66" s="14">
        <f>SUM(P62:P65)</f>
        <v>3774</v>
      </c>
      <c r="V66" s="14">
        <f t="shared" ref="V66" si="105">SUM(V62:V65)</f>
        <v>2431</v>
      </c>
      <c r="W66" s="14">
        <f t="shared" ref="W66" si="106">SUM(W62:W65)</f>
        <v>3019</v>
      </c>
      <c r="X66" s="14">
        <f t="shared" ref="X66" si="107">SUM(X62:X65)</f>
        <v>3372</v>
      </c>
      <c r="Y66" s="14">
        <f t="shared" ref="Y66" si="108">SUM(Y62:Y65)</f>
        <v>3722</v>
      </c>
    </row>
    <row r="67" spans="1:25" s="3" customFormat="1" x14ac:dyDescent="0.25">
      <c r="A67" s="6" t="s">
        <v>91</v>
      </c>
      <c r="H67" s="3">
        <v>8720</v>
      </c>
      <c r="I67" s="3">
        <v>8702</v>
      </c>
      <c r="J67" s="3">
        <v>8692</v>
      </c>
      <c r="K67" s="3">
        <v>8708</v>
      </c>
      <c r="L67" s="3">
        <v>8706</v>
      </c>
      <c r="M67" s="3">
        <v>8696</v>
      </c>
      <c r="N67" s="3">
        <v>8682</v>
      </c>
      <c r="O67" s="3">
        <v>9157</v>
      </c>
      <c r="P67" s="3">
        <v>10135</v>
      </c>
      <c r="V67" s="3">
        <v>10431</v>
      </c>
      <c r="W67" s="3">
        <v>8712</v>
      </c>
      <c r="X67" s="3">
        <v>8708</v>
      </c>
      <c r="Y67" s="3">
        <v>9157</v>
      </c>
    </row>
    <row r="68" spans="1:25" s="3" customFormat="1" x14ac:dyDescent="0.25">
      <c r="A68" s="6" t="s">
        <v>92</v>
      </c>
      <c r="H68" s="3">
        <v>823</v>
      </c>
      <c r="I68" s="3">
        <v>753</v>
      </c>
      <c r="J68" s="3">
        <v>786</v>
      </c>
      <c r="K68" s="3">
        <v>832</v>
      </c>
      <c r="L68" s="3">
        <v>831</v>
      </c>
      <c r="M68" s="3">
        <v>839</v>
      </c>
      <c r="N68" s="3">
        <v>804</v>
      </c>
      <c r="O68" s="3">
        <v>808</v>
      </c>
      <c r="P68" s="3">
        <v>775</v>
      </c>
      <c r="V68" s="3">
        <v>971</v>
      </c>
      <c r="W68" s="3">
        <v>870</v>
      </c>
      <c r="X68" s="3">
        <v>832</v>
      </c>
      <c r="Y68" s="3">
        <v>808</v>
      </c>
    </row>
    <row r="69" spans="1:25" s="3" customFormat="1" x14ac:dyDescent="0.25">
      <c r="A69" s="6" t="s">
        <v>94</v>
      </c>
      <c r="H69" s="3">
        <v>846</v>
      </c>
      <c r="I69" s="3">
        <v>855</v>
      </c>
      <c r="J69" s="3">
        <v>845</v>
      </c>
      <c r="K69" s="3">
        <v>986</v>
      </c>
      <c r="L69" s="3">
        <v>992</v>
      </c>
      <c r="M69" s="3">
        <v>1022</v>
      </c>
      <c r="N69" s="3">
        <v>1098</v>
      </c>
      <c r="O69" s="3">
        <v>1132</v>
      </c>
      <c r="P69" s="3">
        <v>1152</v>
      </c>
      <c r="V69" s="3">
        <v>1004</v>
      </c>
      <c r="W69" s="3">
        <v>896</v>
      </c>
      <c r="X69" s="3">
        <v>986</v>
      </c>
      <c r="Y69" s="3">
        <v>1132</v>
      </c>
    </row>
    <row r="70" spans="1:25" s="3" customFormat="1" x14ac:dyDescent="0.25">
      <c r="A70" s="6" t="s">
        <v>93</v>
      </c>
      <c r="H70" s="3">
        <v>719</v>
      </c>
      <c r="I70" s="3">
        <v>727</v>
      </c>
      <c r="J70" s="3">
        <v>794</v>
      </c>
      <c r="K70" s="3">
        <v>735</v>
      </c>
      <c r="L70" s="3">
        <v>715</v>
      </c>
      <c r="M70" s="3">
        <v>710</v>
      </c>
      <c r="N70" s="3">
        <v>706</v>
      </c>
      <c r="O70" s="3">
        <v>401</v>
      </c>
      <c r="P70" s="3">
        <v>373</v>
      </c>
      <c r="V70" s="3">
        <v>649</v>
      </c>
      <c r="W70" s="3">
        <v>700</v>
      </c>
      <c r="X70" s="3">
        <v>735</v>
      </c>
      <c r="Y70" s="3">
        <v>401</v>
      </c>
    </row>
    <row r="71" spans="1:25" s="3" customFormat="1" x14ac:dyDescent="0.25">
      <c r="A71" s="6" t="s">
        <v>95</v>
      </c>
      <c r="H71" s="3">
        <v>1271</v>
      </c>
      <c r="I71" s="3">
        <v>1252</v>
      </c>
      <c r="J71" s="3">
        <v>1251</v>
      </c>
      <c r="K71" s="3">
        <v>1285</v>
      </c>
      <c r="L71" s="3">
        <v>1306</v>
      </c>
      <c r="M71" s="3">
        <v>1328</v>
      </c>
      <c r="N71" s="3">
        <v>1411</v>
      </c>
      <c r="O71" s="3">
        <v>1530</v>
      </c>
      <c r="P71" s="3">
        <v>1553</v>
      </c>
      <c r="V71" s="3">
        <v>1766</v>
      </c>
      <c r="W71" s="3">
        <v>1317</v>
      </c>
      <c r="X71" s="3">
        <v>1285</v>
      </c>
      <c r="Y71" s="3">
        <v>1530</v>
      </c>
    </row>
    <row r="72" spans="1:25" s="3" customFormat="1" x14ac:dyDescent="0.25">
      <c r="A72" s="6" t="s">
        <v>83</v>
      </c>
      <c r="H72" s="3">
        <v>692</v>
      </c>
      <c r="I72" s="3">
        <v>687</v>
      </c>
      <c r="J72" s="3">
        <v>689</v>
      </c>
      <c r="K72" s="3">
        <v>692</v>
      </c>
      <c r="L72" s="3">
        <v>684</v>
      </c>
      <c r="M72" s="3">
        <v>690</v>
      </c>
      <c r="N72" s="3">
        <v>691</v>
      </c>
      <c r="O72" s="3">
        <v>998</v>
      </c>
      <c r="P72" s="3">
        <v>987</v>
      </c>
      <c r="V72" s="3">
        <v>989</v>
      </c>
      <c r="W72" s="3">
        <v>746</v>
      </c>
      <c r="X72" s="3">
        <v>692</v>
      </c>
      <c r="Y72" s="3">
        <v>998</v>
      </c>
    </row>
    <row r="73" spans="1:25" s="14" customFormat="1" x14ac:dyDescent="0.25">
      <c r="A73" s="13" t="s">
        <v>96</v>
      </c>
      <c r="H73" s="14">
        <f t="shared" ref="H73:I73" si="109">SUM(H67:H72)+H66</f>
        <v>16156</v>
      </c>
      <c r="I73" s="14">
        <f t="shared" si="109"/>
        <v>16171</v>
      </c>
      <c r="J73" s="14">
        <f t="shared" ref="J73" si="110">SUM(J67:J72)+J66</f>
        <v>16422</v>
      </c>
      <c r="K73" s="14">
        <f t="shared" ref="K73" si="111">SUM(K67:K72)+K66</f>
        <v>16610</v>
      </c>
      <c r="L73" s="14">
        <f t="shared" ref="L73" si="112">SUM(L67:L72)+L66</f>
        <v>16624</v>
      </c>
      <c r="M73" s="14">
        <f t="shared" ref="M73:O73" si="113">SUM(M67:M72)+M66</f>
        <v>16720</v>
      </c>
      <c r="N73" s="14">
        <f t="shared" si="113"/>
        <v>16953</v>
      </c>
      <c r="O73" s="14">
        <f t="shared" si="113"/>
        <v>17748</v>
      </c>
      <c r="P73" s="14">
        <f>SUM(P67:P72)+P66</f>
        <v>18749</v>
      </c>
      <c r="V73" s="14">
        <f t="shared" ref="V73" si="114">SUM(V67:V72)+V66</f>
        <v>18241</v>
      </c>
      <c r="W73" s="14">
        <f t="shared" ref="W73" si="115">SUM(W67:W72)+W66</f>
        <v>16260</v>
      </c>
      <c r="X73" s="14">
        <f t="shared" ref="X73" si="116">SUM(X67:X72)+X66</f>
        <v>16610</v>
      </c>
      <c r="Y73" s="14">
        <f t="shared" ref="Y73" si="117">SUM(Y67:Y72)+Y66</f>
        <v>17748</v>
      </c>
    </row>
    <row r="74" spans="1:25" s="3" customFormat="1" x14ac:dyDescent="0.25">
      <c r="A74" s="6" t="s">
        <v>97</v>
      </c>
      <c r="H74" s="3">
        <v>-698</v>
      </c>
      <c r="I74" s="3">
        <v>-789</v>
      </c>
      <c r="J74" s="3">
        <v>-913</v>
      </c>
      <c r="K74" s="3">
        <v>-1102</v>
      </c>
      <c r="L74" s="3">
        <v>-1420</v>
      </c>
      <c r="M74" s="3">
        <v>-1431</v>
      </c>
      <c r="N74" s="3">
        <v>-1763</v>
      </c>
      <c r="O74" s="3">
        <v>-2360</v>
      </c>
      <c r="P74" s="3">
        <v>-2833</v>
      </c>
      <c r="V74" s="3">
        <v>-1490</v>
      </c>
      <c r="W74" s="3">
        <v>-821</v>
      </c>
      <c r="X74" s="3">
        <v>-1102</v>
      </c>
      <c r="Y74" s="3">
        <v>-2360</v>
      </c>
    </row>
    <row r="75" spans="1:25" s="3" customFormat="1" x14ac:dyDescent="0.25">
      <c r="A75" s="6" t="s">
        <v>70</v>
      </c>
      <c r="H75" s="3">
        <v>1</v>
      </c>
      <c r="I75" s="3">
        <v>0</v>
      </c>
      <c r="J75" s="3">
        <v>-1</v>
      </c>
      <c r="K75" s="3">
        <v>4</v>
      </c>
      <c r="L75" s="3">
        <v>7</v>
      </c>
      <c r="M75" s="3">
        <v>8</v>
      </c>
      <c r="N75" s="3">
        <v>10</v>
      </c>
      <c r="O75" s="3">
        <v>13</v>
      </c>
      <c r="P75" s="3">
        <v>16</v>
      </c>
      <c r="V75" s="3">
        <v>4</v>
      </c>
      <c r="W75" s="3">
        <v>2</v>
      </c>
      <c r="X75" s="3">
        <v>4</v>
      </c>
      <c r="Y75" s="3">
        <v>13</v>
      </c>
    </row>
    <row r="76" spans="1:25" s="14" customFormat="1" x14ac:dyDescent="0.25">
      <c r="A76" s="13" t="s">
        <v>99</v>
      </c>
      <c r="H76" s="14">
        <f t="shared" ref="H76:N76" si="118">SUM(H74:H75)</f>
        <v>-697</v>
      </c>
      <c r="I76" s="14">
        <f t="shared" si="118"/>
        <v>-789</v>
      </c>
      <c r="J76" s="14">
        <f t="shared" si="118"/>
        <v>-914</v>
      </c>
      <c r="K76" s="14">
        <f t="shared" si="118"/>
        <v>-1098</v>
      </c>
      <c r="L76" s="14">
        <f t="shared" si="118"/>
        <v>-1413</v>
      </c>
      <c r="M76" s="14">
        <f t="shared" si="118"/>
        <v>-1423</v>
      </c>
      <c r="N76" s="14">
        <f t="shared" si="118"/>
        <v>-1753</v>
      </c>
      <c r="O76" s="14">
        <f>SUM(O74:O75)</f>
        <v>-2347</v>
      </c>
      <c r="P76" s="14">
        <f>SUM(P74:P75)</f>
        <v>-2817</v>
      </c>
      <c r="V76" s="14">
        <f t="shared" ref="V76" si="119">SUM(V74:V75)</f>
        <v>-1486</v>
      </c>
      <c r="W76" s="14">
        <f t="shared" ref="W76" si="120">SUM(W74:W75)</f>
        <v>-819</v>
      </c>
      <c r="X76" s="14">
        <f t="shared" ref="X76" si="121">SUM(X74:X75)</f>
        <v>-1098</v>
      </c>
      <c r="Y76" s="14">
        <f>SUM(Y74:Y75)</f>
        <v>-2347</v>
      </c>
    </row>
    <row r="77" spans="1:25" s="14" customFormat="1" x14ac:dyDescent="0.25">
      <c r="A77" s="13" t="s">
        <v>98</v>
      </c>
      <c r="H77" s="14">
        <f t="shared" ref="H77:N77" si="122">H76+H73</f>
        <v>15459</v>
      </c>
      <c r="I77" s="14">
        <f t="shared" si="122"/>
        <v>15382</v>
      </c>
      <c r="J77" s="14">
        <f t="shared" si="122"/>
        <v>15508</v>
      </c>
      <c r="K77" s="14">
        <f t="shared" si="122"/>
        <v>15512</v>
      </c>
      <c r="L77" s="14">
        <f t="shared" si="122"/>
        <v>15211</v>
      </c>
      <c r="M77" s="14">
        <f t="shared" si="122"/>
        <v>15297</v>
      </c>
      <c r="N77" s="14">
        <f t="shared" si="122"/>
        <v>15200</v>
      </c>
      <c r="O77" s="14">
        <f>O76+O73</f>
        <v>15401</v>
      </c>
      <c r="P77" s="14">
        <f>P76+P73</f>
        <v>15932</v>
      </c>
      <c r="V77" s="14">
        <f t="shared" ref="V77" si="123">V76+V73</f>
        <v>16755</v>
      </c>
      <c r="W77" s="14">
        <f t="shared" ref="W77" si="124">W76+W73</f>
        <v>15441</v>
      </c>
      <c r="X77" s="14">
        <f t="shared" ref="X77" si="125">X76+X73</f>
        <v>15512</v>
      </c>
      <c r="Y77" s="14">
        <f>Y76+Y73</f>
        <v>15401</v>
      </c>
    </row>
    <row r="78" spans="1:25" s="3" customFormat="1" x14ac:dyDescent="0.25">
      <c r="A78" s="6"/>
    </row>
    <row r="79" spans="1:25" s="3" customFormat="1" x14ac:dyDescent="0.25">
      <c r="A79" s="6"/>
    </row>
    <row r="80" spans="1:25" x14ac:dyDescent="0.25">
      <c r="A80" s="7" t="s">
        <v>110</v>
      </c>
      <c r="H80" s="35">
        <f t="shared" ref="H80:P80" si="126">H18*(1-H37)</f>
        <v>427.80896686159844</v>
      </c>
      <c r="I80" s="35">
        <f t="shared" si="126"/>
        <v>427.80896686159844</v>
      </c>
      <c r="J80" s="35">
        <f t="shared" si="126"/>
        <v>409.02846299810244</v>
      </c>
      <c r="K80" s="35">
        <f t="shared" si="126"/>
        <v>416.45657568238215</v>
      </c>
      <c r="L80" s="35">
        <f t="shared" si="126"/>
        <v>344.64238410596028</v>
      </c>
      <c r="M80" s="35">
        <f t="shared" si="126"/>
        <v>490.07394366197184</v>
      </c>
      <c r="N80" s="35">
        <f t="shared" si="126"/>
        <v>451.61861313868616</v>
      </c>
      <c r="O80" s="35">
        <f t="shared" si="126"/>
        <v>218.97810218978103</v>
      </c>
      <c r="P80" s="35">
        <f>P18*(1-P37)</f>
        <v>391.35342465753422</v>
      </c>
      <c r="V80" s="35">
        <f>V18*(1-V37)</f>
        <v>-510.28571428571428</v>
      </c>
      <c r="W80" s="35">
        <f>W18*(1-W37)</f>
        <v>604.19642857142856</v>
      </c>
      <c r="X80" s="35">
        <f>X18*(1-X37)</f>
        <v>1678.1180981595091</v>
      </c>
      <c r="Y80" s="35">
        <f>Y18*(1-Y37)</f>
        <v>1513.5786052009455</v>
      </c>
    </row>
    <row r="81" spans="1:25" x14ac:dyDescent="0.25">
      <c r="A81" s="7" t="s">
        <v>111</v>
      </c>
      <c r="H81" s="3">
        <f t="shared" ref="H81:O81" si="127">H49+H76-H50</f>
        <v>7459</v>
      </c>
      <c r="I81" s="3">
        <f t="shared" si="127"/>
        <v>7532</v>
      </c>
      <c r="J81" s="3">
        <f t="shared" si="127"/>
        <v>7321</v>
      </c>
      <c r="K81" s="3">
        <f t="shared" si="127"/>
        <v>7272</v>
      </c>
      <c r="L81" s="3">
        <f t="shared" si="127"/>
        <v>7258</v>
      </c>
      <c r="M81" s="3">
        <f t="shared" si="127"/>
        <v>7341</v>
      </c>
      <c r="N81" s="3">
        <f t="shared" si="127"/>
        <v>7072</v>
      </c>
      <c r="O81" s="3">
        <f t="shared" si="127"/>
        <v>6857</v>
      </c>
      <c r="P81" s="3">
        <f>P49+P76-P50</f>
        <v>6785</v>
      </c>
      <c r="V81" s="3">
        <f>V49+V76-V50</f>
        <v>6754</v>
      </c>
      <c r="W81" s="3">
        <f>W49+W76-W50</f>
        <v>7390</v>
      </c>
      <c r="X81" s="3">
        <f>X49+X76-X50</f>
        <v>7272</v>
      </c>
      <c r="Y81" s="3">
        <f>Y49+Y76-Y50</f>
        <v>6857</v>
      </c>
    </row>
    <row r="82" spans="1:25" x14ac:dyDescent="0.25">
      <c r="A82" s="7" t="s">
        <v>115</v>
      </c>
      <c r="H82" s="3">
        <f t="shared" ref="H82:O82" si="128">H61-H66</f>
        <v>12374</v>
      </c>
      <c r="I82" s="3">
        <f t="shared" si="128"/>
        <v>12187</v>
      </c>
      <c r="J82" s="3">
        <f t="shared" si="128"/>
        <v>12143</v>
      </c>
      <c r="K82" s="3">
        <f t="shared" si="128"/>
        <v>12160</v>
      </c>
      <c r="L82" s="3">
        <f t="shared" si="128"/>
        <v>11821</v>
      </c>
      <c r="M82" s="3">
        <f t="shared" si="128"/>
        <v>11862</v>
      </c>
      <c r="N82" s="3">
        <f t="shared" si="128"/>
        <v>11639</v>
      </c>
      <c r="O82" s="3">
        <f t="shared" si="128"/>
        <v>11679</v>
      </c>
      <c r="P82" s="3">
        <f>P61-P66</f>
        <v>12158</v>
      </c>
      <c r="V82" s="3">
        <f t="shared" ref="V82:W82" si="129">V61-V66</f>
        <v>14324</v>
      </c>
      <c r="W82" s="3">
        <f t="shared" si="129"/>
        <v>12422</v>
      </c>
      <c r="X82" s="3">
        <f>X61-X66</f>
        <v>12160</v>
      </c>
      <c r="Y82" s="3">
        <f>Y61-Y66</f>
        <v>11679</v>
      </c>
    </row>
    <row r="83" spans="1:25" x14ac:dyDescent="0.25">
      <c r="A83"/>
    </row>
    <row r="84" spans="1:25" x14ac:dyDescent="0.25">
      <c r="A84"/>
    </row>
    <row r="85" spans="1:25" x14ac:dyDescent="0.25">
      <c r="A85"/>
    </row>
  </sheetData>
  <phoneticPr fontId="2" type="noConversion"/>
  <hyperlinks>
    <hyperlink ref="A1" location="Main!A1" display="Main" xr:uid="{F11DAF57-F530-4668-9C6A-3624BEB892EC}"/>
  </hyperlinks>
  <pageMargins left="0.7" right="0.7" top="0.75" bottom="0.75" header="0.3" footer="0.3"/>
  <ignoredErrors>
    <ignoredError sqref="Y3:Y30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Guðmundsson</dc:creator>
  <cp:lastModifiedBy>Herbert Guðmundsson</cp:lastModifiedBy>
  <dcterms:created xsi:type="dcterms:W3CDTF">2024-04-17T23:07:06Z</dcterms:created>
  <dcterms:modified xsi:type="dcterms:W3CDTF">2024-05-02T20:26:15Z</dcterms:modified>
</cp:coreProperties>
</file>