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US/"/>
    </mc:Choice>
  </mc:AlternateContent>
  <xr:revisionPtr revIDLastSave="1352" documentId="8_{0284AEFF-24EE-471D-93C7-033786D47746}" xr6:coauthVersionLast="47" xr6:coauthVersionMax="47" xr10:uidLastSave="{31E1A891-A55C-46D5-B0F6-E13163C42C34}"/>
  <bookViews>
    <workbookView xWindow="-108" yWindow="-108" windowWidth="30936" windowHeight="17496" activeTab="1" xr2:uid="{8AE3CAB9-1DDD-4C7A-BCF0-E281925CF4F9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8" i="1" l="1"/>
  <c r="AH28" i="1"/>
  <c r="AG28" i="1"/>
  <c r="AF28" i="1"/>
  <c r="AE28" i="1"/>
  <c r="AD28" i="1"/>
  <c r="AC28" i="1"/>
  <c r="AB28" i="1"/>
  <c r="AA28" i="1"/>
  <c r="Z28" i="1"/>
  <c r="AL29" i="1"/>
  <c r="AL28" i="1"/>
  <c r="AL27" i="1"/>
  <c r="AL25" i="1"/>
  <c r="AK22" i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CW22" i="1" s="1"/>
  <c r="CX22" i="1" s="1"/>
  <c r="CY22" i="1" s="1"/>
  <c r="CZ22" i="1" s="1"/>
  <c r="DA22" i="1" s="1"/>
  <c r="DB22" i="1" s="1"/>
  <c r="DC22" i="1" s="1"/>
  <c r="DD22" i="1" s="1"/>
  <c r="DE22" i="1" s="1"/>
  <c r="DF22" i="1" s="1"/>
  <c r="DG22" i="1" s="1"/>
  <c r="DH22" i="1" s="1"/>
  <c r="DI22" i="1" s="1"/>
  <c r="DJ22" i="1" s="1"/>
  <c r="DK22" i="1" s="1"/>
  <c r="DL22" i="1" s="1"/>
  <c r="DM22" i="1" s="1"/>
  <c r="DN22" i="1" s="1"/>
  <c r="DO22" i="1" s="1"/>
  <c r="DP22" i="1" s="1"/>
  <c r="DQ22" i="1" s="1"/>
  <c r="DR22" i="1" s="1"/>
  <c r="DS22" i="1" s="1"/>
  <c r="DT22" i="1" s="1"/>
  <c r="DU22" i="1" s="1"/>
  <c r="DV22" i="1" s="1"/>
  <c r="DW22" i="1" s="1"/>
  <c r="DX22" i="1" s="1"/>
  <c r="DY22" i="1" s="1"/>
  <c r="DZ22" i="1" s="1"/>
  <c r="EA22" i="1" s="1"/>
  <c r="EB22" i="1" s="1"/>
  <c r="EC22" i="1" s="1"/>
  <c r="ED22" i="1" s="1"/>
  <c r="EE22" i="1" s="1"/>
  <c r="EF22" i="1" s="1"/>
  <c r="EG22" i="1" s="1"/>
  <c r="EH22" i="1" s="1"/>
  <c r="EI22" i="1" s="1"/>
  <c r="EJ22" i="1" s="1"/>
  <c r="EK22" i="1" s="1"/>
  <c r="EL22" i="1" s="1"/>
  <c r="EM22" i="1" s="1"/>
  <c r="EN22" i="1" s="1"/>
  <c r="EO22" i="1" s="1"/>
  <c r="EP22" i="1" s="1"/>
  <c r="EQ22" i="1" s="1"/>
  <c r="ER22" i="1" s="1"/>
  <c r="ES22" i="1" s="1"/>
  <c r="ET22" i="1" s="1"/>
  <c r="EU22" i="1" s="1"/>
  <c r="EV22" i="1" s="1"/>
  <c r="EW22" i="1" s="1"/>
  <c r="EX22" i="1" s="1"/>
  <c r="EY22" i="1" s="1"/>
  <c r="EZ22" i="1" s="1"/>
  <c r="FA22" i="1" s="1"/>
  <c r="FB22" i="1" s="1"/>
  <c r="FC22" i="1" s="1"/>
  <c r="FD22" i="1" s="1"/>
  <c r="AJ22" i="1"/>
  <c r="H27" i="1"/>
  <c r="I27" i="1"/>
  <c r="J27" i="1"/>
  <c r="K27" i="1"/>
  <c r="L27" i="1"/>
  <c r="M27" i="1"/>
  <c r="N27" i="1"/>
  <c r="O27" i="1"/>
  <c r="P27" i="1"/>
  <c r="Q27" i="1"/>
  <c r="R27" i="1"/>
  <c r="S27" i="1"/>
  <c r="W27" i="1"/>
  <c r="X27" i="1"/>
  <c r="Y27" i="1"/>
  <c r="AA24" i="1" l="1"/>
  <c r="AB24" i="1" s="1"/>
  <c r="AC24" i="1" s="1"/>
  <c r="AD24" i="1" s="1"/>
  <c r="AE24" i="1" s="1"/>
  <c r="AF24" i="1" s="1"/>
  <c r="AG24" i="1" s="1"/>
  <c r="AH24" i="1" s="1"/>
  <c r="AI24" i="1" s="1"/>
  <c r="Z24" i="1"/>
  <c r="W25" i="1"/>
  <c r="S3" i="1"/>
  <c r="R3" i="1"/>
  <c r="Q3" i="1"/>
  <c r="Z3" i="1" s="1"/>
  <c r="AA3" i="1" s="1"/>
  <c r="S4" i="1"/>
  <c r="R4" i="1"/>
  <c r="Q4" i="1"/>
  <c r="Z4" i="1" s="1"/>
  <c r="AA4" i="1" s="1"/>
  <c r="Y108" i="1"/>
  <c r="Y85" i="1"/>
  <c r="X64" i="1"/>
  <c r="X70" i="1" s="1"/>
  <c r="X72" i="1" s="1"/>
  <c r="X50" i="1"/>
  <c r="X46" i="1"/>
  <c r="X40" i="1"/>
  <c r="X39" i="1"/>
  <c r="Y64" i="1"/>
  <c r="Y70" i="1" s="1"/>
  <c r="Y72" i="1" s="1"/>
  <c r="Y50" i="1"/>
  <c r="Y46" i="1"/>
  <c r="Y40" i="1"/>
  <c r="Y39" i="1"/>
  <c r="V13" i="1"/>
  <c r="V5" i="1"/>
  <c r="V33" i="1" s="1"/>
  <c r="W13" i="1"/>
  <c r="W5" i="1"/>
  <c r="W33" i="1" s="1"/>
  <c r="Y24" i="1"/>
  <c r="X24" i="1"/>
  <c r="Y21" i="1"/>
  <c r="X21" i="1"/>
  <c r="Y19" i="1"/>
  <c r="X19" i="1"/>
  <c r="Y18" i="1"/>
  <c r="X18" i="1"/>
  <c r="Y17" i="1"/>
  <c r="X17" i="1"/>
  <c r="Y16" i="1"/>
  <c r="X16" i="1"/>
  <c r="Y14" i="1"/>
  <c r="X14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4" i="1"/>
  <c r="X4" i="1"/>
  <c r="X3" i="1"/>
  <c r="Y3" i="1"/>
  <c r="O102" i="1"/>
  <c r="Y102" i="1" s="1"/>
  <c r="O99" i="1"/>
  <c r="Y99" i="1" s="1"/>
  <c r="N101" i="1"/>
  <c r="O101" i="1" s="1"/>
  <c r="N100" i="1"/>
  <c r="O100" i="1" s="1"/>
  <c r="N109" i="1"/>
  <c r="O109" i="1" s="1"/>
  <c r="N97" i="1"/>
  <c r="O97" i="1" s="1"/>
  <c r="Q84" i="1"/>
  <c r="Q90" i="1" s="1"/>
  <c r="M110" i="1"/>
  <c r="N110" i="1" s="1"/>
  <c r="M107" i="1"/>
  <c r="N107" i="1" s="1"/>
  <c r="M106" i="1"/>
  <c r="N106" i="1" s="1"/>
  <c r="M105" i="1"/>
  <c r="N105" i="1" s="1"/>
  <c r="M104" i="1"/>
  <c r="N104" i="1" s="1"/>
  <c r="M103" i="1"/>
  <c r="N103" i="1" s="1"/>
  <c r="M98" i="1"/>
  <c r="N98" i="1" s="1"/>
  <c r="M95" i="1"/>
  <c r="N95" i="1" s="1"/>
  <c r="M94" i="1"/>
  <c r="N94" i="1" s="1"/>
  <c r="M93" i="1"/>
  <c r="N93" i="1" s="1"/>
  <c r="M92" i="1"/>
  <c r="N92" i="1" s="1"/>
  <c r="M91" i="1"/>
  <c r="N91" i="1" s="1"/>
  <c r="S114" i="1"/>
  <c r="R114" i="1"/>
  <c r="Q114" i="1"/>
  <c r="P114" i="1"/>
  <c r="O114" i="1"/>
  <c r="N114" i="1"/>
  <c r="M114" i="1"/>
  <c r="S111" i="1"/>
  <c r="R111" i="1"/>
  <c r="Q111" i="1"/>
  <c r="P111" i="1"/>
  <c r="S96" i="1"/>
  <c r="R96" i="1"/>
  <c r="Q96" i="1"/>
  <c r="P96" i="1"/>
  <c r="S90" i="1"/>
  <c r="R90" i="1"/>
  <c r="M89" i="1"/>
  <c r="N89" i="1" s="1"/>
  <c r="M88" i="1"/>
  <c r="N88" i="1" s="1"/>
  <c r="M87" i="1"/>
  <c r="N87" i="1" s="1"/>
  <c r="M86" i="1"/>
  <c r="N86" i="1" s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 s="1"/>
  <c r="M78" i="1"/>
  <c r="N78" i="1" s="1"/>
  <c r="L114" i="1"/>
  <c r="L111" i="1"/>
  <c r="L96" i="1"/>
  <c r="O40" i="1"/>
  <c r="N40" i="1"/>
  <c r="M40" i="1"/>
  <c r="L40" i="1"/>
  <c r="K40" i="1"/>
  <c r="O39" i="1"/>
  <c r="N39" i="1"/>
  <c r="M39" i="1"/>
  <c r="L39" i="1"/>
  <c r="K39" i="1"/>
  <c r="P40" i="1"/>
  <c r="P39" i="1"/>
  <c r="K64" i="1"/>
  <c r="K70" i="1" s="1"/>
  <c r="K72" i="1" s="1"/>
  <c r="K50" i="1"/>
  <c r="K46" i="1"/>
  <c r="W64" i="1"/>
  <c r="W70" i="1" s="1"/>
  <c r="W72" i="1" s="1"/>
  <c r="W50" i="1"/>
  <c r="W46" i="1"/>
  <c r="S64" i="1"/>
  <c r="S70" i="1" s="1"/>
  <c r="S72" i="1" s="1"/>
  <c r="S50" i="1"/>
  <c r="S46" i="1"/>
  <c r="R64" i="1"/>
  <c r="R70" i="1" s="1"/>
  <c r="R72" i="1" s="1"/>
  <c r="R50" i="1"/>
  <c r="R46" i="1"/>
  <c r="Q64" i="1"/>
  <c r="Q70" i="1" s="1"/>
  <c r="Q72" i="1" s="1"/>
  <c r="Q50" i="1"/>
  <c r="Q46" i="1"/>
  <c r="O46" i="1"/>
  <c r="N46" i="1"/>
  <c r="M46" i="1"/>
  <c r="L46" i="1"/>
  <c r="O50" i="1"/>
  <c r="N50" i="1"/>
  <c r="M50" i="1"/>
  <c r="L50" i="1"/>
  <c r="O64" i="1"/>
  <c r="O70" i="1" s="1"/>
  <c r="O72" i="1" s="1"/>
  <c r="N64" i="1"/>
  <c r="N70" i="1" s="1"/>
  <c r="M64" i="1"/>
  <c r="L64" i="1"/>
  <c r="L70" i="1" s="1"/>
  <c r="P64" i="1"/>
  <c r="P70" i="1" s="1"/>
  <c r="P72" i="1" s="1"/>
  <c r="P50" i="1"/>
  <c r="P46" i="1"/>
  <c r="H25" i="1"/>
  <c r="H13" i="1"/>
  <c r="H5" i="1"/>
  <c r="H33" i="1" s="1"/>
  <c r="I13" i="1"/>
  <c r="I5" i="1"/>
  <c r="I25" i="1"/>
  <c r="M25" i="1"/>
  <c r="M13" i="1"/>
  <c r="M5" i="1"/>
  <c r="J25" i="1"/>
  <c r="J13" i="1"/>
  <c r="J5" i="1"/>
  <c r="J33" i="1" s="1"/>
  <c r="N25" i="1"/>
  <c r="N13" i="1"/>
  <c r="N5" i="1"/>
  <c r="N33" i="1" s="1"/>
  <c r="P25" i="1"/>
  <c r="K25" i="1"/>
  <c r="O25" i="1"/>
  <c r="L25" i="1"/>
  <c r="K13" i="1"/>
  <c r="K5" i="1"/>
  <c r="O13" i="1"/>
  <c r="O5" i="1"/>
  <c r="O33" i="1" s="1"/>
  <c r="L13" i="1"/>
  <c r="L5" i="1"/>
  <c r="P13" i="1"/>
  <c r="P5" i="1"/>
  <c r="L6" i="2"/>
  <c r="L5" i="2"/>
  <c r="AB3" i="1" l="1"/>
  <c r="AA5" i="1"/>
  <c r="AB4" i="1"/>
  <c r="AC4" i="1" s="1"/>
  <c r="AD4" i="1" s="1"/>
  <c r="AE4" i="1" s="1"/>
  <c r="AF4" i="1" s="1"/>
  <c r="AG4" i="1" s="1"/>
  <c r="AH4" i="1" s="1"/>
  <c r="AI4" i="1" s="1"/>
  <c r="W15" i="1"/>
  <c r="W28" i="1" s="1"/>
  <c r="X38" i="1"/>
  <c r="Y5" i="1"/>
  <c r="Y33" i="1" s="1"/>
  <c r="Q5" i="1"/>
  <c r="Q25" i="1" s="1"/>
  <c r="R5" i="1"/>
  <c r="R25" i="1" s="1"/>
  <c r="Y54" i="1"/>
  <c r="Y100" i="1"/>
  <c r="Y101" i="1"/>
  <c r="Y109" i="1"/>
  <c r="Y25" i="1"/>
  <c r="W30" i="1"/>
  <c r="Y97" i="1"/>
  <c r="Y38" i="1"/>
  <c r="X54" i="1"/>
  <c r="S5" i="1"/>
  <c r="S25" i="1" s="1"/>
  <c r="V15" i="1"/>
  <c r="W34" i="1"/>
  <c r="W20" i="1"/>
  <c r="W36" i="1" s="1"/>
  <c r="O92" i="1"/>
  <c r="Y92" i="1" s="1"/>
  <c r="O93" i="1"/>
  <c r="Y93" i="1" s="1"/>
  <c r="O95" i="1"/>
  <c r="Y95" i="1" s="1"/>
  <c r="X13" i="1"/>
  <c r="X25" i="1"/>
  <c r="Y13" i="1"/>
  <c r="O104" i="1"/>
  <c r="Y104" i="1" s="1"/>
  <c r="O87" i="1"/>
  <c r="Y87" i="1" s="1"/>
  <c r="O82" i="1"/>
  <c r="Y82" i="1" s="1"/>
  <c r="O86" i="1"/>
  <c r="Y86" i="1" s="1"/>
  <c r="O94" i="1"/>
  <c r="Y94" i="1" s="1"/>
  <c r="O103" i="1"/>
  <c r="Y103" i="1" s="1"/>
  <c r="O88" i="1"/>
  <c r="Y88" i="1" s="1"/>
  <c r="O105" i="1"/>
  <c r="Y105" i="1" s="1"/>
  <c r="O78" i="1"/>
  <c r="Y78" i="1" s="1"/>
  <c r="O89" i="1"/>
  <c r="Y89" i="1" s="1"/>
  <c r="O98" i="1"/>
  <c r="Y98" i="1" s="1"/>
  <c r="O106" i="1"/>
  <c r="Y106" i="1" s="1"/>
  <c r="O81" i="1"/>
  <c r="Y81" i="1" s="1"/>
  <c r="O79" i="1"/>
  <c r="Y79" i="1" s="1"/>
  <c r="O107" i="1"/>
  <c r="Y107" i="1" s="1"/>
  <c r="O80" i="1"/>
  <c r="Y80" i="1" s="1"/>
  <c r="O91" i="1"/>
  <c r="Y91" i="1" s="1"/>
  <c r="O110" i="1"/>
  <c r="Y110" i="1" s="1"/>
  <c r="X5" i="1"/>
  <c r="O83" i="1"/>
  <c r="Y83" i="1" s="1"/>
  <c r="O84" i="1"/>
  <c r="Y84" i="1" s="1"/>
  <c r="N96" i="1"/>
  <c r="M111" i="1"/>
  <c r="M96" i="1"/>
  <c r="O38" i="1"/>
  <c r="K38" i="1"/>
  <c r="N38" i="1"/>
  <c r="P38" i="1"/>
  <c r="L38" i="1"/>
  <c r="W54" i="1"/>
  <c r="R54" i="1"/>
  <c r="M38" i="1"/>
  <c r="S54" i="1"/>
  <c r="K54" i="1"/>
  <c r="Q54" i="1"/>
  <c r="K31" i="1"/>
  <c r="I31" i="1"/>
  <c r="P54" i="1"/>
  <c r="L54" i="1"/>
  <c r="M70" i="1"/>
  <c r="M72" i="1" s="1"/>
  <c r="L72" i="1"/>
  <c r="N72" i="1"/>
  <c r="J31" i="1"/>
  <c r="P15" i="1"/>
  <c r="L31" i="1"/>
  <c r="M31" i="1"/>
  <c r="P33" i="1"/>
  <c r="M54" i="1"/>
  <c r="I33" i="1"/>
  <c r="N54" i="1"/>
  <c r="O54" i="1"/>
  <c r="M30" i="1"/>
  <c r="N31" i="1"/>
  <c r="N30" i="1"/>
  <c r="O31" i="1"/>
  <c r="K33" i="1"/>
  <c r="L30" i="1"/>
  <c r="O30" i="1"/>
  <c r="L33" i="1"/>
  <c r="M33" i="1"/>
  <c r="P30" i="1"/>
  <c r="P31" i="1"/>
  <c r="H15" i="1"/>
  <c r="H28" i="1" s="1"/>
  <c r="I15" i="1"/>
  <c r="I28" i="1" s="1"/>
  <c r="M15" i="1"/>
  <c r="M28" i="1" s="1"/>
  <c r="J15" i="1"/>
  <c r="J28" i="1" s="1"/>
  <c r="N15" i="1"/>
  <c r="K15" i="1"/>
  <c r="O15" i="1"/>
  <c r="O28" i="1" s="1"/>
  <c r="L15" i="1"/>
  <c r="L28" i="1" s="1"/>
  <c r="L4" i="2"/>
  <c r="L7" i="2" s="1"/>
  <c r="L8" i="2"/>
  <c r="Z5" i="1" l="1"/>
  <c r="Z25" i="1"/>
  <c r="AA25" i="1" s="1"/>
  <c r="AB25" i="1" s="1"/>
  <c r="AC25" i="1" s="1"/>
  <c r="AD25" i="1" s="1"/>
  <c r="AE25" i="1" s="1"/>
  <c r="AF25" i="1" s="1"/>
  <c r="AG25" i="1" s="1"/>
  <c r="AH25" i="1" s="1"/>
  <c r="AI25" i="1" s="1"/>
  <c r="AA7" i="1"/>
  <c r="AA6" i="1"/>
  <c r="AA33" i="1" s="1"/>
  <c r="AA19" i="1"/>
  <c r="AA30" i="1"/>
  <c r="AA18" i="1"/>
  <c r="AA12" i="1"/>
  <c r="AA10" i="1"/>
  <c r="AA17" i="1"/>
  <c r="AA11" i="1"/>
  <c r="AA16" i="1"/>
  <c r="AA9" i="1"/>
  <c r="AA14" i="1"/>
  <c r="AA8" i="1"/>
  <c r="AB5" i="1"/>
  <c r="AC3" i="1"/>
  <c r="K34" i="1"/>
  <c r="K28" i="1"/>
  <c r="P20" i="1"/>
  <c r="P28" i="1"/>
  <c r="V34" i="1"/>
  <c r="V28" i="1"/>
  <c r="N34" i="1"/>
  <c r="N28" i="1"/>
  <c r="R30" i="1"/>
  <c r="R17" i="1"/>
  <c r="R11" i="1"/>
  <c r="R7" i="1"/>
  <c r="R16" i="1"/>
  <c r="R10" i="1"/>
  <c r="R6" i="1"/>
  <c r="R19" i="1"/>
  <c r="R14" i="1"/>
  <c r="R9" i="1"/>
  <c r="R18" i="1"/>
  <c r="R12" i="1"/>
  <c r="R8" i="1"/>
  <c r="S30" i="1"/>
  <c r="S16" i="1"/>
  <c r="S10" i="1"/>
  <c r="S6" i="1"/>
  <c r="S11" i="1"/>
  <c r="S7" i="1"/>
  <c r="S19" i="1"/>
  <c r="S14" i="1"/>
  <c r="S9" i="1"/>
  <c r="S18" i="1"/>
  <c r="S12" i="1"/>
  <c r="S8" i="1"/>
  <c r="S17" i="1"/>
  <c r="Q30" i="1"/>
  <c r="Q12" i="1"/>
  <c r="Q11" i="1"/>
  <c r="Z11" i="1" s="1"/>
  <c r="Q10" i="1"/>
  <c r="Q19" i="1"/>
  <c r="Q9" i="1"/>
  <c r="Z9" i="1" s="1"/>
  <c r="Q14" i="1"/>
  <c r="Z14" i="1" s="1"/>
  <c r="Q18" i="1"/>
  <c r="Q8" i="1"/>
  <c r="Q17" i="1"/>
  <c r="Z17" i="1" s="1"/>
  <c r="Q7" i="1"/>
  <c r="Z7" i="1" s="1"/>
  <c r="Q16" i="1"/>
  <c r="Q6" i="1"/>
  <c r="Q31" i="1"/>
  <c r="R31" i="1"/>
  <c r="N111" i="1"/>
  <c r="O111" i="1" s="1"/>
  <c r="Y15" i="1"/>
  <c r="X30" i="1"/>
  <c r="X33" i="1"/>
  <c r="O96" i="1"/>
  <c r="Y96" i="1" s="1"/>
  <c r="Y30" i="1"/>
  <c r="S31" i="1"/>
  <c r="V20" i="1"/>
  <c r="V36" i="1" s="1"/>
  <c r="W22" i="1"/>
  <c r="X15" i="1"/>
  <c r="P36" i="1"/>
  <c r="P34" i="1"/>
  <c r="I20" i="1"/>
  <c r="I34" i="1"/>
  <c r="L20" i="1"/>
  <c r="L34" i="1"/>
  <c r="O20" i="1"/>
  <c r="O34" i="1"/>
  <c r="H20" i="1"/>
  <c r="H34" i="1"/>
  <c r="J20" i="1"/>
  <c r="J34" i="1"/>
  <c r="M20" i="1"/>
  <c r="M34" i="1"/>
  <c r="N20" i="1"/>
  <c r="K20" i="1"/>
  <c r="Z16" i="1" l="1"/>
  <c r="Z10" i="1"/>
  <c r="AD3" i="1"/>
  <c r="AC5" i="1"/>
  <c r="Z19" i="1"/>
  <c r="Z12" i="1"/>
  <c r="AB12" i="1"/>
  <c r="AB30" i="1"/>
  <c r="AB14" i="1"/>
  <c r="AB8" i="1"/>
  <c r="AB16" i="1"/>
  <c r="AB9" i="1"/>
  <c r="AB17" i="1"/>
  <c r="AB10" i="1"/>
  <c r="AB18" i="1"/>
  <c r="AB7" i="1"/>
  <c r="AB19" i="1"/>
  <c r="AB11" i="1"/>
  <c r="AB6" i="1"/>
  <c r="Z6" i="1"/>
  <c r="Z33" i="1" s="1"/>
  <c r="Z8" i="1"/>
  <c r="P22" i="1"/>
  <c r="AA13" i="1"/>
  <c r="AA15" i="1" s="1"/>
  <c r="Z18" i="1"/>
  <c r="Z30" i="1"/>
  <c r="X34" i="1"/>
  <c r="X28" i="1"/>
  <c r="Y34" i="1"/>
  <c r="Y28" i="1"/>
  <c r="Q13" i="1"/>
  <c r="R13" i="1"/>
  <c r="R15" i="1" s="1"/>
  <c r="Q33" i="1"/>
  <c r="S13" i="1"/>
  <c r="S15" i="1" s="1"/>
  <c r="W35" i="1"/>
  <c r="W23" i="1"/>
  <c r="Y111" i="1"/>
  <c r="V22" i="1"/>
  <c r="V35" i="1" s="1"/>
  <c r="X20" i="1"/>
  <c r="X36" i="1" s="1"/>
  <c r="Y20" i="1"/>
  <c r="Y36" i="1" s="1"/>
  <c r="H22" i="1"/>
  <c r="H36" i="1"/>
  <c r="M22" i="1"/>
  <c r="M77" i="1" s="1"/>
  <c r="M90" i="1" s="1"/>
  <c r="M36" i="1"/>
  <c r="N22" i="1"/>
  <c r="N77" i="1" s="1"/>
  <c r="N36" i="1"/>
  <c r="O22" i="1"/>
  <c r="O77" i="1" s="1"/>
  <c r="O36" i="1"/>
  <c r="L22" i="1"/>
  <c r="L36" i="1"/>
  <c r="K22" i="1"/>
  <c r="K36" i="1"/>
  <c r="J22" i="1"/>
  <c r="J36" i="1"/>
  <c r="I22" i="1"/>
  <c r="I36" i="1"/>
  <c r="P23" i="1" l="1"/>
  <c r="P77" i="1"/>
  <c r="P90" i="1" s="1"/>
  <c r="P35" i="1"/>
  <c r="Q15" i="1"/>
  <c r="Z13" i="1"/>
  <c r="AB13" i="1"/>
  <c r="AB15" i="1" s="1"/>
  <c r="AE3" i="1"/>
  <c r="AD5" i="1"/>
  <c r="AC10" i="1"/>
  <c r="AC7" i="1"/>
  <c r="AC14" i="1"/>
  <c r="AC11" i="1"/>
  <c r="AC9" i="1"/>
  <c r="AC8" i="1"/>
  <c r="AC12" i="1"/>
  <c r="AC30" i="1"/>
  <c r="AC17" i="1"/>
  <c r="AC6" i="1"/>
  <c r="AC16" i="1"/>
  <c r="AC19" i="1"/>
  <c r="AC18" i="1"/>
  <c r="AA20" i="1"/>
  <c r="AA34" i="1"/>
  <c r="AB33" i="1"/>
  <c r="S20" i="1"/>
  <c r="S28" i="1"/>
  <c r="R20" i="1"/>
  <c r="R21" i="1" s="1"/>
  <c r="R22" i="1" s="1"/>
  <c r="R23" i="1" s="1"/>
  <c r="R28" i="1"/>
  <c r="S21" i="1"/>
  <c r="S22" i="1" s="1"/>
  <c r="S23" i="1" s="1"/>
  <c r="Q20" i="1"/>
  <c r="Z20" i="1" s="1"/>
  <c r="Q34" i="1"/>
  <c r="M75" i="1"/>
  <c r="M74" i="1"/>
  <c r="V23" i="1"/>
  <c r="L77" i="1"/>
  <c r="Y22" i="1"/>
  <c r="Y35" i="1" s="1"/>
  <c r="X22" i="1"/>
  <c r="X35" i="1" s="1"/>
  <c r="N23" i="1"/>
  <c r="N35" i="1"/>
  <c r="I23" i="1"/>
  <c r="I35" i="1"/>
  <c r="J23" i="1"/>
  <c r="J35" i="1"/>
  <c r="K23" i="1"/>
  <c r="K35" i="1"/>
  <c r="M23" i="1"/>
  <c r="M35" i="1"/>
  <c r="O23" i="1"/>
  <c r="O35" i="1"/>
  <c r="L23" i="1"/>
  <c r="L35" i="1"/>
  <c r="H23" i="1"/>
  <c r="H35" i="1"/>
  <c r="AA21" i="1" l="1"/>
  <c r="AA36" i="1" s="1"/>
  <c r="Q28" i="1"/>
  <c r="Z15" i="1"/>
  <c r="Z34" i="1" s="1"/>
  <c r="AF3" i="1"/>
  <c r="AE5" i="1"/>
  <c r="AB34" i="1"/>
  <c r="AB20" i="1"/>
  <c r="AC33" i="1"/>
  <c r="AC13" i="1"/>
  <c r="AC15" i="1" s="1"/>
  <c r="AD12" i="1"/>
  <c r="AD9" i="1"/>
  <c r="AD18" i="1"/>
  <c r="AD7" i="1"/>
  <c r="AD17" i="1"/>
  <c r="AD16" i="1"/>
  <c r="AD14" i="1"/>
  <c r="AD10" i="1"/>
  <c r="AD11" i="1"/>
  <c r="AD8" i="1"/>
  <c r="AD30" i="1"/>
  <c r="AD6" i="1"/>
  <c r="AD13" i="1" s="1"/>
  <c r="AD15" i="1" s="1"/>
  <c r="AD19" i="1"/>
  <c r="AD33" i="1"/>
  <c r="Q21" i="1"/>
  <c r="L90" i="1"/>
  <c r="Y77" i="1"/>
  <c r="X23" i="1"/>
  <c r="Y23" i="1"/>
  <c r="AG3" i="1" l="1"/>
  <c r="AF5" i="1"/>
  <c r="Q36" i="1"/>
  <c r="Z21" i="1"/>
  <c r="Z36" i="1" s="1"/>
  <c r="AE30" i="1"/>
  <c r="AE17" i="1"/>
  <c r="AE10" i="1"/>
  <c r="AE7" i="1"/>
  <c r="AE33" i="1" s="1"/>
  <c r="AE9" i="1"/>
  <c r="AE6" i="1"/>
  <c r="AE12" i="1"/>
  <c r="AE19" i="1"/>
  <c r="AE11" i="1"/>
  <c r="AE18" i="1"/>
  <c r="AE16" i="1"/>
  <c r="AE8" i="1"/>
  <c r="AE14" i="1"/>
  <c r="AB21" i="1"/>
  <c r="AB36" i="1" s="1"/>
  <c r="AB22" i="1"/>
  <c r="AC34" i="1"/>
  <c r="AC20" i="1"/>
  <c r="AD34" i="1"/>
  <c r="AD20" i="1"/>
  <c r="Q22" i="1"/>
  <c r="Z22" i="1" s="1"/>
  <c r="Z35" i="1" s="1"/>
  <c r="AA22" i="1"/>
  <c r="Q35" i="1"/>
  <c r="Q23" i="1"/>
  <c r="Z23" i="1" s="1"/>
  <c r="L75" i="1"/>
  <c r="L74" i="1"/>
  <c r="N90" i="1"/>
  <c r="AD21" i="1" l="1"/>
  <c r="AD36" i="1" s="1"/>
  <c r="AD22" i="1"/>
  <c r="AB23" i="1"/>
  <c r="AB35" i="1"/>
  <c r="AC21" i="1"/>
  <c r="AC36" i="1" s="1"/>
  <c r="AC22" i="1"/>
  <c r="AA23" i="1"/>
  <c r="AA35" i="1"/>
  <c r="AE13" i="1"/>
  <c r="AE15" i="1" s="1"/>
  <c r="AF14" i="1"/>
  <c r="AF17" i="1"/>
  <c r="AF12" i="1"/>
  <c r="AF6" i="1"/>
  <c r="AF33" i="1" s="1"/>
  <c r="AF16" i="1"/>
  <c r="AF9" i="1"/>
  <c r="AF8" i="1"/>
  <c r="AF30" i="1"/>
  <c r="AF10" i="1"/>
  <c r="AF7" i="1"/>
  <c r="AF19" i="1"/>
  <c r="AF11" i="1"/>
  <c r="AF18" i="1"/>
  <c r="AH3" i="1"/>
  <c r="AG5" i="1"/>
  <c r="N75" i="1"/>
  <c r="N74" i="1"/>
  <c r="O90" i="1"/>
  <c r="Y90" i="1" s="1"/>
  <c r="AI3" i="1" l="1"/>
  <c r="AI5" i="1" s="1"/>
  <c r="AH5" i="1"/>
  <c r="AC35" i="1"/>
  <c r="AC23" i="1"/>
  <c r="AF13" i="1"/>
  <c r="AF15" i="1" s="1"/>
  <c r="AD35" i="1"/>
  <c r="AD23" i="1"/>
  <c r="AG30" i="1"/>
  <c r="AG8" i="1"/>
  <c r="AG18" i="1"/>
  <c r="AG10" i="1"/>
  <c r="AG17" i="1"/>
  <c r="AG9" i="1"/>
  <c r="AG12" i="1"/>
  <c r="AG7" i="1"/>
  <c r="AG33" i="1" s="1"/>
  <c r="AG19" i="1"/>
  <c r="AG6" i="1"/>
  <c r="AG16" i="1"/>
  <c r="AG11" i="1"/>
  <c r="AG14" i="1"/>
  <c r="AE34" i="1"/>
  <c r="AE20" i="1"/>
  <c r="Y75" i="1"/>
  <c r="Y74" i="1"/>
  <c r="O75" i="1"/>
  <c r="O74" i="1"/>
  <c r="AE21" i="1" l="1"/>
  <c r="AE36" i="1" s="1"/>
  <c r="AE22" i="1"/>
  <c r="AF20" i="1"/>
  <c r="AF34" i="1"/>
  <c r="AH17" i="1"/>
  <c r="AH30" i="1"/>
  <c r="AH14" i="1"/>
  <c r="AH10" i="1"/>
  <c r="AH8" i="1"/>
  <c r="AH11" i="1"/>
  <c r="AH6" i="1"/>
  <c r="AH18" i="1"/>
  <c r="AH19" i="1"/>
  <c r="AH7" i="1"/>
  <c r="AH16" i="1"/>
  <c r="AH9" i="1"/>
  <c r="AH12" i="1"/>
  <c r="AG13" i="1"/>
  <c r="AG15" i="1" s="1"/>
  <c r="AI17" i="1"/>
  <c r="AI7" i="1"/>
  <c r="AI6" i="1"/>
  <c r="AI13" i="1" s="1"/>
  <c r="AI15" i="1" s="1"/>
  <c r="AI12" i="1"/>
  <c r="AI10" i="1"/>
  <c r="AI30" i="1"/>
  <c r="AI14" i="1"/>
  <c r="AI19" i="1"/>
  <c r="AI16" i="1"/>
  <c r="AI18" i="1"/>
  <c r="AI8" i="1"/>
  <c r="AI11" i="1"/>
  <c r="AI9" i="1"/>
  <c r="AG34" i="1" l="1"/>
  <c r="AG20" i="1"/>
  <c r="AH13" i="1"/>
  <c r="AH15" i="1" s="1"/>
  <c r="AF21" i="1"/>
  <c r="AF36" i="1" s="1"/>
  <c r="AF22" i="1"/>
  <c r="AH33" i="1"/>
  <c r="AE23" i="1"/>
  <c r="AE35" i="1"/>
  <c r="AI34" i="1"/>
  <c r="AI20" i="1"/>
  <c r="AI21" i="1" s="1"/>
  <c r="AI36" i="1" s="1"/>
  <c r="AI33" i="1"/>
  <c r="AI22" i="1"/>
  <c r="AF35" i="1" l="1"/>
  <c r="AF23" i="1"/>
  <c r="AH34" i="1"/>
  <c r="AH20" i="1"/>
  <c r="AG21" i="1"/>
  <c r="AG36" i="1" s="1"/>
  <c r="AI35" i="1"/>
  <c r="AI23" i="1"/>
  <c r="AH21" i="1" l="1"/>
  <c r="AH36" i="1" s="1"/>
  <c r="AH22" i="1"/>
  <c r="AG22" i="1"/>
  <c r="AG23" i="1" l="1"/>
  <c r="AG35" i="1"/>
  <c r="AH23" i="1"/>
  <c r="AH35" i="1"/>
</calcChain>
</file>

<file path=xl/sharedStrings.xml><?xml version="1.0" encoding="utf-8"?>
<sst xmlns="http://schemas.openxmlformats.org/spreadsheetml/2006/main" count="189" uniqueCount="169">
  <si>
    <t>Price</t>
  </si>
  <si>
    <t>Shares</t>
  </si>
  <si>
    <t>MC</t>
  </si>
  <si>
    <t>Cash</t>
  </si>
  <si>
    <t>Debt</t>
  </si>
  <si>
    <t>EV</t>
  </si>
  <si>
    <t>Net Cash</t>
  </si>
  <si>
    <t>CEO</t>
  </si>
  <si>
    <t>Q323</t>
  </si>
  <si>
    <t>Q423</t>
  </si>
  <si>
    <t>Q322</t>
  </si>
  <si>
    <t>Q422</t>
  </si>
  <si>
    <t>Q123</t>
  </si>
  <si>
    <t>Q223</t>
  </si>
  <si>
    <t>Q122</t>
  </si>
  <si>
    <t>Q222</t>
  </si>
  <si>
    <t>Main</t>
  </si>
  <si>
    <t>Model</t>
  </si>
  <si>
    <t>Q121</t>
  </si>
  <si>
    <t>Q221</t>
  </si>
  <si>
    <t>Q321</t>
  </si>
  <si>
    <t>Q421</t>
  </si>
  <si>
    <t>Q420</t>
  </si>
  <si>
    <t>Q124</t>
  </si>
  <si>
    <t>Q224</t>
  </si>
  <si>
    <t>Q324</t>
  </si>
  <si>
    <t>Q424</t>
  </si>
  <si>
    <t>HPK</t>
  </si>
  <si>
    <t>HIGHPEAK ENERGY, INC</t>
  </si>
  <si>
    <r>
      <t xml:space="preserve">Incorporated in Delaware, October 29, </t>
    </r>
    <r>
      <rPr>
        <b/>
        <sz val="12"/>
        <color theme="1"/>
        <rFont val="Times New Roman"/>
        <family val="1"/>
      </rPr>
      <t>2019.</t>
    </r>
  </si>
  <si>
    <t>Independend crude oil and natural gas exploration and production company that</t>
  </si>
  <si>
    <t>explores for, develops and produces crude oil, NGL and natural gas in the Permian</t>
  </si>
  <si>
    <t>Basin in West Texas, mor specifically, the Midland Basin primarily in Howard and</t>
  </si>
  <si>
    <t xml:space="preserve">Borden Counties, Texas. </t>
  </si>
  <si>
    <t>Their acreage is composed of two core areas, Flat Top primarily in the northern</t>
  </si>
  <si>
    <t>portion of Howard County extending into southern Borden County, southwest Scurry</t>
  </si>
  <si>
    <t xml:space="preserve">County and nortwest Mitchell County and Signal Peak in the southern portion of </t>
  </si>
  <si>
    <t>Howard County.</t>
  </si>
  <si>
    <t>As of December 31, 2023, the company's assets consisted of two generally</t>
  </si>
  <si>
    <t>contiguous leasehold positions of approximately 143,187 gross (131,636 net) acres</t>
  </si>
  <si>
    <t>covering various subsurface depths, approx. 64% of which were held by production,</t>
  </si>
  <si>
    <t>with an average working interest of approx. 92%.</t>
  </si>
  <si>
    <t>Name</t>
  </si>
  <si>
    <t>Age</t>
  </si>
  <si>
    <t>Role</t>
  </si>
  <si>
    <t>Board of Directors</t>
  </si>
  <si>
    <t>Jack Hightower</t>
  </si>
  <si>
    <t>Michael L. Hollis</t>
  </si>
  <si>
    <t>Rodney L. Woodard</t>
  </si>
  <si>
    <t>Steven W. Tholen</t>
  </si>
  <si>
    <t>Keith Forbes</t>
  </si>
  <si>
    <t>Jay M. Chernosky</t>
  </si>
  <si>
    <t>Keith A. Covington</t>
  </si>
  <si>
    <t>Sharon F. Fulgham</t>
  </si>
  <si>
    <t>Larry C. Oldham</t>
  </si>
  <si>
    <t>Jason A. Edgeworth</t>
  </si>
  <si>
    <t>CEO &amp; Chairman</t>
  </si>
  <si>
    <t>President and Director</t>
  </si>
  <si>
    <t>COO</t>
  </si>
  <si>
    <t>CFO</t>
  </si>
  <si>
    <t>CAO</t>
  </si>
  <si>
    <t>Director</t>
  </si>
  <si>
    <t>Crude oil sales</t>
  </si>
  <si>
    <t>NGL and natural gas sales</t>
  </si>
  <si>
    <t>Operating revenue</t>
  </si>
  <si>
    <t>Crude oil and NG production</t>
  </si>
  <si>
    <t>Production and ad valorem taxes</t>
  </si>
  <si>
    <t>Exploration and abandonments</t>
  </si>
  <si>
    <t>Depletion, D&amp;A</t>
  </si>
  <si>
    <t>Accretion of discount</t>
  </si>
  <si>
    <t>G&amp;A</t>
  </si>
  <si>
    <t>SBC</t>
  </si>
  <si>
    <t>Other expense</t>
  </si>
  <si>
    <t>Operating income</t>
  </si>
  <si>
    <t>Operating expenses</t>
  </si>
  <si>
    <t>Interest income</t>
  </si>
  <si>
    <t>Interest expense</t>
  </si>
  <si>
    <t>Gain (loss) on derivative instruments</t>
  </si>
  <si>
    <t>Pretax</t>
  </si>
  <si>
    <t>Taxes</t>
  </si>
  <si>
    <t>Net income</t>
  </si>
  <si>
    <t xml:space="preserve">EPS </t>
  </si>
  <si>
    <t>Dividends</t>
  </si>
  <si>
    <t>Revenue Y/Y</t>
  </si>
  <si>
    <t>Revenue Q/Q</t>
  </si>
  <si>
    <t>Gross Margin %</t>
  </si>
  <si>
    <t>Operating Margin %</t>
  </si>
  <si>
    <t>Net Margin %</t>
  </si>
  <si>
    <t>Tax Rate %</t>
  </si>
  <si>
    <t>Loss on extinguishment of debt</t>
  </si>
  <si>
    <t>Cash and equivalents</t>
  </si>
  <si>
    <t>A/R</t>
  </si>
  <si>
    <t>Inventory</t>
  </si>
  <si>
    <t>Prepaids</t>
  </si>
  <si>
    <t>Derivative instruments</t>
  </si>
  <si>
    <t>Current assets</t>
  </si>
  <si>
    <t>Proved properties</t>
  </si>
  <si>
    <t>Unproved properties</t>
  </si>
  <si>
    <t>Accumulated depletion, D&amp;A</t>
  </si>
  <si>
    <t>Total crude oil and NG properties</t>
  </si>
  <si>
    <t>Other P&amp;E</t>
  </si>
  <si>
    <t>ONCA</t>
  </si>
  <si>
    <t>Assets</t>
  </si>
  <si>
    <t>Current maturities of long-term debt</t>
  </si>
  <si>
    <t>Accrued CapEx</t>
  </si>
  <si>
    <t>A/P - trade</t>
  </si>
  <si>
    <t>Revenues and royalties</t>
  </si>
  <si>
    <t>Other accrued liabilities</t>
  </si>
  <si>
    <t>Advances from joint interest owners</t>
  </si>
  <si>
    <t>Accrued interest</t>
  </si>
  <si>
    <t>Leases</t>
  </si>
  <si>
    <t>Current liabilities</t>
  </si>
  <si>
    <t xml:space="preserve">Long-term debt </t>
  </si>
  <si>
    <t>DT</t>
  </si>
  <si>
    <t>Asset retirement obligations</t>
  </si>
  <si>
    <t>SE</t>
  </si>
  <si>
    <t>L+SE</t>
  </si>
  <si>
    <t>Liabilities</t>
  </si>
  <si>
    <t>Operating leases</t>
  </si>
  <si>
    <t>Net debt</t>
  </si>
  <si>
    <t>Reported NI</t>
  </si>
  <si>
    <t>Exploration and abandonment expense</t>
  </si>
  <si>
    <t>Accretion expense</t>
  </si>
  <si>
    <t>Amortization of debt issuance cost</t>
  </si>
  <si>
    <t>Amortization of discounts on notes</t>
  </si>
  <si>
    <t>Derivative-related activity</t>
  </si>
  <si>
    <t>Prepaids, inventory and other</t>
  </si>
  <si>
    <t>A/P, accrued liabilities and other</t>
  </si>
  <si>
    <t>CFFO</t>
  </si>
  <si>
    <t>Additions to crude oil and NG properties</t>
  </si>
  <si>
    <t>Acquisitions of crude oil and NG properties</t>
  </si>
  <si>
    <t>Other property additions</t>
  </si>
  <si>
    <t>CFFI</t>
  </si>
  <si>
    <t>Borrowings under credit agreement</t>
  </si>
  <si>
    <t>Proceeds from exercises of stock options</t>
  </si>
  <si>
    <t>Proceeds from exercises of warrants</t>
  </si>
  <si>
    <t>Debt issuance cost</t>
  </si>
  <si>
    <t>Dividends paid</t>
  </si>
  <si>
    <t>Dividend equivalents paid</t>
  </si>
  <si>
    <t>Proceeds from issuance of Senior Notes</t>
  </si>
  <si>
    <t>Repayments under Credit Agreement</t>
  </si>
  <si>
    <t>Stock offering costs</t>
  </si>
  <si>
    <t>CFFF</t>
  </si>
  <si>
    <t>Increase (decrease) in cash</t>
  </si>
  <si>
    <t>Cash at beginning of period</t>
  </si>
  <si>
    <t>Cash at end of period</t>
  </si>
  <si>
    <t>Supplemental cash flow info</t>
  </si>
  <si>
    <t>Cash paid for interest</t>
  </si>
  <si>
    <t>Cash paid for income taxes</t>
  </si>
  <si>
    <t>Supplemental disclosure of non-cash transactions</t>
  </si>
  <si>
    <t>Stock issued for acquisition</t>
  </si>
  <si>
    <t>Additions to asset retirement obligations</t>
  </si>
  <si>
    <t>Changes in working capital associated with oil and NG property</t>
  </si>
  <si>
    <t>Deposit and other cost related to pending acquisitions</t>
  </si>
  <si>
    <t>Borrowings under Term Loan Credit Aggreement</t>
  </si>
  <si>
    <t>Proceeds from issuance of 10% Senior Notes</t>
  </si>
  <si>
    <t>Repayments of 10% Senior Notes and 10.625%</t>
  </si>
  <si>
    <t>Premium on extinguishment of debt</t>
  </si>
  <si>
    <t>Proceeds from issuance of common stock</t>
  </si>
  <si>
    <t>Free Cash Flow</t>
  </si>
  <si>
    <t>Cash Flow</t>
  </si>
  <si>
    <t>EBITDA</t>
  </si>
  <si>
    <t>EBITDA %</t>
  </si>
  <si>
    <t>Maturity</t>
  </si>
  <si>
    <t>Discount</t>
  </si>
  <si>
    <t>NPV</t>
  </si>
  <si>
    <t>Value</t>
  </si>
  <si>
    <t>Change</t>
  </si>
  <si>
    <t>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</si>
</sst>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Times New Roman"/>
      <family val="1"/>
    </font>
    <font>
      <b/>
      <u/>
      <sz val="14"/>
      <color theme="10"/>
      <name val="Aptos Narrow"/>
      <family val="2"/>
      <scheme val="minor"/>
    </font>
    <font>
      <b/>
      <u/>
      <sz val="16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2" fontId="0" fillId="0" borderId="1" xfId="0" applyNumberFormat="1" applyBorder="1"/>
    <xf numFmtId="3" fontId="0" fillId="2" borderId="0" xfId="0" applyNumberFormat="1" applyFill="1"/>
    <xf numFmtId="0" fontId="0" fillId="2" borderId="0" xfId="0" applyFill="1"/>
    <xf numFmtId="0" fontId="7" fillId="2" borderId="0" xfId="1" applyFont="1" applyFill="1" applyAlignment="1">
      <alignment horizontal="center"/>
    </xf>
    <xf numFmtId="0" fontId="6" fillId="0" borderId="0" xfId="1" applyFont="1" applyAlignment="1">
      <alignment horizontal="center"/>
    </xf>
    <xf numFmtId="0" fontId="3" fillId="2" borderId="0" xfId="0" applyFont="1" applyFill="1" applyAlignment="1">
      <alignment horizontal="right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0" fillId="0" borderId="0" xfId="0" applyFont="1"/>
    <xf numFmtId="0" fontId="10" fillId="0" borderId="2" xfId="0" applyFont="1" applyBorder="1"/>
    <xf numFmtId="0" fontId="0" fillId="0" borderId="3" xfId="0" applyBorder="1"/>
    <xf numFmtId="0" fontId="0" fillId="0" borderId="4" xfId="0" applyBorder="1"/>
    <xf numFmtId="0" fontId="10" fillId="0" borderId="5" xfId="0" applyFont="1" applyBorder="1"/>
    <xf numFmtId="0" fontId="0" fillId="0" borderId="6" xfId="0" applyBorder="1"/>
    <xf numFmtId="0" fontId="0" fillId="0" borderId="7" xfId="0" applyBorder="1"/>
    <xf numFmtId="0" fontId="10" fillId="0" borderId="8" xfId="0" applyFont="1" applyBorder="1"/>
    <xf numFmtId="0" fontId="0" fillId="0" borderId="0" xfId="0" applyBorder="1"/>
    <xf numFmtId="0" fontId="0" fillId="0" borderId="9" xfId="0" applyBorder="1"/>
    <xf numFmtId="0" fontId="10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6" xfId="0" quotePrefix="1" applyBorder="1"/>
    <xf numFmtId="0" fontId="10" fillId="0" borderId="1" xfId="0" applyFont="1" applyFill="1" applyBorder="1"/>
    <xf numFmtId="0" fontId="1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1" fillId="0" borderId="0" xfId="0" applyFont="1" applyFill="1" applyBorder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3" fontId="0" fillId="2" borderId="3" xfId="0" applyNumberFormat="1" applyFill="1" applyBorder="1"/>
    <xf numFmtId="3" fontId="0" fillId="0" borderId="3" xfId="0" applyNumberFormat="1" applyBorder="1"/>
    <xf numFmtId="3" fontId="9" fillId="2" borderId="3" xfId="0" applyNumberFormat="1" applyFont="1" applyFill="1" applyBorder="1"/>
    <xf numFmtId="3" fontId="9" fillId="0" borderId="3" xfId="0" applyNumberFormat="1" applyFont="1" applyBorder="1"/>
    <xf numFmtId="4" fontId="0" fillId="0" borderId="0" xfId="0" applyNumberFormat="1"/>
    <xf numFmtId="0" fontId="9" fillId="2" borderId="3" xfId="0" applyFont="1" applyFill="1" applyBorder="1"/>
    <xf numFmtId="0" fontId="9" fillId="0" borderId="3" xfId="0" applyFont="1" applyBorder="1"/>
    <xf numFmtId="0" fontId="12" fillId="2" borderId="6" xfId="0" applyFont="1" applyFill="1" applyBorder="1"/>
    <xf numFmtId="0" fontId="12" fillId="0" borderId="6" xfId="0" applyFont="1" applyBorder="1"/>
    <xf numFmtId="0" fontId="12" fillId="2" borderId="11" xfId="0" applyFont="1" applyFill="1" applyBorder="1"/>
    <xf numFmtId="0" fontId="12" fillId="0" borderId="11" xfId="0" applyFont="1" applyBorder="1"/>
    <xf numFmtId="0" fontId="12" fillId="2" borderId="0" xfId="0" applyFont="1" applyFill="1" applyBorder="1"/>
    <xf numFmtId="0" fontId="12" fillId="0" borderId="0" xfId="0" applyFont="1" applyBorder="1"/>
    <xf numFmtId="9" fontId="12" fillId="0" borderId="6" xfId="0" applyNumberFormat="1" applyFont="1" applyBorder="1"/>
    <xf numFmtId="9" fontId="12" fillId="0" borderId="11" xfId="0" applyNumberFormat="1" applyFont="1" applyBorder="1"/>
    <xf numFmtId="9" fontId="12" fillId="0" borderId="0" xfId="0" applyNumberFormat="1" applyFont="1" applyBorder="1"/>
    <xf numFmtId="0" fontId="9" fillId="0" borderId="0" xfId="0" applyFont="1"/>
    <xf numFmtId="3" fontId="0" fillId="2" borderId="0" xfId="0" applyNumberFormat="1" applyFill="1" applyAlignment="1">
      <alignment horizontal="left" indent="1"/>
    </xf>
    <xf numFmtId="3" fontId="9" fillId="2" borderId="0" xfId="0" applyNumberFormat="1" applyFont="1" applyFill="1" applyAlignment="1">
      <alignment horizontal="left" indent="2"/>
    </xf>
    <xf numFmtId="3" fontId="9" fillId="0" borderId="0" xfId="0" applyNumberFormat="1" applyFont="1"/>
    <xf numFmtId="0" fontId="12" fillId="2" borderId="13" xfId="0" applyFont="1" applyFill="1" applyBorder="1"/>
    <xf numFmtId="0" fontId="12" fillId="0" borderId="13" xfId="0" applyFont="1" applyBorder="1"/>
    <xf numFmtId="0" fontId="13" fillId="2" borderId="0" xfId="0" applyFont="1" applyFill="1" applyBorder="1"/>
    <xf numFmtId="0" fontId="13" fillId="0" borderId="0" xfId="0" applyFont="1" applyBorder="1"/>
    <xf numFmtId="3" fontId="12" fillId="0" borderId="0" xfId="0" applyNumberFormat="1" applyFont="1" applyBorder="1"/>
    <xf numFmtId="3" fontId="12" fillId="0" borderId="13" xfId="0" applyNumberFormat="1" applyFont="1" applyBorder="1"/>
    <xf numFmtId="3" fontId="13" fillId="0" borderId="0" xfId="0" applyNumberFormat="1" applyFont="1" applyBorder="1"/>
    <xf numFmtId="0" fontId="9" fillId="2" borderId="0" xfId="0" applyFont="1" applyFill="1"/>
    <xf numFmtId="0" fontId="0" fillId="2" borderId="0" xfId="0" applyFont="1" applyFill="1" applyBorder="1"/>
    <xf numFmtId="0" fontId="0" fillId="0" borderId="0" xfId="0" applyFont="1" applyBorder="1"/>
    <xf numFmtId="3" fontId="9" fillId="2" borderId="0" xfId="0" applyNumberFormat="1" applyFont="1" applyFill="1" applyBorder="1"/>
    <xf numFmtId="3" fontId="9" fillId="0" borderId="0" xfId="0" applyNumberFormat="1" applyFont="1" applyBorder="1"/>
    <xf numFmtId="3" fontId="12" fillId="2" borderId="6" xfId="0" applyNumberFormat="1" applyFont="1" applyFill="1" applyBorder="1"/>
    <xf numFmtId="3" fontId="12" fillId="0" borderId="6" xfId="0" applyNumberFormat="1" applyFont="1" applyBorder="1"/>
    <xf numFmtId="3" fontId="12" fillId="2" borderId="11" xfId="0" applyNumberFormat="1" applyFont="1" applyFill="1" applyBorder="1"/>
    <xf numFmtId="3" fontId="12" fillId="0" borderId="11" xfId="0" applyNumberFormat="1" applyFont="1" applyBorder="1"/>
    <xf numFmtId="9" fontId="0" fillId="0" borderId="0" xfId="0" applyNumberFormat="1"/>
    <xf numFmtId="10" fontId="12" fillId="0" borderId="11" xfId="0" applyNumberFormat="1" applyFont="1" applyBorder="1"/>
    <xf numFmtId="1" fontId="9" fillId="0" borderId="3" xfId="0" applyNumberFormat="1" applyFont="1" applyBorder="1"/>
    <xf numFmtId="1" fontId="13" fillId="0" borderId="11" xfId="0" applyNumberFormat="1" applyFont="1" applyBorder="1"/>
    <xf numFmtId="9" fontId="0" fillId="0" borderId="0" xfId="2" applyFont="1"/>
    <xf numFmtId="2" fontId="12" fillId="0" borderId="11" xfId="0" applyNumberFormat="1" applyFont="1" applyBorder="1"/>
  </cellXfs>
  <cellStyles count="3">
    <cellStyle name="Prósent" xfId="2" builtinId="5"/>
    <cellStyle name="Tengill" xfId="1" builtinId="8"/>
    <cellStyle name="Venjulegt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</xdr:row>
      <xdr:rowOff>0</xdr:rowOff>
    </xdr:from>
    <xdr:to>
      <xdr:col>25</xdr:col>
      <xdr:colOff>0</xdr:colOff>
      <xdr:row>108</xdr:row>
      <xdr:rowOff>156309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87F4C14-02EA-478E-A306-3E5A0A7C5FA7}"/>
            </a:ext>
          </a:extLst>
        </xdr:cNvPr>
        <xdr:cNvCxnSpPr/>
      </xdr:nvCxnSpPr>
      <xdr:spPr>
        <a:xfrm>
          <a:off x="16937421" y="268014"/>
          <a:ext cx="0" cy="17183067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</xdr:row>
      <xdr:rowOff>0</xdr:rowOff>
    </xdr:from>
    <xdr:to>
      <xdr:col>16</xdr:col>
      <xdr:colOff>493</xdr:colOff>
      <xdr:row>108</xdr:row>
      <xdr:rowOff>156309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0D208FB0-B0EE-4622-B569-7B4962BCAD18}"/>
            </a:ext>
          </a:extLst>
        </xdr:cNvPr>
        <xdr:cNvCxnSpPr/>
      </xdr:nvCxnSpPr>
      <xdr:spPr>
        <a:xfrm>
          <a:off x="11514083" y="268014"/>
          <a:ext cx="493" cy="16710102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þ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A943-7190-4997-8580-4E0BDA41CD8D}">
  <dimension ref="B1:M32"/>
  <sheetViews>
    <sheetView workbookViewId="0">
      <selection activeCell="B1" sqref="B1"/>
    </sheetView>
  </sheetViews>
  <sheetFormatPr defaultRowHeight="14.4" x14ac:dyDescent="0.3"/>
  <cols>
    <col min="2" max="2" width="19.6640625" customWidth="1"/>
    <col min="5" max="5" width="9.88671875" customWidth="1"/>
    <col min="12" max="12" width="13.88671875" customWidth="1"/>
    <col min="13" max="13" width="9.109375" customWidth="1"/>
  </cols>
  <sheetData>
    <row r="1" spans="2:13" ht="21" x14ac:dyDescent="0.4">
      <c r="B1" s="8" t="s">
        <v>17</v>
      </c>
      <c r="K1" s="10" t="s">
        <v>27</v>
      </c>
      <c r="L1" s="10"/>
    </row>
    <row r="2" spans="2:13" ht="22.8" x14ac:dyDescent="0.3">
      <c r="B2" s="11" t="s">
        <v>28</v>
      </c>
      <c r="C2" s="11"/>
      <c r="D2" s="11"/>
      <c r="E2" s="11"/>
      <c r="F2" s="11"/>
      <c r="G2" s="11"/>
      <c r="H2" s="11"/>
      <c r="I2" s="11"/>
      <c r="K2" s="1" t="s">
        <v>0</v>
      </c>
      <c r="L2" s="4">
        <v>14.32</v>
      </c>
    </row>
    <row r="3" spans="2:13" x14ac:dyDescent="0.3">
      <c r="K3" s="1" t="s">
        <v>1</v>
      </c>
      <c r="L3" s="2">
        <v>127.855429</v>
      </c>
      <c r="M3" t="s">
        <v>23</v>
      </c>
    </row>
    <row r="4" spans="2:13" ht="15.6" x14ac:dyDescent="0.3">
      <c r="B4" s="13" t="s">
        <v>29</v>
      </c>
      <c r="C4" s="14"/>
      <c r="D4" s="14"/>
      <c r="E4" s="14"/>
      <c r="F4" s="14"/>
      <c r="G4" s="14"/>
      <c r="H4" s="14"/>
      <c r="I4" s="15"/>
      <c r="K4" s="1" t="s">
        <v>2</v>
      </c>
      <c r="L4" s="2">
        <f>L3*L2</f>
        <v>1830.8897432799999</v>
      </c>
    </row>
    <row r="5" spans="2:13" ht="15.6" x14ac:dyDescent="0.3">
      <c r="B5" s="12"/>
      <c r="K5" s="1" t="s">
        <v>3</v>
      </c>
      <c r="L5" s="2">
        <f>173.38+2.639</f>
        <v>176.01900000000001</v>
      </c>
      <c r="M5" t="s">
        <v>23</v>
      </c>
    </row>
    <row r="6" spans="2:13" ht="15.6" x14ac:dyDescent="0.3">
      <c r="B6" s="16" t="s">
        <v>30</v>
      </c>
      <c r="C6" s="17"/>
      <c r="D6" s="17"/>
      <c r="E6" s="17"/>
      <c r="F6" s="17"/>
      <c r="G6" s="17"/>
      <c r="H6" s="17"/>
      <c r="I6" s="18"/>
      <c r="K6" s="1" t="s">
        <v>4</v>
      </c>
      <c r="L6" s="2">
        <f>120+1004.798</f>
        <v>1124.798</v>
      </c>
      <c r="M6" t="s">
        <v>23</v>
      </c>
    </row>
    <row r="7" spans="2:13" ht="15.6" x14ac:dyDescent="0.3">
      <c r="B7" s="19" t="s">
        <v>31</v>
      </c>
      <c r="C7" s="20"/>
      <c r="D7" s="20"/>
      <c r="E7" s="20"/>
      <c r="F7" s="20"/>
      <c r="G7" s="20"/>
      <c r="H7" s="20"/>
      <c r="I7" s="21"/>
      <c r="K7" s="1" t="s">
        <v>5</v>
      </c>
      <c r="L7" s="2">
        <f>L4-L5+L6</f>
        <v>2779.6687432799999</v>
      </c>
    </row>
    <row r="8" spans="2:13" ht="15.6" x14ac:dyDescent="0.3">
      <c r="B8" s="19" t="s">
        <v>32</v>
      </c>
      <c r="C8" s="20"/>
      <c r="D8" s="20"/>
      <c r="E8" s="20"/>
      <c r="F8" s="20"/>
      <c r="G8" s="20"/>
      <c r="H8" s="20"/>
      <c r="I8" s="21"/>
      <c r="K8" s="1" t="s">
        <v>6</v>
      </c>
      <c r="L8" s="2">
        <f>L5-L6</f>
        <v>-948.779</v>
      </c>
    </row>
    <row r="9" spans="2:13" ht="15.6" x14ac:dyDescent="0.3">
      <c r="B9" s="22" t="s">
        <v>33</v>
      </c>
      <c r="C9" s="23"/>
      <c r="D9" s="23"/>
      <c r="E9" s="23"/>
      <c r="F9" s="23"/>
      <c r="G9" s="23"/>
      <c r="H9" s="23"/>
      <c r="I9" s="24"/>
      <c r="K9" s="1"/>
      <c r="L9" s="1"/>
    </row>
    <row r="10" spans="2:13" ht="15.6" x14ac:dyDescent="0.3">
      <c r="B10" s="12"/>
      <c r="K10" s="1" t="s">
        <v>7</v>
      </c>
      <c r="L10" s="1" t="s">
        <v>46</v>
      </c>
    </row>
    <row r="11" spans="2:13" ht="15.6" x14ac:dyDescent="0.3">
      <c r="B11" s="16" t="s">
        <v>34</v>
      </c>
      <c r="C11" s="17"/>
      <c r="D11" s="17"/>
      <c r="E11" s="17"/>
      <c r="F11" s="17"/>
      <c r="G11" s="17"/>
      <c r="H11" s="17"/>
      <c r="I11" s="18"/>
    </row>
    <row r="12" spans="2:13" ht="15.6" x14ac:dyDescent="0.3">
      <c r="B12" s="19" t="s">
        <v>35</v>
      </c>
      <c r="C12" s="20"/>
      <c r="D12" s="20"/>
      <c r="E12" s="20"/>
      <c r="F12" s="20"/>
      <c r="G12" s="20"/>
      <c r="H12" s="20"/>
      <c r="I12" s="21"/>
    </row>
    <row r="13" spans="2:13" ht="15.6" x14ac:dyDescent="0.3">
      <c r="B13" s="19" t="s">
        <v>36</v>
      </c>
      <c r="C13" s="20"/>
      <c r="D13" s="20"/>
      <c r="E13" s="20"/>
      <c r="F13" s="20"/>
      <c r="G13" s="20"/>
      <c r="H13" s="20"/>
      <c r="I13" s="21"/>
    </row>
    <row r="14" spans="2:13" ht="15.6" x14ac:dyDescent="0.3">
      <c r="B14" s="22" t="s">
        <v>37</v>
      </c>
      <c r="C14" s="23"/>
      <c r="D14" s="23"/>
      <c r="E14" s="23"/>
      <c r="F14" s="23"/>
      <c r="G14" s="23"/>
      <c r="H14" s="23"/>
      <c r="I14" s="24"/>
    </row>
    <row r="15" spans="2:13" ht="15.6" x14ac:dyDescent="0.3">
      <c r="B15" s="12"/>
    </row>
    <row r="16" spans="2:13" ht="15.6" x14ac:dyDescent="0.3">
      <c r="B16" s="16" t="s">
        <v>38</v>
      </c>
      <c r="C16" s="17"/>
      <c r="D16" s="17"/>
      <c r="E16" s="17"/>
      <c r="F16" s="25"/>
      <c r="G16" s="17"/>
      <c r="H16" s="17"/>
      <c r="I16" s="18"/>
    </row>
    <row r="17" spans="2:9" ht="15.6" x14ac:dyDescent="0.3">
      <c r="B17" s="19" t="s">
        <v>39</v>
      </c>
      <c r="C17" s="20"/>
      <c r="D17" s="20"/>
      <c r="E17" s="20"/>
      <c r="F17" s="20"/>
      <c r="G17" s="20"/>
      <c r="H17" s="20"/>
      <c r="I17" s="21"/>
    </row>
    <row r="18" spans="2:9" ht="15.6" x14ac:dyDescent="0.3">
      <c r="B18" s="19" t="s">
        <v>40</v>
      </c>
      <c r="C18" s="20"/>
      <c r="D18" s="20"/>
      <c r="E18" s="20"/>
      <c r="F18" s="20"/>
      <c r="G18" s="20"/>
      <c r="H18" s="20"/>
      <c r="I18" s="21"/>
    </row>
    <row r="19" spans="2:9" ht="15.6" x14ac:dyDescent="0.3">
      <c r="B19" s="22" t="s">
        <v>41</v>
      </c>
      <c r="C19" s="23"/>
      <c r="D19" s="23"/>
      <c r="E19" s="23"/>
      <c r="F19" s="23"/>
      <c r="G19" s="23"/>
      <c r="H19" s="23"/>
      <c r="I19" s="24"/>
    </row>
    <row r="21" spans="2:9" ht="15.6" x14ac:dyDescent="0.3">
      <c r="B21" s="37" t="s">
        <v>45</v>
      </c>
    </row>
    <row r="22" spans="2:9" ht="15.6" x14ac:dyDescent="0.3">
      <c r="B22" s="27" t="s">
        <v>42</v>
      </c>
      <c r="C22" s="28" t="s">
        <v>43</v>
      </c>
      <c r="D22" s="29" t="s">
        <v>44</v>
      </c>
      <c r="E22" s="30"/>
    </row>
    <row r="23" spans="2:9" ht="15.6" x14ac:dyDescent="0.3">
      <c r="B23" s="26" t="s">
        <v>46</v>
      </c>
      <c r="C23" s="28">
        <v>75</v>
      </c>
      <c r="D23" s="35" t="s">
        <v>56</v>
      </c>
      <c r="E23" s="36"/>
    </row>
    <row r="24" spans="2:9" ht="15.6" x14ac:dyDescent="0.3">
      <c r="B24" s="26" t="s">
        <v>47</v>
      </c>
      <c r="C24" s="28">
        <v>48</v>
      </c>
      <c r="D24" s="33" t="s">
        <v>57</v>
      </c>
      <c r="E24" s="34"/>
    </row>
    <row r="25" spans="2:9" ht="15.6" x14ac:dyDescent="0.3">
      <c r="B25" s="26" t="s">
        <v>48</v>
      </c>
      <c r="C25" s="28">
        <v>68</v>
      </c>
      <c r="D25" s="33" t="s">
        <v>58</v>
      </c>
      <c r="E25" s="34"/>
    </row>
    <row r="26" spans="2:9" ht="15.6" x14ac:dyDescent="0.3">
      <c r="B26" s="26" t="s">
        <v>49</v>
      </c>
      <c r="C26" s="28">
        <v>73</v>
      </c>
      <c r="D26" s="33" t="s">
        <v>59</v>
      </c>
      <c r="E26" s="34"/>
    </row>
    <row r="27" spans="2:9" ht="15.6" x14ac:dyDescent="0.3">
      <c r="B27" s="26" t="s">
        <v>50</v>
      </c>
      <c r="C27" s="28">
        <v>61</v>
      </c>
      <c r="D27" s="33" t="s">
        <v>60</v>
      </c>
      <c r="E27" s="34"/>
    </row>
    <row r="28" spans="2:9" ht="15.6" x14ac:dyDescent="0.3">
      <c r="B28" s="26" t="s">
        <v>51</v>
      </c>
      <c r="C28" s="28">
        <v>64</v>
      </c>
      <c r="D28" s="33" t="s">
        <v>61</v>
      </c>
      <c r="E28" s="34"/>
    </row>
    <row r="29" spans="2:9" ht="15.6" x14ac:dyDescent="0.3">
      <c r="B29" s="26" t="s">
        <v>52</v>
      </c>
      <c r="C29" s="28">
        <v>60</v>
      </c>
      <c r="D29" s="33" t="s">
        <v>61</v>
      </c>
      <c r="E29" s="34"/>
    </row>
    <row r="30" spans="2:9" ht="15.6" x14ac:dyDescent="0.3">
      <c r="B30" s="26" t="s">
        <v>53</v>
      </c>
      <c r="C30" s="28">
        <v>46</v>
      </c>
      <c r="D30" s="33" t="s">
        <v>61</v>
      </c>
      <c r="E30" s="34"/>
    </row>
    <row r="31" spans="2:9" ht="15.6" x14ac:dyDescent="0.3">
      <c r="B31" s="26" t="s">
        <v>54</v>
      </c>
      <c r="C31" s="28">
        <v>70</v>
      </c>
      <c r="D31" s="33" t="s">
        <v>61</v>
      </c>
      <c r="E31" s="34"/>
    </row>
    <row r="32" spans="2:9" ht="15.6" x14ac:dyDescent="0.3">
      <c r="B32" s="26" t="s">
        <v>55</v>
      </c>
      <c r="C32" s="28">
        <v>39</v>
      </c>
      <c r="D32" s="31" t="s">
        <v>61</v>
      </c>
      <c r="E32" s="32"/>
    </row>
  </sheetData>
  <mergeCells count="13">
    <mergeCell ref="K1:L1"/>
    <mergeCell ref="B2:I2"/>
    <mergeCell ref="D22:E22"/>
    <mergeCell ref="D32:E32"/>
    <mergeCell ref="D31:E31"/>
    <mergeCell ref="D30:E30"/>
    <mergeCell ref="D29:E29"/>
    <mergeCell ref="D28:E28"/>
    <mergeCell ref="D27:E27"/>
    <mergeCell ref="D26:E26"/>
    <mergeCell ref="D25:E25"/>
    <mergeCell ref="D23:E23"/>
    <mergeCell ref="D24:E24"/>
  </mergeCells>
  <hyperlinks>
    <hyperlink ref="B1" location="Model!A1" display="Model" xr:uid="{191EB341-8C2F-4D17-8524-64F231C50E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6B5A-B7A0-44C9-84C2-DFF7588B118C}">
  <dimension ref="A1:FD120"/>
  <sheetViews>
    <sheetView tabSelected="1" zoomScaleNormal="100" workbookViewId="0">
      <pane xSplit="1" ySplit="2" topLeftCell="H3" activePane="bottomRight" state="frozen"/>
      <selection pane="topRight" activeCell="C1" sqref="C1"/>
      <selection pane="bottomLeft" activeCell="A3" sqref="A3"/>
      <selection pane="bottomRight" activeCell="AA28" sqref="AA28"/>
    </sheetView>
  </sheetViews>
  <sheetFormatPr defaultRowHeight="14.4" x14ac:dyDescent="0.3"/>
  <cols>
    <col min="1" max="1" width="34.5546875" style="6" customWidth="1"/>
  </cols>
  <sheetData>
    <row r="1" spans="1:44" s="6" customFormat="1" ht="21" x14ac:dyDescent="0.4">
      <c r="A1" s="7" t="s">
        <v>16</v>
      </c>
    </row>
    <row r="2" spans="1:44" s="9" customFormat="1" x14ac:dyDescent="0.3">
      <c r="C2" s="9" t="s">
        <v>22</v>
      </c>
      <c r="D2" s="9" t="s">
        <v>18</v>
      </c>
      <c r="E2" s="9" t="s">
        <v>19</v>
      </c>
      <c r="F2" s="9" t="s">
        <v>20</v>
      </c>
      <c r="G2" s="9" t="s">
        <v>21</v>
      </c>
      <c r="H2" s="9" t="s">
        <v>14</v>
      </c>
      <c r="I2" s="9" t="s">
        <v>15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8</v>
      </c>
      <c r="O2" s="9" t="s">
        <v>9</v>
      </c>
      <c r="P2" s="9" t="s">
        <v>23</v>
      </c>
      <c r="Q2" s="9" t="s">
        <v>24</v>
      </c>
      <c r="R2" s="9" t="s">
        <v>25</v>
      </c>
      <c r="S2" s="9" t="s">
        <v>26</v>
      </c>
      <c r="U2" s="9">
        <v>2019</v>
      </c>
      <c r="V2" s="9">
        <v>2020</v>
      </c>
      <c r="W2" s="9">
        <v>2021</v>
      </c>
      <c r="X2" s="9">
        <v>2022</v>
      </c>
      <c r="Y2" s="9">
        <v>2023</v>
      </c>
      <c r="Z2" s="9">
        <v>2024</v>
      </c>
      <c r="AA2" s="9">
        <v>2025</v>
      </c>
      <c r="AB2" s="9">
        <v>2026</v>
      </c>
      <c r="AC2" s="9">
        <v>2027</v>
      </c>
      <c r="AD2" s="9">
        <v>2028</v>
      </c>
      <c r="AE2" s="9">
        <v>2029</v>
      </c>
      <c r="AF2" s="9">
        <v>2030</v>
      </c>
      <c r="AG2" s="9">
        <v>2031</v>
      </c>
      <c r="AH2" s="9">
        <v>2032</v>
      </c>
      <c r="AI2" s="9">
        <v>2033</v>
      </c>
      <c r="AJ2" s="9">
        <v>2034</v>
      </c>
      <c r="AK2" s="9">
        <v>2035</v>
      </c>
      <c r="AL2" s="9">
        <v>2036</v>
      </c>
      <c r="AM2" s="9">
        <v>2037</v>
      </c>
      <c r="AN2" s="9">
        <v>2038</v>
      </c>
      <c r="AO2" s="9">
        <v>2039</v>
      </c>
      <c r="AP2" s="9">
        <v>2040</v>
      </c>
      <c r="AQ2" s="9">
        <v>2041</v>
      </c>
      <c r="AR2" s="9">
        <v>2042</v>
      </c>
    </row>
    <row r="3" spans="1:44" s="3" customFormat="1" x14ac:dyDescent="0.3">
      <c r="A3" s="5" t="s">
        <v>62</v>
      </c>
      <c r="H3" s="3">
        <v>86.938000000000002</v>
      </c>
      <c r="I3" s="3">
        <v>190.92599999999999</v>
      </c>
      <c r="J3" s="3">
        <v>189.441</v>
      </c>
      <c r="K3" s="3">
        <v>248.16399999999999</v>
      </c>
      <c r="L3" s="3">
        <v>215.696</v>
      </c>
      <c r="M3" s="3">
        <v>236.39</v>
      </c>
      <c r="N3" s="3">
        <v>338.37200000000001</v>
      </c>
      <c r="O3" s="3">
        <v>296.14</v>
      </c>
      <c r="P3" s="3">
        <v>282.36900000000003</v>
      </c>
      <c r="Q3" s="3">
        <f>M3*1.18</f>
        <v>278.94019999999995</v>
      </c>
      <c r="R3" s="3">
        <f>N3*0.87</f>
        <v>294.38364000000001</v>
      </c>
      <c r="S3" s="3">
        <f>O3*1.02</f>
        <v>302.06279999999998</v>
      </c>
      <c r="V3" s="3">
        <v>15.988</v>
      </c>
      <c r="W3" s="3">
        <v>210.453</v>
      </c>
      <c r="X3" s="3">
        <f>SUM(H3:K3)</f>
        <v>715.46899999999994</v>
      </c>
      <c r="Y3" s="3">
        <f>SUM(L3:O3)</f>
        <v>1086.598</v>
      </c>
      <c r="Z3" s="3">
        <f>SUM(P3:S3)</f>
        <v>1157.7556399999999</v>
      </c>
      <c r="AA3" s="3">
        <f>Z3*1.08</f>
        <v>1250.3760912</v>
      </c>
      <c r="AB3" s="3">
        <f>AA3*1.1</f>
        <v>1375.4137003200001</v>
      </c>
      <c r="AC3" s="3">
        <f>AB3*1.1</f>
        <v>1512.9550703520001</v>
      </c>
      <c r="AD3" s="3">
        <f>AC3*1.1</f>
        <v>1664.2505773872003</v>
      </c>
      <c r="AE3" s="3">
        <f>AD3*1.08</f>
        <v>1797.3906235781765</v>
      </c>
      <c r="AF3" s="3">
        <f>AE3*1.08</f>
        <v>1941.1818734644307</v>
      </c>
      <c r="AG3" s="3">
        <f>AF3*1.08</f>
        <v>2096.4764233415854</v>
      </c>
      <c r="AH3" s="3">
        <f>AG3*1.07</f>
        <v>2243.2297729754964</v>
      </c>
      <c r="AI3" s="3">
        <f>AH3*1.025</f>
        <v>2299.3105172998835</v>
      </c>
    </row>
    <row r="4" spans="1:44" s="3" customFormat="1" x14ac:dyDescent="0.3">
      <c r="A4" s="5" t="s">
        <v>63</v>
      </c>
      <c r="H4" s="3">
        <v>5.2910000000000004</v>
      </c>
      <c r="I4" s="3">
        <v>10.502000000000001</v>
      </c>
      <c r="J4" s="3">
        <v>14.673</v>
      </c>
      <c r="K4" s="3">
        <v>9.7509999999999994</v>
      </c>
      <c r="L4" s="3">
        <v>8.0980000000000008</v>
      </c>
      <c r="M4" s="3">
        <v>4.37</v>
      </c>
      <c r="N4" s="3">
        <v>7.2140000000000004</v>
      </c>
      <c r="O4" s="3">
        <v>5.0129999999999999</v>
      </c>
      <c r="P4" s="3">
        <v>5.3949999999999996</v>
      </c>
      <c r="Q4" s="3">
        <f>M4*1.174</f>
        <v>5.1303799999999997</v>
      </c>
      <c r="R4" s="3">
        <f>N4*0.82</f>
        <v>5.9154799999999996</v>
      </c>
      <c r="S4" s="3">
        <f>O4*1.05</f>
        <v>5.2636500000000002</v>
      </c>
      <c r="V4" s="3">
        <v>0.41199999999999998</v>
      </c>
      <c r="W4" s="3">
        <v>9.6709999999999994</v>
      </c>
      <c r="X4" s="3">
        <f>SUM(H4:K4)</f>
        <v>40.216999999999999</v>
      </c>
      <c r="Y4" s="3">
        <f>SUM(L4:O4)</f>
        <v>24.695</v>
      </c>
      <c r="Z4" s="3">
        <f>SUM(P4:S4)</f>
        <v>21.704509999999999</v>
      </c>
      <c r="AA4" s="3">
        <f>Z4*1.08</f>
        <v>23.440870799999999</v>
      </c>
      <c r="AB4" s="3">
        <f>AA4*1.1</f>
        <v>25.78495788</v>
      </c>
      <c r="AC4" s="3">
        <f>AB4*1.1</f>
        <v>28.363453668000002</v>
      </c>
      <c r="AD4" s="3">
        <f>AC4*1.1</f>
        <v>31.199799034800005</v>
      </c>
      <c r="AE4" s="3">
        <f>AD4*1.08</f>
        <v>33.695782957584008</v>
      </c>
      <c r="AF4" s="3">
        <f>AE4*1.08</f>
        <v>36.391445594190728</v>
      </c>
      <c r="AG4" s="3">
        <f>AF4*1.08</f>
        <v>39.302761241725989</v>
      </c>
      <c r="AH4" s="3">
        <f>AG4*1.07</f>
        <v>42.053954528646813</v>
      </c>
      <c r="AI4" s="3">
        <f>AH4*1.025</f>
        <v>43.105303391862982</v>
      </c>
    </row>
    <row r="5" spans="1:44" s="44" customFormat="1" x14ac:dyDescent="0.3">
      <c r="A5" s="43" t="s">
        <v>64</v>
      </c>
      <c r="H5" s="44">
        <f>SUM(H3:H4)</f>
        <v>92.228999999999999</v>
      </c>
      <c r="I5" s="44">
        <f>SUM(I3:I4)</f>
        <v>201.428</v>
      </c>
      <c r="J5" s="44">
        <f>SUM(J3:J4)</f>
        <v>204.114</v>
      </c>
      <c r="K5" s="44">
        <f>SUM(K3:K4)</f>
        <v>257.91499999999996</v>
      </c>
      <c r="L5" s="44">
        <f>SUM(L3:L4)</f>
        <v>223.79400000000001</v>
      </c>
      <c r="M5" s="44">
        <f>SUM(M3:M4)</f>
        <v>240.76</v>
      </c>
      <c r="N5" s="44">
        <f>SUM(N3:N4)</f>
        <v>345.58600000000001</v>
      </c>
      <c r="O5" s="44">
        <f>SUM(O3:O4)</f>
        <v>301.15299999999996</v>
      </c>
      <c r="P5" s="44">
        <f>SUM(P3:P4)</f>
        <v>287.76400000000001</v>
      </c>
      <c r="Q5" s="44">
        <f>SUM(Q3:Q4)</f>
        <v>284.07057999999995</v>
      </c>
      <c r="R5" s="44">
        <f>SUM(R3:R4)</f>
        <v>300.29912000000002</v>
      </c>
      <c r="S5" s="44">
        <f>SUM(S3:S4)</f>
        <v>307.32644999999997</v>
      </c>
      <c r="V5" s="44">
        <f>SUM(V3:V4)</f>
        <v>16.399999999999999</v>
      </c>
      <c r="W5" s="44">
        <f>SUM(W3:W4)</f>
        <v>220.124</v>
      </c>
      <c r="X5" s="44">
        <f>SUM(H5:K5)</f>
        <v>755.68599999999992</v>
      </c>
      <c r="Y5" s="44">
        <f>SUM(L5:O5)</f>
        <v>1111.2929999999999</v>
      </c>
      <c r="Z5" s="44">
        <f>SUM(P5:S5)</f>
        <v>1179.4601499999999</v>
      </c>
      <c r="AA5" s="44">
        <f t="shared" ref="AA5:AI5" si="0">SUM(AA3:AA4)</f>
        <v>1273.8169620000001</v>
      </c>
      <c r="AB5" s="44">
        <f t="shared" si="0"/>
        <v>1401.1986582000002</v>
      </c>
      <c r="AC5" s="44">
        <f t="shared" si="0"/>
        <v>1541.31852402</v>
      </c>
      <c r="AD5" s="44">
        <f t="shared" si="0"/>
        <v>1695.4503764220003</v>
      </c>
      <c r="AE5" s="44">
        <f t="shared" si="0"/>
        <v>1831.0864065357605</v>
      </c>
      <c r="AF5" s="44">
        <f t="shared" si="0"/>
        <v>1977.5733190586216</v>
      </c>
      <c r="AG5" s="44">
        <f t="shared" si="0"/>
        <v>2135.7791845833112</v>
      </c>
      <c r="AH5" s="44">
        <f t="shared" si="0"/>
        <v>2285.2837275041434</v>
      </c>
      <c r="AI5" s="44">
        <f t="shared" si="0"/>
        <v>2342.4158206917464</v>
      </c>
    </row>
    <row r="6" spans="1:44" s="3" customFormat="1" x14ac:dyDescent="0.3">
      <c r="A6" s="5" t="s">
        <v>65</v>
      </c>
      <c r="H6" s="3">
        <v>9.4459999999999997</v>
      </c>
      <c r="I6" s="3">
        <v>16.594999999999999</v>
      </c>
      <c r="J6" s="3">
        <v>19.707000000000001</v>
      </c>
      <c r="K6" s="3">
        <v>23.850999999999999</v>
      </c>
      <c r="L6" s="3">
        <v>32.942</v>
      </c>
      <c r="M6" s="3">
        <v>34.933999999999997</v>
      </c>
      <c r="N6" s="3">
        <v>39.82</v>
      </c>
      <c r="O6" s="3">
        <v>37.665999999999997</v>
      </c>
      <c r="P6" s="3">
        <v>30.271000000000001</v>
      </c>
      <c r="Q6" s="3">
        <f>Q5*0.1124</f>
        <v>31.929533191999994</v>
      </c>
      <c r="R6" s="3">
        <f t="shared" ref="R6:S6" si="1">R5*0.1124</f>
        <v>33.753621088000003</v>
      </c>
      <c r="S6" s="3">
        <f t="shared" si="1"/>
        <v>34.543492979999996</v>
      </c>
      <c r="V6" s="3">
        <v>2.653</v>
      </c>
      <c r="W6" s="3">
        <v>25.053000000000001</v>
      </c>
      <c r="X6" s="3">
        <f t="shared" ref="X6:X12" si="2">SUM(H6:K6)</f>
        <v>69.59899999999999</v>
      </c>
      <c r="Y6" s="3">
        <f t="shared" ref="Y6:Y12" si="3">SUM(L6:O6)</f>
        <v>145.36199999999999</v>
      </c>
      <c r="Z6" s="3">
        <f t="shared" ref="Z6:Z12" si="4">SUM(P6:S6)</f>
        <v>130.49764726000001</v>
      </c>
      <c r="AA6" s="3">
        <f t="shared" ref="AA6" si="5">AA5*0.1124</f>
        <v>143.17702652880001</v>
      </c>
      <c r="AB6" s="3">
        <f t="shared" ref="AB6" si="6">AB5*0.1124</f>
        <v>157.49472918168001</v>
      </c>
      <c r="AC6" s="3">
        <f t="shared" ref="AC6" si="7">AC5*0.1124</f>
        <v>173.244202099848</v>
      </c>
      <c r="AD6" s="3">
        <f t="shared" ref="AD6" si="8">AD5*0.1124</f>
        <v>190.56862230983285</v>
      </c>
      <c r="AE6" s="3">
        <f t="shared" ref="AE6" si="9">AE5*0.1124</f>
        <v>205.81411209461947</v>
      </c>
      <c r="AF6" s="3">
        <f t="shared" ref="AF6" si="10">AF5*0.1124</f>
        <v>222.27924106218907</v>
      </c>
      <c r="AG6" s="3">
        <f t="shared" ref="AG6" si="11">AG5*0.1124</f>
        <v>240.06158034716418</v>
      </c>
      <c r="AH6" s="3">
        <f t="shared" ref="AH6" si="12">AH5*0.1124</f>
        <v>256.86589097146572</v>
      </c>
      <c r="AI6" s="3">
        <f t="shared" ref="AI6" si="13">AI5*0.1124</f>
        <v>263.28753824575227</v>
      </c>
    </row>
    <row r="7" spans="1:44" s="3" customFormat="1" x14ac:dyDescent="0.3">
      <c r="A7" s="5" t="s">
        <v>66</v>
      </c>
      <c r="H7" s="3">
        <v>5.0060000000000002</v>
      </c>
      <c r="I7" s="3">
        <v>10.301</v>
      </c>
      <c r="J7" s="3">
        <v>10.526</v>
      </c>
      <c r="K7" s="3">
        <v>12.606999999999999</v>
      </c>
      <c r="L7" s="3">
        <v>12.297000000000001</v>
      </c>
      <c r="M7" s="3">
        <v>13.259</v>
      </c>
      <c r="N7" s="3">
        <v>18.838999999999999</v>
      </c>
      <c r="O7" s="3">
        <v>14.077</v>
      </c>
      <c r="P7" s="3">
        <v>14.401999999999999</v>
      </c>
      <c r="Q7" s="3">
        <f>Q5*0.0519</f>
        <v>14.743263101999998</v>
      </c>
      <c r="R7" s="3">
        <f t="shared" ref="R7:S7" si="14">R5*0.0519</f>
        <v>15.585524328000002</v>
      </c>
      <c r="S7" s="3">
        <f t="shared" si="14"/>
        <v>15.950242754999998</v>
      </c>
      <c r="V7" s="3">
        <v>0.88600000000000001</v>
      </c>
      <c r="W7" s="3">
        <v>10.746</v>
      </c>
      <c r="X7" s="3">
        <f t="shared" si="2"/>
        <v>38.44</v>
      </c>
      <c r="Y7" s="3">
        <f t="shared" si="3"/>
        <v>58.471999999999994</v>
      </c>
      <c r="Z7" s="3">
        <f t="shared" si="4"/>
        <v>60.681030184999997</v>
      </c>
      <c r="AA7" s="3">
        <f t="shared" ref="AA7:AI7" si="15">AA5*0.0519</f>
        <v>66.111100327800003</v>
      </c>
      <c r="AB7" s="3">
        <f t="shared" si="15"/>
        <v>72.722210360580007</v>
      </c>
      <c r="AC7" s="3">
        <f t="shared" si="15"/>
        <v>79.994431396638007</v>
      </c>
      <c r="AD7" s="3">
        <f t="shared" si="15"/>
        <v>87.993874536301817</v>
      </c>
      <c r="AE7" s="3">
        <f t="shared" si="15"/>
        <v>95.03338449920598</v>
      </c>
      <c r="AF7" s="3">
        <f t="shared" si="15"/>
        <v>102.63605525914247</v>
      </c>
      <c r="AG7" s="3">
        <f t="shared" si="15"/>
        <v>110.84693967987386</v>
      </c>
      <c r="AH7" s="3">
        <f t="shared" si="15"/>
        <v>118.60622545746504</v>
      </c>
      <c r="AI7" s="3">
        <f t="shared" si="15"/>
        <v>121.57138109390164</v>
      </c>
    </row>
    <row r="8" spans="1:44" s="3" customFormat="1" x14ac:dyDescent="0.3">
      <c r="A8" s="5" t="s">
        <v>67</v>
      </c>
      <c r="H8" s="3">
        <v>0.20899999999999999</v>
      </c>
      <c r="I8" s="3">
        <v>0.184</v>
      </c>
      <c r="J8" s="3">
        <v>0.28999999999999998</v>
      </c>
      <c r="K8" s="3">
        <v>0.46600000000000003</v>
      </c>
      <c r="L8" s="3">
        <v>2.1640000000000001</v>
      </c>
      <c r="M8" s="3">
        <v>0.48</v>
      </c>
      <c r="N8" s="3">
        <v>1.728</v>
      </c>
      <c r="O8" s="3">
        <v>0.86199999999999999</v>
      </c>
      <c r="P8" s="3">
        <v>0.498</v>
      </c>
      <c r="Q8" s="3">
        <f>Q5*0.031</f>
        <v>8.8061879799999989</v>
      </c>
      <c r="R8" s="3">
        <f t="shared" ref="R8:S8" si="16">R5*0.031</f>
        <v>9.3092727200000009</v>
      </c>
      <c r="S8" s="3">
        <f t="shared" si="16"/>
        <v>9.5271199499999994</v>
      </c>
      <c r="V8" s="3">
        <v>5.032</v>
      </c>
      <c r="W8" s="3">
        <v>1.5489999999999999</v>
      </c>
      <c r="X8" s="3">
        <f t="shared" si="2"/>
        <v>1.149</v>
      </c>
      <c r="Y8" s="3">
        <f t="shared" si="3"/>
        <v>5.234</v>
      </c>
      <c r="Z8" s="3">
        <f t="shared" si="4"/>
        <v>28.140580649999997</v>
      </c>
      <c r="AA8" s="3">
        <f t="shared" ref="AA8:AI8" si="17">AA5*0.031</f>
        <v>39.488325822</v>
      </c>
      <c r="AB8" s="3">
        <f t="shared" si="17"/>
        <v>43.437158404200005</v>
      </c>
      <c r="AC8" s="3">
        <f t="shared" si="17"/>
        <v>47.780874244620001</v>
      </c>
      <c r="AD8" s="3">
        <f t="shared" si="17"/>
        <v>52.558961669082009</v>
      </c>
      <c r="AE8" s="3">
        <f t="shared" si="17"/>
        <v>56.763678602608572</v>
      </c>
      <c r="AF8" s="3">
        <f t="shared" si="17"/>
        <v>61.304772890817269</v>
      </c>
      <c r="AG8" s="3">
        <f t="shared" si="17"/>
        <v>66.209154722082644</v>
      </c>
      <c r="AH8" s="3">
        <f t="shared" si="17"/>
        <v>70.84379555262845</v>
      </c>
      <c r="AI8" s="3">
        <f t="shared" si="17"/>
        <v>72.614890441444132</v>
      </c>
    </row>
    <row r="9" spans="1:44" s="3" customFormat="1" x14ac:dyDescent="0.3">
      <c r="A9" s="5" t="s">
        <v>68</v>
      </c>
      <c r="H9" s="3">
        <v>17.024000000000001</v>
      </c>
      <c r="I9" s="3">
        <v>34.883000000000003</v>
      </c>
      <c r="J9" s="3">
        <v>42.624000000000002</v>
      </c>
      <c r="K9" s="3">
        <v>83.210999999999999</v>
      </c>
      <c r="L9" s="3">
        <v>81.131</v>
      </c>
      <c r="M9" s="3">
        <v>93.010999999999996</v>
      </c>
      <c r="N9" s="3">
        <v>117.42</v>
      </c>
      <c r="O9" s="3">
        <v>132.86199999999999</v>
      </c>
      <c r="P9" s="3">
        <v>130.85</v>
      </c>
      <c r="Q9" s="3">
        <f>Q5*0.3969</f>
        <v>112.74761320199997</v>
      </c>
      <c r="R9" s="3">
        <f t="shared" ref="R9:S9" si="18">R5*0.3969</f>
        <v>119.18872072799999</v>
      </c>
      <c r="S9" s="3">
        <f t="shared" si="18"/>
        <v>121.97786800499998</v>
      </c>
      <c r="V9" s="3">
        <v>9.8770000000000007</v>
      </c>
      <c r="W9" s="3">
        <v>65.200999999999993</v>
      </c>
      <c r="X9" s="3">
        <f t="shared" si="2"/>
        <v>177.74200000000002</v>
      </c>
      <c r="Y9" s="3">
        <f t="shared" si="3"/>
        <v>424.42399999999998</v>
      </c>
      <c r="Z9" s="3">
        <f t="shared" si="4"/>
        <v>484.76420193499996</v>
      </c>
      <c r="AA9" s="3">
        <f t="shared" ref="AA9:AI9" si="19">AA5*0.3969</f>
        <v>505.57795221780003</v>
      </c>
      <c r="AB9" s="3">
        <f t="shared" si="19"/>
        <v>556.13574743958009</v>
      </c>
      <c r="AC9" s="3">
        <f t="shared" si="19"/>
        <v>611.74932218353797</v>
      </c>
      <c r="AD9" s="3">
        <f t="shared" si="19"/>
        <v>672.92425440189186</v>
      </c>
      <c r="AE9" s="3">
        <f t="shared" si="19"/>
        <v>726.7581947540433</v>
      </c>
      <c r="AF9" s="3">
        <f t="shared" si="19"/>
        <v>784.8988503343669</v>
      </c>
      <c r="AG9" s="3">
        <f t="shared" si="19"/>
        <v>847.6907583611162</v>
      </c>
      <c r="AH9" s="3">
        <f t="shared" si="19"/>
        <v>907.0291114463945</v>
      </c>
      <c r="AI9" s="3">
        <f t="shared" si="19"/>
        <v>929.70483923255404</v>
      </c>
    </row>
    <row r="10" spans="1:44" s="3" customFormat="1" x14ac:dyDescent="0.3">
      <c r="A10" s="5" t="s">
        <v>69</v>
      </c>
      <c r="H10" s="3">
        <v>5.3999999999999999E-2</v>
      </c>
      <c r="I10" s="3">
        <v>6.6000000000000003E-2</v>
      </c>
      <c r="J10" s="3">
        <v>0.125</v>
      </c>
      <c r="K10" s="3">
        <v>0.125</v>
      </c>
      <c r="L10" s="3">
        <v>0.11799999999999999</v>
      </c>
      <c r="M10" s="3">
        <v>0.12</v>
      </c>
      <c r="N10" s="3">
        <v>0.122</v>
      </c>
      <c r="O10" s="3">
        <v>0.16200000000000001</v>
      </c>
      <c r="P10" s="3">
        <v>0.23899999999999999</v>
      </c>
      <c r="Q10" s="3">
        <f>Q5*0.0005</f>
        <v>0.14203528999999998</v>
      </c>
      <c r="R10" s="3">
        <f t="shared" ref="R10:S10" si="20">R5*0.0005</f>
        <v>0.15014956000000002</v>
      </c>
      <c r="S10" s="3">
        <f t="shared" si="20"/>
        <v>0.15366322499999999</v>
      </c>
      <c r="V10" s="3">
        <v>5.0999999999999997E-2</v>
      </c>
      <c r="W10" s="3">
        <v>0.16700000000000001</v>
      </c>
      <c r="X10" s="3">
        <f t="shared" si="2"/>
        <v>0.37</v>
      </c>
      <c r="Y10" s="3">
        <f t="shared" si="3"/>
        <v>0.52200000000000002</v>
      </c>
      <c r="Z10" s="3">
        <f t="shared" si="4"/>
        <v>0.684848075</v>
      </c>
      <c r="AA10" s="3">
        <f t="shared" ref="AA10:AI10" si="21">AA5*0.0005</f>
        <v>0.63690848100000008</v>
      </c>
      <c r="AB10" s="3">
        <f t="shared" si="21"/>
        <v>0.70059932910000011</v>
      </c>
      <c r="AC10" s="3">
        <f t="shared" si="21"/>
        <v>0.77065926201000001</v>
      </c>
      <c r="AD10" s="3">
        <f t="shared" si="21"/>
        <v>0.84772518821100018</v>
      </c>
      <c r="AE10" s="3">
        <f t="shared" si="21"/>
        <v>0.9155432032678803</v>
      </c>
      <c r="AF10" s="3">
        <f t="shared" si="21"/>
        <v>0.98878665952931077</v>
      </c>
      <c r="AG10" s="3">
        <f t="shared" si="21"/>
        <v>1.0678895922916556</v>
      </c>
      <c r="AH10" s="3">
        <f t="shared" si="21"/>
        <v>1.1426418637520717</v>
      </c>
      <c r="AI10" s="3">
        <f t="shared" si="21"/>
        <v>1.1712079103458732</v>
      </c>
    </row>
    <row r="11" spans="1:44" s="3" customFormat="1" x14ac:dyDescent="0.3">
      <c r="A11" s="5" t="s">
        <v>70</v>
      </c>
      <c r="H11" s="3">
        <v>1.94</v>
      </c>
      <c r="I11" s="3">
        <v>2.016</v>
      </c>
      <c r="J11" s="3">
        <v>1.877</v>
      </c>
      <c r="K11" s="3">
        <v>6.6369999999999996</v>
      </c>
      <c r="L11" s="3">
        <v>2.5019999999999998</v>
      </c>
      <c r="M11" s="3">
        <v>2.516</v>
      </c>
      <c r="N11" s="3">
        <v>6.9340000000000002</v>
      </c>
      <c r="O11" s="3">
        <v>4.6459999999999999</v>
      </c>
      <c r="P11" s="3">
        <v>4.6849999999999996</v>
      </c>
      <c r="Q11" s="3">
        <f>Q5*0.0155</f>
        <v>4.4030939899999995</v>
      </c>
      <c r="R11" s="3">
        <f t="shared" ref="R11:S11" si="22">R5*0.0155</f>
        <v>4.6546363600000005</v>
      </c>
      <c r="S11" s="3">
        <f t="shared" si="22"/>
        <v>4.7635599749999997</v>
      </c>
      <c r="V11" s="3">
        <v>2.7749999999999999</v>
      </c>
      <c r="W11" s="3">
        <v>8.8849999999999998</v>
      </c>
      <c r="X11" s="3">
        <f t="shared" si="2"/>
        <v>12.469999999999999</v>
      </c>
      <c r="Y11" s="3">
        <f t="shared" si="3"/>
        <v>16.597999999999999</v>
      </c>
      <c r="Z11" s="3">
        <f t="shared" si="4"/>
        <v>18.506290324999998</v>
      </c>
      <c r="AA11" s="3">
        <f t="shared" ref="AA11:AI11" si="23">AA5*0.0155</f>
        <v>19.744162911</v>
      </c>
      <c r="AB11" s="3">
        <f t="shared" si="23"/>
        <v>21.718579202100003</v>
      </c>
      <c r="AC11" s="3">
        <f t="shared" si="23"/>
        <v>23.890437122310001</v>
      </c>
      <c r="AD11" s="3">
        <f t="shared" si="23"/>
        <v>26.279480834541005</v>
      </c>
      <c r="AE11" s="3">
        <f t="shared" si="23"/>
        <v>28.381839301304286</v>
      </c>
      <c r="AF11" s="3">
        <f t="shared" si="23"/>
        <v>30.652386445408634</v>
      </c>
      <c r="AG11" s="3">
        <f t="shared" si="23"/>
        <v>33.104577361041322</v>
      </c>
      <c r="AH11" s="3">
        <f t="shared" si="23"/>
        <v>35.421897776314225</v>
      </c>
      <c r="AI11" s="3">
        <f t="shared" si="23"/>
        <v>36.307445220722066</v>
      </c>
    </row>
    <row r="12" spans="1:44" s="3" customFormat="1" x14ac:dyDescent="0.3">
      <c r="A12" s="5" t="s">
        <v>71</v>
      </c>
      <c r="H12" s="3">
        <v>3.976</v>
      </c>
      <c r="I12" s="3">
        <v>14.579000000000001</v>
      </c>
      <c r="J12" s="3">
        <v>10.654999999999999</v>
      </c>
      <c r="K12" s="3">
        <v>4.1420000000000003</v>
      </c>
      <c r="L12" s="3">
        <v>4.0540000000000003</v>
      </c>
      <c r="M12" s="3">
        <v>3.984</v>
      </c>
      <c r="N12" s="3">
        <v>14.057</v>
      </c>
      <c r="O12" s="3">
        <v>3.8620000000000001</v>
      </c>
      <c r="P12" s="3">
        <v>3.798</v>
      </c>
      <c r="Q12" s="3">
        <f>Q5*0.0317</f>
        <v>9.0050373859999979</v>
      </c>
      <c r="R12" s="3">
        <f t="shared" ref="R12:S12" si="24">R5*0.0317</f>
        <v>9.5194821039999997</v>
      </c>
      <c r="S12" s="3">
        <f t="shared" si="24"/>
        <v>9.7422484649999994</v>
      </c>
      <c r="V12" s="3">
        <v>15.776</v>
      </c>
      <c r="W12" s="3">
        <v>6.6760000000000002</v>
      </c>
      <c r="X12" s="3">
        <f t="shared" si="2"/>
        <v>33.352000000000004</v>
      </c>
      <c r="Y12" s="3">
        <f t="shared" si="3"/>
        <v>25.957000000000001</v>
      </c>
      <c r="Z12" s="3">
        <f t="shared" si="4"/>
        <v>32.064767954999994</v>
      </c>
      <c r="AA12" s="3">
        <f t="shared" ref="AA12:AI12" si="25">AA5*0.0317</f>
        <v>40.3799976954</v>
      </c>
      <c r="AB12" s="3">
        <f t="shared" si="25"/>
        <v>44.417997464940001</v>
      </c>
      <c r="AC12" s="3">
        <f t="shared" si="25"/>
        <v>48.859797211434</v>
      </c>
      <c r="AD12" s="3">
        <f t="shared" si="25"/>
        <v>53.745776932577407</v>
      </c>
      <c r="AE12" s="3">
        <f t="shared" si="25"/>
        <v>58.045439087183603</v>
      </c>
      <c r="AF12" s="3">
        <f t="shared" si="25"/>
        <v>62.689074214158303</v>
      </c>
      <c r="AG12" s="3">
        <f t="shared" si="25"/>
        <v>67.704200151290962</v>
      </c>
      <c r="AH12" s="3">
        <f t="shared" si="25"/>
        <v>72.443494161881347</v>
      </c>
      <c r="AI12" s="3">
        <f t="shared" si="25"/>
        <v>74.254581515928365</v>
      </c>
    </row>
    <row r="13" spans="1:44" s="42" customFormat="1" x14ac:dyDescent="0.3">
      <c r="A13" s="41" t="s">
        <v>74</v>
      </c>
      <c r="H13" s="42">
        <f>SUM(H6:H12)</f>
        <v>37.655000000000001</v>
      </c>
      <c r="I13" s="42">
        <f>SUM(I6:I12)</f>
        <v>78.624000000000024</v>
      </c>
      <c r="J13" s="42">
        <f>SUM(J6:J12)</f>
        <v>85.804000000000002</v>
      </c>
      <c r="K13" s="42">
        <f>SUM(K6:K12)</f>
        <v>131.03899999999999</v>
      </c>
      <c r="L13" s="42">
        <f>SUM(L6:L12)</f>
        <v>135.208</v>
      </c>
      <c r="M13" s="42">
        <f>SUM(M6:M12)</f>
        <v>148.304</v>
      </c>
      <c r="N13" s="42">
        <f>SUM(N6:N12)</f>
        <v>198.92000000000002</v>
      </c>
      <c r="O13" s="42">
        <f>SUM(O6:O12)</f>
        <v>194.13699999999997</v>
      </c>
      <c r="P13" s="42">
        <f>SUM(P6:P12)</f>
        <v>184.74299999999999</v>
      </c>
      <c r="Q13" s="42">
        <f>SUM(Q6:Q12)</f>
        <v>181.77676414199996</v>
      </c>
      <c r="R13" s="42">
        <f>SUM(R6:R12)</f>
        <v>192.16140688799999</v>
      </c>
      <c r="S13" s="42">
        <f>SUM(S6:S12)</f>
        <v>196.65819535499995</v>
      </c>
      <c r="V13" s="42">
        <f>SUM(V6:V12)</f>
        <v>37.049999999999997</v>
      </c>
      <c r="W13" s="42">
        <f>SUM(W6:W12)</f>
        <v>118.277</v>
      </c>
      <c r="X13" s="42">
        <f>SUM(H13:K13)</f>
        <v>333.12200000000001</v>
      </c>
      <c r="Y13" s="42">
        <f>SUM(L13:O13)</f>
        <v>676.56899999999996</v>
      </c>
      <c r="Z13" s="42">
        <f>SUM(P13:S13)</f>
        <v>755.33936638499995</v>
      </c>
      <c r="AA13" s="42">
        <f t="shared" ref="AA13:AI13" si="26">SUM(AA6:AA12)</f>
        <v>815.11547398380003</v>
      </c>
      <c r="AB13" s="42">
        <f t="shared" si="26"/>
        <v>896.62702138218015</v>
      </c>
      <c r="AC13" s="42">
        <f t="shared" si="26"/>
        <v>986.28972352039796</v>
      </c>
      <c r="AD13" s="42">
        <f t="shared" si="26"/>
        <v>1084.9186958724381</v>
      </c>
      <c r="AE13" s="42">
        <f t="shared" si="26"/>
        <v>1171.7121915422333</v>
      </c>
      <c r="AF13" s="42">
        <f t="shared" si="26"/>
        <v>1265.4491668656121</v>
      </c>
      <c r="AG13" s="42">
        <f t="shared" si="26"/>
        <v>1366.6851002148608</v>
      </c>
      <c r="AH13" s="42">
        <f t="shared" si="26"/>
        <v>1462.3530572299012</v>
      </c>
      <c r="AI13" s="42">
        <f t="shared" si="26"/>
        <v>1498.9118836606481</v>
      </c>
    </row>
    <row r="14" spans="1:44" s="3" customFormat="1" x14ac:dyDescent="0.3">
      <c r="A14" s="5" t="s">
        <v>72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7.5019999999999998</v>
      </c>
      <c r="N14" s="3">
        <v>0.54</v>
      </c>
      <c r="O14" s="3">
        <v>0.22</v>
      </c>
      <c r="P14" s="3">
        <v>1E-3</v>
      </c>
      <c r="Q14" s="3">
        <f>Q5*0.0037</f>
        <v>1.0510611459999999</v>
      </c>
      <c r="R14" s="3">
        <f t="shared" ref="R14:S14" si="27">R5*0.0037</f>
        <v>1.1111067440000002</v>
      </c>
      <c r="S14" s="3">
        <f t="shared" si="27"/>
        <v>1.1371078649999999</v>
      </c>
      <c r="V14" s="3">
        <v>0</v>
      </c>
      <c r="W14" s="3">
        <v>0.16700000000000001</v>
      </c>
      <c r="X14" s="3">
        <f>SUM(H14:K14)</f>
        <v>0</v>
      </c>
      <c r="Y14" s="3">
        <f>SUM(L14:O14)</f>
        <v>8.2620000000000005</v>
      </c>
      <c r="Z14" s="3">
        <f>SUM(P14:S14)</f>
        <v>3.3002757549999999</v>
      </c>
      <c r="AA14" s="3">
        <f t="shared" ref="AA14:AI14" si="28">AA5*0.0037</f>
        <v>4.7131227594000009</v>
      </c>
      <c r="AB14" s="3">
        <f t="shared" si="28"/>
        <v>5.1844350353400008</v>
      </c>
      <c r="AC14" s="3">
        <f t="shared" si="28"/>
        <v>5.7028785388740006</v>
      </c>
      <c r="AD14" s="3">
        <f t="shared" si="28"/>
        <v>6.2731663927614019</v>
      </c>
      <c r="AE14" s="3">
        <f t="shared" si="28"/>
        <v>6.7750197041823137</v>
      </c>
      <c r="AF14" s="3">
        <f t="shared" si="28"/>
        <v>7.3170212805168999</v>
      </c>
      <c r="AG14" s="3">
        <f t="shared" si="28"/>
        <v>7.9023829829582519</v>
      </c>
      <c r="AH14" s="3">
        <f t="shared" si="28"/>
        <v>8.4555497917653302</v>
      </c>
      <c r="AI14" s="3">
        <f t="shared" si="28"/>
        <v>8.6669385365594618</v>
      </c>
    </row>
    <row r="15" spans="1:44" s="44" customFormat="1" x14ac:dyDescent="0.3">
      <c r="A15" s="43" t="s">
        <v>73</v>
      </c>
      <c r="H15" s="44">
        <f>H5-H13-H14</f>
        <v>54.573999999999998</v>
      </c>
      <c r="I15" s="44">
        <f>I5-I13-I14</f>
        <v>122.80399999999997</v>
      </c>
      <c r="J15" s="44">
        <f>J5-J13-J14</f>
        <v>118.31</v>
      </c>
      <c r="K15" s="44">
        <f>K5-K13-K14</f>
        <v>126.87599999999998</v>
      </c>
      <c r="L15" s="44">
        <f>L5-L13-L14</f>
        <v>88.586000000000013</v>
      </c>
      <c r="M15" s="44">
        <f>M5-M13-M14</f>
        <v>84.953999999999994</v>
      </c>
      <c r="N15" s="44">
        <f>N5-N13-N14</f>
        <v>146.126</v>
      </c>
      <c r="O15" s="44">
        <f>O5-O13-O14</f>
        <v>106.79599999999999</v>
      </c>
      <c r="P15" s="44">
        <f>P5-P13-P14</f>
        <v>103.02000000000001</v>
      </c>
      <c r="Q15" s="44">
        <f>Q5-Q13-Q14</f>
        <v>101.24275471199999</v>
      </c>
      <c r="R15" s="44">
        <f>R5-R13-R14</f>
        <v>107.02660636800003</v>
      </c>
      <c r="S15" s="44">
        <f>S5-S13-S14</f>
        <v>109.53114678000001</v>
      </c>
      <c r="V15" s="44">
        <f>V5-V13-V14</f>
        <v>-20.65</v>
      </c>
      <c r="W15" s="44">
        <f>W5-W13-W14</f>
        <v>101.67999999999999</v>
      </c>
      <c r="X15" s="44">
        <f>SUM(H15:K15)</f>
        <v>422.56399999999996</v>
      </c>
      <c r="Y15" s="44">
        <f>SUM(L15:O15)</f>
        <v>426.46200000000005</v>
      </c>
      <c r="Z15" s="44">
        <f>SUM(P15:S15)</f>
        <v>420.82050786000008</v>
      </c>
      <c r="AA15" s="44">
        <f t="shared" ref="AA15:AI15" si="29">AA5-AA13-AA14</f>
        <v>453.98836525680008</v>
      </c>
      <c r="AB15" s="44">
        <f t="shared" si="29"/>
        <v>499.38720178248002</v>
      </c>
      <c r="AC15" s="44">
        <f t="shared" si="29"/>
        <v>549.32592196072812</v>
      </c>
      <c r="AD15" s="44">
        <f t="shared" si="29"/>
        <v>604.25851415680086</v>
      </c>
      <c r="AE15" s="44">
        <f t="shared" si="29"/>
        <v>652.59919528934483</v>
      </c>
      <c r="AF15" s="44">
        <f t="shared" si="29"/>
        <v>704.80713091249254</v>
      </c>
      <c r="AG15" s="44">
        <f t="shared" si="29"/>
        <v>761.19170138549225</v>
      </c>
      <c r="AH15" s="44">
        <f t="shared" si="29"/>
        <v>814.47512048247688</v>
      </c>
      <c r="AI15" s="44">
        <f t="shared" si="29"/>
        <v>834.83699849453888</v>
      </c>
    </row>
    <row r="16" spans="1:44" s="3" customFormat="1" x14ac:dyDescent="0.3">
      <c r="A16" s="5" t="s">
        <v>75</v>
      </c>
      <c r="H16" s="3">
        <v>0.25</v>
      </c>
      <c r="I16" s="3">
        <v>2E-3</v>
      </c>
      <c r="J16" s="3">
        <v>-14.608000000000001</v>
      </c>
      <c r="K16" s="3">
        <v>1.2999999999999999E-2</v>
      </c>
      <c r="L16" s="3">
        <v>0.03</v>
      </c>
      <c r="M16" s="3">
        <v>0.16300000000000001</v>
      </c>
      <c r="N16" s="3">
        <v>0.73</v>
      </c>
      <c r="O16" s="3">
        <v>1.9850000000000001</v>
      </c>
      <c r="P16" s="3">
        <v>2.3919999999999999</v>
      </c>
      <c r="Q16" s="3">
        <f>Q5*0.0026</f>
        <v>0.73858350799999983</v>
      </c>
      <c r="R16" s="3">
        <f t="shared" ref="R16:S16" si="30">R5*0.0026</f>
        <v>0.78077771200000001</v>
      </c>
      <c r="S16" s="3">
        <f t="shared" si="30"/>
        <v>0.79904876999999985</v>
      </c>
      <c r="V16" s="3">
        <v>6.0000000000000001E-3</v>
      </c>
      <c r="W16" s="3">
        <v>1E-3</v>
      </c>
      <c r="X16" s="3">
        <f t="shared" ref="X16:X19" si="31">SUM(H16:K16)</f>
        <v>-14.343</v>
      </c>
      <c r="Y16" s="3">
        <f t="shared" ref="Y16:Y19" si="32">SUM(L16:O16)</f>
        <v>2.9080000000000004</v>
      </c>
      <c r="Z16" s="3">
        <f t="shared" ref="Z16:Z19" si="33">SUM(P16:S16)</f>
        <v>4.7104099899999996</v>
      </c>
      <c r="AA16" s="3">
        <f t="shared" ref="AA16:AI16" si="34">AA5*0.0026</f>
        <v>3.3119241012000002</v>
      </c>
      <c r="AB16" s="3">
        <f t="shared" si="34"/>
        <v>3.6431165113200001</v>
      </c>
      <c r="AC16" s="3">
        <f t="shared" si="34"/>
        <v>4.0074281624520003</v>
      </c>
      <c r="AD16" s="3">
        <f t="shared" si="34"/>
        <v>4.4081709786972008</v>
      </c>
      <c r="AE16" s="3">
        <f t="shared" si="34"/>
        <v>4.7608246569929769</v>
      </c>
      <c r="AF16" s="3">
        <f t="shared" si="34"/>
        <v>5.1416906295524161</v>
      </c>
      <c r="AG16" s="3">
        <f t="shared" si="34"/>
        <v>5.5530258799166088</v>
      </c>
      <c r="AH16" s="3">
        <f t="shared" si="34"/>
        <v>5.9417376915107729</v>
      </c>
      <c r="AI16" s="3">
        <f t="shared" si="34"/>
        <v>6.0902811337985403</v>
      </c>
    </row>
    <row r="17" spans="1:160" s="3" customFormat="1" x14ac:dyDescent="0.3">
      <c r="A17" s="5" t="s">
        <v>76</v>
      </c>
      <c r="H17" s="3">
        <v>-5.2519999999999998</v>
      </c>
      <c r="I17" s="3">
        <v>-9.282</v>
      </c>
      <c r="J17" s="3">
        <v>35.798000000000002</v>
      </c>
      <c r="K17" s="3">
        <v>-21.468</v>
      </c>
      <c r="L17" s="3">
        <v>-26.972000000000001</v>
      </c>
      <c r="M17" s="3">
        <v>-39.283999999999999</v>
      </c>
      <c r="N17" s="3">
        <v>-37.021999999999998</v>
      </c>
      <c r="O17" s="3">
        <v>-44.622999999999998</v>
      </c>
      <c r="P17" s="3">
        <v>-43.634</v>
      </c>
      <c r="Q17" s="3">
        <f>Q5*-0.1219</f>
        <v>-34.628203701999993</v>
      </c>
      <c r="R17" s="3">
        <f t="shared" ref="R17:S17" si="35">R5*-0.1219</f>
        <v>-36.606462727999997</v>
      </c>
      <c r="S17" s="3">
        <f t="shared" si="35"/>
        <v>-37.463094254999994</v>
      </c>
      <c r="V17" s="3">
        <v>-8.0000000000000002E-3</v>
      </c>
      <c r="W17" s="3">
        <v>-2.484</v>
      </c>
      <c r="X17" s="3">
        <f t="shared" si="31"/>
        <v>-0.20399999999999707</v>
      </c>
      <c r="Y17" s="3">
        <f t="shared" si="32"/>
        <v>-147.90099999999998</v>
      </c>
      <c r="Z17" s="3">
        <f t="shared" si="33"/>
        <v>-152.33176068499998</v>
      </c>
      <c r="AA17" s="3">
        <f t="shared" ref="AA17:AI17" si="36">AA5*-0.1219</f>
        <v>-155.27828766780002</v>
      </c>
      <c r="AB17" s="3">
        <f t="shared" si="36"/>
        <v>-170.80611643458002</v>
      </c>
      <c r="AC17" s="3">
        <f t="shared" si="36"/>
        <v>-187.886728078038</v>
      </c>
      <c r="AD17" s="3">
        <f t="shared" si="36"/>
        <v>-206.67540088584184</v>
      </c>
      <c r="AE17" s="3">
        <f t="shared" si="36"/>
        <v>-223.20943295670921</v>
      </c>
      <c r="AF17" s="3">
        <f t="shared" si="36"/>
        <v>-241.06618759324596</v>
      </c>
      <c r="AG17" s="3">
        <f t="shared" si="36"/>
        <v>-260.35148260070565</v>
      </c>
      <c r="AH17" s="3">
        <f t="shared" si="36"/>
        <v>-278.57608638275508</v>
      </c>
      <c r="AI17" s="3">
        <f t="shared" si="36"/>
        <v>-285.54048854232389</v>
      </c>
    </row>
    <row r="18" spans="1:160" x14ac:dyDescent="0.3">
      <c r="A18" s="6" t="s">
        <v>77</v>
      </c>
      <c r="H18" s="3">
        <v>-66.394000000000005</v>
      </c>
      <c r="I18" s="3">
        <v>-11.891</v>
      </c>
      <c r="J18" s="3">
        <v>0</v>
      </c>
      <c r="K18" s="3">
        <v>-17.518000000000001</v>
      </c>
      <c r="L18" s="3">
        <v>3.12</v>
      </c>
      <c r="M18" s="3">
        <v>-4.3630000000000004</v>
      </c>
      <c r="N18" s="3">
        <v>-29.655000000000001</v>
      </c>
      <c r="O18" s="3">
        <v>58.5</v>
      </c>
      <c r="P18" s="3">
        <v>-53.042999999999999</v>
      </c>
      <c r="Q18" s="40">
        <f>Q5*-0.0259</f>
        <v>-7.3574280219999988</v>
      </c>
      <c r="R18" s="40">
        <f t="shared" ref="R18:S18" si="37">R5*-0.0259</f>
        <v>-7.7777472080000001</v>
      </c>
      <c r="S18" s="40">
        <f t="shared" si="37"/>
        <v>-7.9597550549999987</v>
      </c>
      <c r="V18" s="3">
        <v>0</v>
      </c>
      <c r="W18" s="3">
        <v>-26.734000000000002</v>
      </c>
      <c r="X18" s="3">
        <f t="shared" si="31"/>
        <v>-95.803000000000011</v>
      </c>
      <c r="Y18" s="3">
        <f t="shared" si="32"/>
        <v>27.601999999999997</v>
      </c>
      <c r="Z18" s="3">
        <f t="shared" si="33"/>
        <v>-76.137930284999996</v>
      </c>
      <c r="AA18" s="40">
        <f t="shared" ref="AA18:AI18" si="38">AA5*-0.0259</f>
        <v>-32.991859315799999</v>
      </c>
      <c r="AB18" s="40">
        <f t="shared" si="38"/>
        <v>-36.291045247380005</v>
      </c>
      <c r="AC18" s="40">
        <f t="shared" si="38"/>
        <v>-39.920149772118002</v>
      </c>
      <c r="AD18" s="40">
        <f t="shared" si="38"/>
        <v>-43.912164749329804</v>
      </c>
      <c r="AE18" s="40">
        <f t="shared" si="38"/>
        <v>-47.425137929276197</v>
      </c>
      <c r="AF18" s="40">
        <f t="shared" si="38"/>
        <v>-51.219148963618295</v>
      </c>
      <c r="AG18" s="40">
        <f t="shared" si="38"/>
        <v>-55.316680880707757</v>
      </c>
      <c r="AH18" s="40">
        <f t="shared" si="38"/>
        <v>-59.188848542357313</v>
      </c>
      <c r="AI18" s="40">
        <f t="shared" si="38"/>
        <v>-60.668569755916231</v>
      </c>
    </row>
    <row r="19" spans="1:160" x14ac:dyDescent="0.3">
      <c r="A19" s="6" t="s">
        <v>89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-27.3</v>
      </c>
      <c r="O19" s="3">
        <v>0</v>
      </c>
      <c r="P19" s="3">
        <v>0</v>
      </c>
      <c r="Q19" s="39">
        <f>Q5*-0.0088</f>
        <v>-2.4998211039999996</v>
      </c>
      <c r="R19" s="39">
        <f t="shared" ref="R19:S19" si="39">R5*-0.0088</f>
        <v>-2.6426322560000002</v>
      </c>
      <c r="S19" s="39">
        <f t="shared" si="39"/>
        <v>-2.7044727599999998</v>
      </c>
      <c r="V19" s="3">
        <v>0</v>
      </c>
      <c r="W19" s="3">
        <v>0</v>
      </c>
      <c r="X19" s="3">
        <f t="shared" si="31"/>
        <v>0</v>
      </c>
      <c r="Y19" s="3">
        <f t="shared" si="32"/>
        <v>-27.3</v>
      </c>
      <c r="Z19" s="3">
        <f t="shared" si="33"/>
        <v>-7.8469261199999991</v>
      </c>
      <c r="AA19" s="39">
        <f t="shared" ref="AA19:AI19" si="40">AA5*-0.0088</f>
        <v>-11.209589265600002</v>
      </c>
      <c r="AB19" s="39">
        <f t="shared" si="40"/>
        <v>-12.330548192160002</v>
      </c>
      <c r="AC19" s="39">
        <f t="shared" si="40"/>
        <v>-13.563603011376001</v>
      </c>
      <c r="AD19" s="39">
        <f t="shared" si="40"/>
        <v>-14.919963312513604</v>
      </c>
      <c r="AE19" s="39">
        <f t="shared" si="40"/>
        <v>-16.113560377514695</v>
      </c>
      <c r="AF19" s="39">
        <f t="shared" si="40"/>
        <v>-17.402645207715871</v>
      </c>
      <c r="AG19" s="39">
        <f t="shared" si="40"/>
        <v>-18.794856824333142</v>
      </c>
      <c r="AH19" s="39">
        <f t="shared" si="40"/>
        <v>-20.110496802036462</v>
      </c>
      <c r="AI19" s="39">
        <f t="shared" si="40"/>
        <v>-20.613259222087368</v>
      </c>
    </row>
    <row r="20" spans="1:160" s="47" customFormat="1" x14ac:dyDescent="0.3">
      <c r="A20" s="46" t="s">
        <v>78</v>
      </c>
      <c r="H20" s="44">
        <f>H15+H16+H17+H18</f>
        <v>-16.82200000000001</v>
      </c>
      <c r="I20" s="44">
        <f>I15+I16+I17+I18</f>
        <v>101.63299999999997</v>
      </c>
      <c r="J20" s="44">
        <f>J15+J16+J17+J18+J19</f>
        <v>139.5</v>
      </c>
      <c r="K20" s="44">
        <f>K15+K16+K17+K18</f>
        <v>87.902999999999977</v>
      </c>
      <c r="L20" s="44">
        <f>L15+L16+L17+L18</f>
        <v>64.76400000000001</v>
      </c>
      <c r="M20" s="44">
        <f>M15+M16+M17+M18</f>
        <v>41.469999999999992</v>
      </c>
      <c r="N20" s="44">
        <f>N15+N16+N17+N18+N19</f>
        <v>52.879000000000005</v>
      </c>
      <c r="O20" s="44">
        <f>O15+O16+O17+O18</f>
        <v>122.65799999999999</v>
      </c>
      <c r="P20" s="44">
        <f>P15+P16+P17+P18</f>
        <v>8.7350000000000065</v>
      </c>
      <c r="Q20" s="44">
        <f>Q15+Q16+Q17+Q18</f>
        <v>59.995706496000004</v>
      </c>
      <c r="R20" s="44">
        <f>R15+R16+R17+R18</f>
        <v>63.423174144000036</v>
      </c>
      <c r="S20" s="44">
        <f>S15+S16+S17+S18</f>
        <v>64.907346240000024</v>
      </c>
      <c r="V20" s="44">
        <f>V15+V16+V17+V18</f>
        <v>-20.651999999999997</v>
      </c>
      <c r="W20" s="44">
        <f>W15+W16+W17+W18</f>
        <v>72.462999999999994</v>
      </c>
      <c r="X20" s="44">
        <f>SUM(H20:K20)</f>
        <v>312.21399999999994</v>
      </c>
      <c r="Y20" s="44">
        <f>SUM(L20:O20)</f>
        <v>281.77099999999996</v>
      </c>
      <c r="Z20" s="44">
        <f>SUM(P20:S20)</f>
        <v>197.06122688000005</v>
      </c>
      <c r="AA20" s="44">
        <f t="shared" ref="AA20:AI20" si="41">AA15+AA16+AA17+AA18</f>
        <v>269.0301423744001</v>
      </c>
      <c r="AB20" s="44">
        <f t="shared" si="41"/>
        <v>295.93315661183999</v>
      </c>
      <c r="AC20" s="44">
        <f t="shared" si="41"/>
        <v>325.52647227302413</v>
      </c>
      <c r="AD20" s="44">
        <f t="shared" si="41"/>
        <v>358.07911950032639</v>
      </c>
      <c r="AE20" s="44">
        <f t="shared" si="41"/>
        <v>386.72544906035245</v>
      </c>
      <c r="AF20" s="44">
        <f t="shared" si="41"/>
        <v>417.66348498518067</v>
      </c>
      <c r="AG20" s="44">
        <f t="shared" si="41"/>
        <v>451.07656378399548</v>
      </c>
      <c r="AH20" s="44">
        <f t="shared" si="41"/>
        <v>482.65192324887522</v>
      </c>
      <c r="AI20" s="44">
        <f t="shared" si="41"/>
        <v>494.71822133009732</v>
      </c>
    </row>
    <row r="21" spans="1:160" x14ac:dyDescent="0.3">
      <c r="A21" s="6" t="s">
        <v>79</v>
      </c>
      <c r="H21" s="3">
        <v>-0.312</v>
      </c>
      <c r="I21" s="3">
        <v>24.071999999999999</v>
      </c>
      <c r="J21" s="3">
        <v>31.597000000000001</v>
      </c>
      <c r="K21" s="3">
        <v>20.004000000000001</v>
      </c>
      <c r="L21" s="3">
        <v>14.507</v>
      </c>
      <c r="M21" s="3">
        <v>9.6440000000000001</v>
      </c>
      <c r="N21" s="3">
        <v>14.1</v>
      </c>
      <c r="O21" s="3">
        <v>27.654</v>
      </c>
      <c r="P21" s="3">
        <v>2.2970000000000002</v>
      </c>
      <c r="Q21" s="40">
        <f>Q20*0.2378</f>
        <v>14.266979004748801</v>
      </c>
      <c r="R21" s="40">
        <f t="shared" ref="R21:S21" si="42">R20*0.2378</f>
        <v>15.082030811443209</v>
      </c>
      <c r="S21" s="40">
        <f t="shared" si="42"/>
        <v>15.434966935872007</v>
      </c>
      <c r="V21" s="3">
        <v>-4.2229999999999999</v>
      </c>
      <c r="W21" s="3">
        <v>16.904</v>
      </c>
      <c r="X21" s="3">
        <f>SUM(H21:K21)</f>
        <v>75.361000000000004</v>
      </c>
      <c r="Y21" s="3">
        <f>SUM(L21:O21)</f>
        <v>65.905000000000001</v>
      </c>
      <c r="Z21" s="3">
        <f>SUM(P21:S21)</f>
        <v>47.080976752064018</v>
      </c>
      <c r="AA21" s="40">
        <f t="shared" ref="AA21" si="43">AA20*0.2378</f>
        <v>63.975367856632346</v>
      </c>
      <c r="AB21" s="40">
        <f t="shared" ref="AB21" si="44">AB20*0.2378</f>
        <v>70.372904642295552</v>
      </c>
      <c r="AC21" s="40">
        <f t="shared" ref="AC21" si="45">AC20*0.2378</f>
        <v>77.410195106525137</v>
      </c>
      <c r="AD21" s="40">
        <f t="shared" ref="AD21" si="46">AD20*0.2378</f>
        <v>85.151214617177615</v>
      </c>
      <c r="AE21" s="40">
        <f t="shared" ref="AE21" si="47">AE20*0.2378</f>
        <v>91.963311786551813</v>
      </c>
      <c r="AF21" s="40">
        <f t="shared" ref="AF21" si="48">AF20*0.2378</f>
        <v>99.320376729475967</v>
      </c>
      <c r="AG21" s="40">
        <f t="shared" ref="AG21" si="49">AG20*0.2378</f>
        <v>107.26600686783414</v>
      </c>
      <c r="AH21" s="40">
        <f t="shared" ref="AH21" si="50">AH20*0.2378</f>
        <v>114.77462734858253</v>
      </c>
      <c r="AI21" s="40">
        <f t="shared" ref="AI21" si="51">AI20*0.2378</f>
        <v>117.64399303229715</v>
      </c>
    </row>
    <row r="22" spans="1:160" s="47" customFormat="1" x14ac:dyDescent="0.3">
      <c r="A22" s="46" t="s">
        <v>80</v>
      </c>
      <c r="H22" s="44">
        <f>H20-H21</f>
        <v>-16.510000000000009</v>
      </c>
      <c r="I22" s="44">
        <f>I20-I21</f>
        <v>77.560999999999964</v>
      </c>
      <c r="J22" s="44">
        <f>J20-J21</f>
        <v>107.90299999999999</v>
      </c>
      <c r="K22" s="44">
        <f>K20-K21</f>
        <v>67.898999999999972</v>
      </c>
      <c r="L22" s="44">
        <f>L20-L21</f>
        <v>50.257000000000012</v>
      </c>
      <c r="M22" s="44">
        <f>M20-M21</f>
        <v>31.825999999999993</v>
      </c>
      <c r="N22" s="44">
        <f>N20-N21</f>
        <v>38.779000000000003</v>
      </c>
      <c r="O22" s="44">
        <f>O20-O21</f>
        <v>95.003999999999991</v>
      </c>
      <c r="P22" s="44">
        <f>P20-P21</f>
        <v>6.4380000000000059</v>
      </c>
      <c r="Q22" s="44">
        <f>Q20-Q21</f>
        <v>45.728727491251206</v>
      </c>
      <c r="R22" s="44">
        <f>R20-R21</f>
        <v>48.341143332556825</v>
      </c>
      <c r="S22" s="44">
        <f>S20-S21</f>
        <v>49.472379304128019</v>
      </c>
      <c r="V22" s="44">
        <f>V20-V21</f>
        <v>-16.428999999999998</v>
      </c>
      <c r="W22" s="44">
        <f>W20-W21</f>
        <v>55.558999999999997</v>
      </c>
      <c r="X22" s="44">
        <f>SUM(H22:K22)</f>
        <v>236.85299999999992</v>
      </c>
      <c r="Y22" s="44">
        <f>SUM(L22:O22)</f>
        <v>215.86599999999999</v>
      </c>
      <c r="Z22" s="44">
        <f>SUM(P22:S22)</f>
        <v>149.98025012793605</v>
      </c>
      <c r="AA22" s="44">
        <f t="shared" ref="AA22:AI22" si="52">AA20-AA21</f>
        <v>205.05477451776775</v>
      </c>
      <c r="AB22" s="44">
        <f t="shared" si="52"/>
        <v>225.56025196954442</v>
      </c>
      <c r="AC22" s="44">
        <f t="shared" si="52"/>
        <v>248.116277166499</v>
      </c>
      <c r="AD22" s="44">
        <f t="shared" si="52"/>
        <v>272.92790488314876</v>
      </c>
      <c r="AE22" s="44">
        <f t="shared" si="52"/>
        <v>294.76213727380065</v>
      </c>
      <c r="AF22" s="44">
        <f t="shared" si="52"/>
        <v>318.34310825570469</v>
      </c>
      <c r="AG22" s="44">
        <f t="shared" si="52"/>
        <v>343.81055691616132</v>
      </c>
      <c r="AH22" s="44">
        <f t="shared" si="52"/>
        <v>367.87729590029267</v>
      </c>
      <c r="AI22" s="44">
        <f t="shared" si="52"/>
        <v>377.07422829780018</v>
      </c>
      <c r="AJ22" s="79">
        <f>AI22*(1+$AL$23)</f>
        <v>373.30348601482217</v>
      </c>
      <c r="AK22" s="79">
        <f t="shared" ref="AK22:CV22" si="53">AJ22*(1+$AL$23)</f>
        <v>369.57045115467395</v>
      </c>
      <c r="AL22" s="79">
        <f t="shared" si="53"/>
        <v>365.8747466431272</v>
      </c>
      <c r="AM22" s="79">
        <f t="shared" si="53"/>
        <v>362.2159991766959</v>
      </c>
      <c r="AN22" s="79">
        <f t="shared" si="53"/>
        <v>358.59383918492892</v>
      </c>
      <c r="AO22" s="79">
        <f t="shared" si="53"/>
        <v>355.00790079307961</v>
      </c>
      <c r="AP22" s="79">
        <f t="shared" si="53"/>
        <v>351.45782178514884</v>
      </c>
      <c r="AQ22" s="79">
        <f t="shared" si="53"/>
        <v>347.94324356729737</v>
      </c>
      <c r="AR22" s="79">
        <f t="shared" si="53"/>
        <v>344.46381113162437</v>
      </c>
      <c r="AS22" s="79">
        <f t="shared" si="53"/>
        <v>341.01917302030813</v>
      </c>
      <c r="AT22" s="79">
        <f t="shared" si="53"/>
        <v>337.60898129010502</v>
      </c>
      <c r="AU22" s="79">
        <f t="shared" si="53"/>
        <v>334.23289147720396</v>
      </c>
      <c r="AV22" s="79">
        <f t="shared" si="53"/>
        <v>330.89056256243191</v>
      </c>
      <c r="AW22" s="79">
        <f t="shared" si="53"/>
        <v>327.58165693680758</v>
      </c>
      <c r="AX22" s="79">
        <f t="shared" si="53"/>
        <v>324.30584036743949</v>
      </c>
      <c r="AY22" s="79">
        <f t="shared" si="53"/>
        <v>321.06278196376508</v>
      </c>
      <c r="AZ22" s="79">
        <f t="shared" si="53"/>
        <v>317.85215414412744</v>
      </c>
      <c r="BA22" s="79">
        <f t="shared" si="53"/>
        <v>314.67363260268615</v>
      </c>
      <c r="BB22" s="79">
        <f t="shared" si="53"/>
        <v>311.52689627665927</v>
      </c>
      <c r="BC22" s="79">
        <f t="shared" si="53"/>
        <v>308.41162731389267</v>
      </c>
      <c r="BD22" s="79">
        <f t="shared" si="53"/>
        <v>305.32751104075373</v>
      </c>
      <c r="BE22" s="79">
        <f t="shared" si="53"/>
        <v>302.27423593034621</v>
      </c>
      <c r="BF22" s="79">
        <f t="shared" si="53"/>
        <v>299.25149357104272</v>
      </c>
      <c r="BG22" s="79">
        <f t="shared" si="53"/>
        <v>296.25897863533231</v>
      </c>
      <c r="BH22" s="79">
        <f t="shared" si="53"/>
        <v>293.29638884897901</v>
      </c>
      <c r="BI22" s="79">
        <f t="shared" si="53"/>
        <v>290.36342496048923</v>
      </c>
      <c r="BJ22" s="79">
        <f t="shared" si="53"/>
        <v>287.45979071088431</v>
      </c>
      <c r="BK22" s="79">
        <f t="shared" si="53"/>
        <v>284.58519280377544</v>
      </c>
      <c r="BL22" s="79">
        <f t="shared" si="53"/>
        <v>281.7393408757377</v>
      </c>
      <c r="BM22" s="79">
        <f t="shared" si="53"/>
        <v>278.92194746698033</v>
      </c>
      <c r="BN22" s="79">
        <f t="shared" si="53"/>
        <v>276.13272799231055</v>
      </c>
      <c r="BO22" s="79">
        <f t="shared" si="53"/>
        <v>273.37140071238747</v>
      </c>
      <c r="BP22" s="79">
        <f t="shared" si="53"/>
        <v>270.6376867052636</v>
      </c>
      <c r="BQ22" s="79">
        <f t="shared" si="53"/>
        <v>267.93130983821095</v>
      </c>
      <c r="BR22" s="79">
        <f t="shared" si="53"/>
        <v>265.25199673982883</v>
      </c>
      <c r="BS22" s="79">
        <f t="shared" si="53"/>
        <v>262.59947677243053</v>
      </c>
      <c r="BT22" s="79">
        <f t="shared" si="53"/>
        <v>259.97348200470623</v>
      </c>
      <c r="BU22" s="79">
        <f t="shared" si="53"/>
        <v>257.37374718465918</v>
      </c>
      <c r="BV22" s="79">
        <f t="shared" si="53"/>
        <v>254.8000097128126</v>
      </c>
      <c r="BW22" s="79">
        <f t="shared" si="53"/>
        <v>252.25200961568447</v>
      </c>
      <c r="BX22" s="79">
        <f t="shared" si="53"/>
        <v>249.72948951952762</v>
      </c>
      <c r="BY22" s="79">
        <f t="shared" si="53"/>
        <v>247.23219462433235</v>
      </c>
      <c r="BZ22" s="79">
        <f t="shared" si="53"/>
        <v>244.75987267808904</v>
      </c>
      <c r="CA22" s="79">
        <f t="shared" si="53"/>
        <v>242.31227395130816</v>
      </c>
      <c r="CB22" s="79">
        <f t="shared" si="53"/>
        <v>239.88915121179508</v>
      </c>
      <c r="CC22" s="79">
        <f t="shared" si="53"/>
        <v>237.49025969967713</v>
      </c>
      <c r="CD22" s="79">
        <f t="shared" si="53"/>
        <v>235.11535710268035</v>
      </c>
      <c r="CE22" s="79">
        <f t="shared" si="53"/>
        <v>232.76420353165355</v>
      </c>
      <c r="CF22" s="79">
        <f t="shared" si="53"/>
        <v>230.43656149633702</v>
      </c>
      <c r="CG22" s="79">
        <f t="shared" si="53"/>
        <v>228.13219588137366</v>
      </c>
      <c r="CH22" s="79">
        <f t="shared" si="53"/>
        <v>225.85087392255991</v>
      </c>
      <c r="CI22" s="79">
        <f t="shared" si="53"/>
        <v>223.59236518333432</v>
      </c>
      <c r="CJ22" s="79">
        <f t="shared" si="53"/>
        <v>221.35644153150099</v>
      </c>
      <c r="CK22" s="79">
        <f t="shared" si="53"/>
        <v>219.14287711618599</v>
      </c>
      <c r="CL22" s="79">
        <f t="shared" si="53"/>
        <v>216.95144834502412</v>
      </c>
      <c r="CM22" s="79">
        <f t="shared" si="53"/>
        <v>214.78193386157386</v>
      </c>
      <c r="CN22" s="79">
        <f t="shared" si="53"/>
        <v>212.63411452295813</v>
      </c>
      <c r="CO22" s="79">
        <f t="shared" si="53"/>
        <v>210.50777337772854</v>
      </c>
      <c r="CP22" s="79">
        <f t="shared" si="53"/>
        <v>208.40269564395126</v>
      </c>
      <c r="CQ22" s="79">
        <f t="shared" si="53"/>
        <v>206.31866868751175</v>
      </c>
      <c r="CR22" s="79">
        <f t="shared" si="53"/>
        <v>204.25548200063662</v>
      </c>
      <c r="CS22" s="79">
        <f t="shared" si="53"/>
        <v>202.21292718063026</v>
      </c>
      <c r="CT22" s="79">
        <f t="shared" si="53"/>
        <v>200.19079790882395</v>
      </c>
      <c r="CU22" s="79">
        <f t="shared" si="53"/>
        <v>198.18888992973572</v>
      </c>
      <c r="CV22" s="79">
        <f t="shared" si="53"/>
        <v>196.20700103043836</v>
      </c>
      <c r="CW22" s="79">
        <f t="shared" ref="CW22:FD22" si="54">CV22*(1+$AL$23)</f>
        <v>194.24493102013398</v>
      </c>
      <c r="CX22" s="79">
        <f t="shared" si="54"/>
        <v>192.30248170993264</v>
      </c>
      <c r="CY22" s="79">
        <f t="shared" si="54"/>
        <v>190.3794568928333</v>
      </c>
      <c r="CZ22" s="79">
        <f t="shared" si="54"/>
        <v>188.47566232390497</v>
      </c>
      <c r="DA22" s="79">
        <f t="shared" si="54"/>
        <v>186.59090570066593</v>
      </c>
      <c r="DB22" s="79">
        <f t="shared" si="54"/>
        <v>184.72499664365927</v>
      </c>
      <c r="DC22" s="79">
        <f t="shared" si="54"/>
        <v>182.87774667722266</v>
      </c>
      <c r="DD22" s="79">
        <f t="shared" si="54"/>
        <v>181.04896921045042</v>
      </c>
      <c r="DE22" s="79">
        <f t="shared" si="54"/>
        <v>179.23847951834591</v>
      </c>
      <c r="DF22" s="79">
        <f t="shared" si="54"/>
        <v>177.44609472316245</v>
      </c>
      <c r="DG22" s="79">
        <f t="shared" si="54"/>
        <v>175.67163377593081</v>
      </c>
      <c r="DH22" s="79">
        <f t="shared" si="54"/>
        <v>173.9149174381715</v>
      </c>
      <c r="DI22" s="79">
        <f t="shared" si="54"/>
        <v>172.17576826378979</v>
      </c>
      <c r="DJ22" s="79">
        <f t="shared" si="54"/>
        <v>170.45401058115189</v>
      </c>
      <c r="DK22" s="79">
        <f t="shared" si="54"/>
        <v>168.74947047534036</v>
      </c>
      <c r="DL22" s="79">
        <f t="shared" si="54"/>
        <v>167.06197577058694</v>
      </c>
      <c r="DM22" s="79">
        <f t="shared" si="54"/>
        <v>165.39135601288106</v>
      </c>
      <c r="DN22" s="79">
        <f t="shared" si="54"/>
        <v>163.73744245275225</v>
      </c>
      <c r="DO22" s="79">
        <f t="shared" si="54"/>
        <v>162.10006802822471</v>
      </c>
      <c r="DP22" s="79">
        <f t="shared" si="54"/>
        <v>160.47906734794248</v>
      </c>
      <c r="DQ22" s="79">
        <f t="shared" si="54"/>
        <v>158.87427667446306</v>
      </c>
      <c r="DR22" s="79">
        <f t="shared" si="54"/>
        <v>157.28553390771842</v>
      </c>
      <c r="DS22" s="79">
        <f t="shared" si="54"/>
        <v>155.71267856864122</v>
      </c>
      <c r="DT22" s="79">
        <f t="shared" si="54"/>
        <v>154.1555517829548</v>
      </c>
      <c r="DU22" s="79">
        <f t="shared" si="54"/>
        <v>152.61399626512525</v>
      </c>
      <c r="DV22" s="79">
        <f t="shared" si="54"/>
        <v>151.08785630247399</v>
      </c>
      <c r="DW22" s="79">
        <f t="shared" si="54"/>
        <v>149.57697773944926</v>
      </c>
      <c r="DX22" s="79">
        <f t="shared" si="54"/>
        <v>148.08120796205478</v>
      </c>
      <c r="DY22" s="79">
        <f t="shared" si="54"/>
        <v>146.60039588243421</v>
      </c>
      <c r="DZ22" s="79">
        <f t="shared" si="54"/>
        <v>145.13439192360988</v>
      </c>
      <c r="EA22" s="79">
        <f t="shared" si="54"/>
        <v>143.68304800437377</v>
      </c>
      <c r="EB22" s="79">
        <f t="shared" si="54"/>
        <v>142.24621752433004</v>
      </c>
      <c r="EC22" s="79">
        <f t="shared" si="54"/>
        <v>140.82375534908672</v>
      </c>
      <c r="ED22" s="79">
        <f t="shared" si="54"/>
        <v>139.41551779559586</v>
      </c>
      <c r="EE22" s="79">
        <f t="shared" si="54"/>
        <v>138.02136261763991</v>
      </c>
      <c r="EF22" s="79">
        <f t="shared" si="54"/>
        <v>136.6411489914635</v>
      </c>
      <c r="EG22" s="79">
        <f t="shared" si="54"/>
        <v>135.27473750154886</v>
      </c>
      <c r="EH22" s="79">
        <f t="shared" si="54"/>
        <v>133.92199012653336</v>
      </c>
      <c r="EI22" s="79">
        <f t="shared" si="54"/>
        <v>132.58277022526804</v>
      </c>
      <c r="EJ22" s="79">
        <f t="shared" si="54"/>
        <v>131.25694252301534</v>
      </c>
      <c r="EK22" s="79">
        <f t="shared" si="54"/>
        <v>129.94437309778519</v>
      </c>
      <c r="EL22" s="79">
        <f t="shared" si="54"/>
        <v>128.64492936680733</v>
      </c>
      <c r="EM22" s="79">
        <f t="shared" si="54"/>
        <v>127.35848007313926</v>
      </c>
      <c r="EN22" s="79">
        <f t="shared" si="54"/>
        <v>126.08489527240786</v>
      </c>
      <c r="EO22" s="79">
        <f t="shared" si="54"/>
        <v>124.82404631968379</v>
      </c>
      <c r="EP22" s="79">
        <f t="shared" si="54"/>
        <v>123.57580585648695</v>
      </c>
      <c r="EQ22" s="79">
        <f t="shared" si="54"/>
        <v>122.34004779792208</v>
      </c>
      <c r="ER22" s="79">
        <f t="shared" si="54"/>
        <v>121.11664731994286</v>
      </c>
      <c r="ES22" s="79">
        <f t="shared" si="54"/>
        <v>119.90548084674343</v>
      </c>
      <c r="ET22" s="79">
        <f t="shared" si="54"/>
        <v>118.70642603827599</v>
      </c>
      <c r="EU22" s="79">
        <f t="shared" si="54"/>
        <v>117.51936177789324</v>
      </c>
      <c r="EV22" s="79">
        <f t="shared" si="54"/>
        <v>116.34416816011431</v>
      </c>
      <c r="EW22" s="79">
        <f t="shared" si="54"/>
        <v>115.18072647851317</v>
      </c>
      <c r="EX22" s="79">
        <f t="shared" si="54"/>
        <v>114.02891921372803</v>
      </c>
      <c r="EY22" s="79">
        <f t="shared" si="54"/>
        <v>112.88863002159074</v>
      </c>
      <c r="EZ22" s="79">
        <f t="shared" si="54"/>
        <v>111.75974372137483</v>
      </c>
      <c r="FA22" s="79">
        <f t="shared" si="54"/>
        <v>110.64214628416109</v>
      </c>
      <c r="FB22" s="79">
        <f t="shared" si="54"/>
        <v>109.53572482131948</v>
      </c>
      <c r="FC22" s="79">
        <f t="shared" si="54"/>
        <v>108.44036757310629</v>
      </c>
      <c r="FD22" s="79">
        <f t="shared" si="54"/>
        <v>107.35596389737522</v>
      </c>
    </row>
    <row r="23" spans="1:160" x14ac:dyDescent="0.3">
      <c r="A23" s="6" t="s">
        <v>81</v>
      </c>
      <c r="C23" s="38"/>
      <c r="D23" s="38"/>
      <c r="E23" s="38"/>
      <c r="F23" s="38"/>
      <c r="G23" s="38"/>
      <c r="H23" s="38">
        <f>H22/H24</f>
        <v>-0.17226447971118841</v>
      </c>
      <c r="I23" s="38">
        <f>(I22-I25)/I24</f>
        <v>0.67231542417376899</v>
      </c>
      <c r="J23" s="38">
        <f>(J22-J25)/J24</f>
        <v>0.91232517938115676</v>
      </c>
      <c r="K23" s="38">
        <f>(K22-K25)/K24</f>
        <v>0.52769746437069809</v>
      </c>
      <c r="L23" s="38">
        <f>(L22-L25)/L24</f>
        <v>0.40175667643187712</v>
      </c>
      <c r="M23" s="38">
        <f>(M22-M25)/M24</f>
        <v>0.24941411302143504</v>
      </c>
      <c r="N23" s="38">
        <f>(N22-N25)/N24</f>
        <v>0.2803320315575642</v>
      </c>
      <c r="O23" s="38">
        <f>(O22-O25)/O24</f>
        <v>0.6588655143629526</v>
      </c>
      <c r="P23" s="38">
        <f>P22/P24</f>
        <v>4.9660215518238876E-2</v>
      </c>
      <c r="Q23" s="38">
        <f>Q22/Q24</f>
        <v>0.3544862596221024</v>
      </c>
      <c r="R23" s="38">
        <f>R22/R24</f>
        <v>0.3776651822856002</v>
      </c>
      <c r="S23" s="38">
        <f>S22/S24</f>
        <v>0.38954629373329147</v>
      </c>
      <c r="V23" s="38">
        <f>V22/V24</f>
        <v>-0.17929913018804089</v>
      </c>
      <c r="W23" s="38">
        <f>W22/W24</f>
        <v>0.58623855147089854</v>
      </c>
      <c r="X23" s="45">
        <f>SUM(H23:K23)</f>
        <v>1.9400735882144353</v>
      </c>
      <c r="Y23" s="45">
        <f>SUM(L23:O23)</f>
        <v>1.5903683353738289</v>
      </c>
      <c r="Z23" s="45">
        <f>SUM(P23:S23)</f>
        <v>1.1713579511592329</v>
      </c>
      <c r="AA23" s="38">
        <f t="shared" ref="AA23:AI23" si="55">AA22/AA24</f>
        <v>1.5208307860586916</v>
      </c>
      <c r="AB23" s="38">
        <f t="shared" si="55"/>
        <v>1.5932512996805333</v>
      </c>
      <c r="AC23" s="38">
        <f t="shared" si="55"/>
        <v>1.6691204091891312</v>
      </c>
      <c r="AD23" s="38">
        <f t="shared" si="55"/>
        <v>1.7486023334362317</v>
      </c>
      <c r="AE23" s="38">
        <f t="shared" si="55"/>
        <v>1.7985624001058382</v>
      </c>
      <c r="AF23" s="38">
        <f t="shared" si="55"/>
        <v>1.8499498972517192</v>
      </c>
      <c r="AG23" s="38">
        <f t="shared" si="55"/>
        <v>1.9028056086017697</v>
      </c>
      <c r="AH23" s="38">
        <f t="shared" si="55"/>
        <v>1.9390495249560893</v>
      </c>
      <c r="AI23" s="38">
        <f t="shared" si="55"/>
        <v>1.8928816791238023</v>
      </c>
      <c r="AK23" t="s">
        <v>163</v>
      </c>
      <c r="AL23" s="81">
        <v>-0.01</v>
      </c>
    </row>
    <row r="24" spans="1:160" x14ac:dyDescent="0.3">
      <c r="A24" s="6" t="s">
        <v>1</v>
      </c>
      <c r="C24" s="40"/>
      <c r="D24" s="40"/>
      <c r="E24" s="40"/>
      <c r="F24" s="40"/>
      <c r="G24" s="40"/>
      <c r="H24" s="40">
        <v>95.840999999999994</v>
      </c>
      <c r="I24" s="40">
        <v>111.22799999999999</v>
      </c>
      <c r="J24" s="40">
        <v>115.11799999999999</v>
      </c>
      <c r="K24" s="40">
        <v>117.249</v>
      </c>
      <c r="L24" s="40">
        <v>117.765</v>
      </c>
      <c r="M24" s="40">
        <v>115.97799999999999</v>
      </c>
      <c r="N24" s="40">
        <v>127.006</v>
      </c>
      <c r="O24" s="40">
        <v>130.57900000000001</v>
      </c>
      <c r="P24" s="40">
        <v>129.64099999999999</v>
      </c>
      <c r="Q24" s="40">
        <v>129</v>
      </c>
      <c r="R24" s="40">
        <v>128</v>
      </c>
      <c r="S24" s="40">
        <v>127</v>
      </c>
      <c r="V24" s="40">
        <v>91.629000000000005</v>
      </c>
      <c r="W24" s="40">
        <v>94.772000000000006</v>
      </c>
      <c r="X24" s="40">
        <f>AVERAGE(H24:K24)</f>
        <v>109.85900000000001</v>
      </c>
      <c r="Y24" s="40">
        <f>AVERAGE(L24:O24)</f>
        <v>122.83200000000001</v>
      </c>
      <c r="Z24" s="40">
        <f>AVERAGE(P24:S24)</f>
        <v>128.41024999999999</v>
      </c>
      <c r="AA24" s="40">
        <f>Z24*1.05</f>
        <v>134.83076249999999</v>
      </c>
      <c r="AB24" s="40">
        <f t="shared" ref="AB24:AI24" si="56">AA24*1.05</f>
        <v>141.572300625</v>
      </c>
      <c r="AC24" s="40">
        <f t="shared" si="56"/>
        <v>148.65091565624999</v>
      </c>
      <c r="AD24" s="40">
        <f t="shared" si="56"/>
        <v>156.08346143906249</v>
      </c>
      <c r="AE24" s="40">
        <f t="shared" si="56"/>
        <v>163.88763451101562</v>
      </c>
      <c r="AF24" s="40">
        <f t="shared" si="56"/>
        <v>172.0820162365664</v>
      </c>
      <c r="AG24" s="40">
        <f t="shared" si="56"/>
        <v>180.68611704839472</v>
      </c>
      <c r="AH24" s="40">
        <f t="shared" si="56"/>
        <v>189.72042290081447</v>
      </c>
      <c r="AI24" s="40">
        <f t="shared" si="56"/>
        <v>199.20644404585519</v>
      </c>
      <c r="AK24" t="s">
        <v>164</v>
      </c>
      <c r="AL24" s="81">
        <v>7.0000000000000007E-2</v>
      </c>
    </row>
    <row r="25" spans="1:160" x14ac:dyDescent="0.3">
      <c r="A25" s="6" t="s">
        <v>82</v>
      </c>
      <c r="H25" s="38">
        <f>0.025*H24</f>
        <v>2.3960249999999998</v>
      </c>
      <c r="I25" s="38">
        <f>0.025*I24</f>
        <v>2.7806999999999999</v>
      </c>
      <c r="J25" s="38">
        <f>0.025*J24</f>
        <v>2.8779500000000002</v>
      </c>
      <c r="K25" s="38">
        <f>6.13-0.103</f>
        <v>6.0270000000000001</v>
      </c>
      <c r="L25" s="38">
        <f>0.025*L24</f>
        <v>2.9441250000000001</v>
      </c>
      <c r="M25" s="38">
        <f>0.025*M24</f>
        <v>2.8994499999999999</v>
      </c>
      <c r="N25" s="38">
        <f>0.025*N24</f>
        <v>3.1751500000000004</v>
      </c>
      <c r="O25">
        <f>9.103-0.133</f>
        <v>8.9699999999999989</v>
      </c>
      <c r="P25" s="38">
        <f>5.137+0.532</f>
        <v>5.6689999999999996</v>
      </c>
      <c r="Q25" s="38">
        <f>Q5*0.0169</f>
        <v>4.8007928019999984</v>
      </c>
      <c r="R25" s="38">
        <f t="shared" ref="R25:S25" si="57">R5*0.0169</f>
        <v>5.0750551279999998</v>
      </c>
      <c r="S25" s="38">
        <f t="shared" si="57"/>
        <v>5.1938170049999988</v>
      </c>
      <c r="V25" s="38"/>
      <c r="W25" s="38">
        <f>0.125*W24</f>
        <v>11.846500000000001</v>
      </c>
      <c r="X25" s="45">
        <f>SUM(H25:K25)</f>
        <v>14.081675000000001</v>
      </c>
      <c r="Y25" s="45">
        <f>SUM(L25:O25)</f>
        <v>17.988724999999999</v>
      </c>
      <c r="Z25" s="45">
        <f t="shared" ref="Z25" si="58">SUM(P25:S25)</f>
        <v>20.738664934999996</v>
      </c>
      <c r="AA25" s="38">
        <f>Z25*1.05</f>
        <v>21.775598181749995</v>
      </c>
      <c r="AB25" s="38">
        <f t="shared" ref="AB25:AI25" si="59">AA25*1.05</f>
        <v>22.864378090837494</v>
      </c>
      <c r="AC25" s="38">
        <f t="shared" si="59"/>
        <v>24.00759699537937</v>
      </c>
      <c r="AD25" s="38">
        <f t="shared" si="59"/>
        <v>25.207976845148337</v>
      </c>
      <c r="AE25" s="38">
        <f t="shared" si="59"/>
        <v>26.468375687405757</v>
      </c>
      <c r="AF25" s="38">
        <f t="shared" si="59"/>
        <v>27.791794471776047</v>
      </c>
      <c r="AG25" s="38">
        <f t="shared" si="59"/>
        <v>29.181384195364849</v>
      </c>
      <c r="AH25" s="38">
        <f t="shared" si="59"/>
        <v>30.640453405133094</v>
      </c>
      <c r="AI25" s="38">
        <f t="shared" si="59"/>
        <v>32.172476075389753</v>
      </c>
      <c r="AK25" t="s">
        <v>165</v>
      </c>
      <c r="AL25" s="3">
        <f>NPV(AL24,Z22:FD22)</f>
        <v>4245.7874825159261</v>
      </c>
    </row>
    <row r="26" spans="1:160" x14ac:dyDescent="0.3">
      <c r="H26" s="38"/>
      <c r="I26" s="38"/>
      <c r="J26" s="38"/>
      <c r="K26" s="38"/>
      <c r="L26" s="38"/>
      <c r="M26" s="38"/>
      <c r="N26" s="38"/>
      <c r="P26" s="38"/>
      <c r="W26" s="38"/>
      <c r="X26" s="45"/>
      <c r="Y26" s="45"/>
      <c r="AK26" t="s">
        <v>3</v>
      </c>
      <c r="AL26" s="3">
        <v>-924</v>
      </c>
    </row>
    <row r="27" spans="1:160" s="49" customFormat="1" x14ac:dyDescent="0.3">
      <c r="A27" s="48" t="s">
        <v>162</v>
      </c>
      <c r="H27" s="54">
        <f>H28/H5</f>
        <v>0.77630680154831999</v>
      </c>
      <c r="I27" s="54">
        <f>I28/I5</f>
        <v>0.7828454832495978</v>
      </c>
      <c r="J27" s="54">
        <f>J28/J5</f>
        <v>0.78845155158391877</v>
      </c>
      <c r="K27" s="54">
        <f>K28/K5</f>
        <v>0.81455906015547763</v>
      </c>
      <c r="L27" s="54">
        <f>L28/L5</f>
        <v>0.75836260132085764</v>
      </c>
      <c r="M27" s="54">
        <f>M28/M5</f>
        <v>0.73918009636152182</v>
      </c>
      <c r="N27" s="54">
        <f>N28/N5</f>
        <v>0.76260612409067496</v>
      </c>
      <c r="O27" s="54">
        <f>O28/O5</f>
        <v>0.79580146968484466</v>
      </c>
      <c r="P27" s="54">
        <f>P28/P5</f>
        <v>0.81271458556316978</v>
      </c>
      <c r="Q27" s="54">
        <f>Q28/Q5</f>
        <v>0.75329999999999997</v>
      </c>
      <c r="R27" s="54">
        <f>R28/R5</f>
        <v>0.75329999999999997</v>
      </c>
      <c r="S27" s="54">
        <f>S28/S5</f>
        <v>0.75329999999999997</v>
      </c>
      <c r="V27" s="54"/>
      <c r="W27" s="54">
        <f>W28/W5</f>
        <v>0.75812269448129221</v>
      </c>
      <c r="X27" s="54">
        <f>X28/X5</f>
        <v>0.7943854987388943</v>
      </c>
      <c r="Y27" s="54">
        <f>Y28/Y5</f>
        <v>0.76567205948386252</v>
      </c>
      <c r="AK27" s="49" t="s">
        <v>166</v>
      </c>
      <c r="AL27" s="74">
        <f>AL25+AL26</f>
        <v>3321.7874825159261</v>
      </c>
    </row>
    <row r="28" spans="1:160" s="51" customFormat="1" x14ac:dyDescent="0.3">
      <c r="A28" s="50" t="s">
        <v>161</v>
      </c>
      <c r="H28" s="80">
        <f>H15+H9</f>
        <v>71.597999999999999</v>
      </c>
      <c r="I28" s="80">
        <f t="shared" ref="I28:S28" si="60">I15+I9</f>
        <v>157.68699999999998</v>
      </c>
      <c r="J28" s="80">
        <f t="shared" si="60"/>
        <v>160.934</v>
      </c>
      <c r="K28" s="80">
        <f t="shared" si="60"/>
        <v>210.08699999999999</v>
      </c>
      <c r="L28" s="80">
        <f t="shared" si="60"/>
        <v>169.71700000000001</v>
      </c>
      <c r="M28" s="80">
        <f t="shared" si="60"/>
        <v>177.96499999999997</v>
      </c>
      <c r="N28" s="80">
        <f t="shared" si="60"/>
        <v>263.54599999999999</v>
      </c>
      <c r="O28" s="80">
        <f t="shared" si="60"/>
        <v>239.65799999999999</v>
      </c>
      <c r="P28" s="80">
        <f t="shared" si="60"/>
        <v>233.87</v>
      </c>
      <c r="Q28" s="80">
        <f t="shared" si="60"/>
        <v>213.99036791399996</v>
      </c>
      <c r="R28" s="80">
        <f t="shared" si="60"/>
        <v>226.21532709600001</v>
      </c>
      <c r="S28" s="80">
        <f t="shared" si="60"/>
        <v>231.50901478499998</v>
      </c>
      <c r="V28" s="80">
        <f>V15+V9</f>
        <v>-10.772999999999998</v>
      </c>
      <c r="W28" s="80">
        <f>W15+W9</f>
        <v>166.88099999999997</v>
      </c>
      <c r="X28" s="80">
        <f>X15+X9</f>
        <v>600.30600000000004</v>
      </c>
      <c r="Y28" s="80">
        <f>Y15+Y9</f>
        <v>850.88599999999997</v>
      </c>
      <c r="Z28" s="80">
        <f>Z15+Z9</f>
        <v>905.58470979499998</v>
      </c>
      <c r="AA28" s="80">
        <f>AA15+AA9</f>
        <v>959.56631747460005</v>
      </c>
      <c r="AB28" s="80">
        <f>AB15+AB9</f>
        <v>1055.5229492220601</v>
      </c>
      <c r="AC28" s="80">
        <f>AC15+AC9</f>
        <v>1161.075244144266</v>
      </c>
      <c r="AD28" s="80">
        <f t="shared" ref="AD28:AI28" si="61">AD15+AD9</f>
        <v>1277.1827685586927</v>
      </c>
      <c r="AE28" s="80">
        <f t="shared" si="61"/>
        <v>1379.357390043388</v>
      </c>
      <c r="AF28" s="80">
        <f t="shared" si="61"/>
        <v>1489.7059812468594</v>
      </c>
      <c r="AG28" s="80">
        <f t="shared" si="61"/>
        <v>1608.8824597466084</v>
      </c>
      <c r="AH28" s="80">
        <f t="shared" si="61"/>
        <v>1721.5042319288714</v>
      </c>
      <c r="AI28" s="80">
        <f t="shared" si="61"/>
        <v>1764.541837727093</v>
      </c>
      <c r="AK28" s="51" t="s">
        <v>168</v>
      </c>
      <c r="AL28" s="82">
        <f>AL27/Main!L3</f>
        <v>25.980809016063965</v>
      </c>
    </row>
    <row r="29" spans="1:160" x14ac:dyDescent="0.3">
      <c r="AK29" t="s">
        <v>167</v>
      </c>
      <c r="AL29" s="77">
        <f>AL28/Main!L2-1</f>
        <v>0.81430230559105898</v>
      </c>
    </row>
    <row r="30" spans="1:160" s="49" customFormat="1" x14ac:dyDescent="0.3">
      <c r="A30" s="48" t="s">
        <v>83</v>
      </c>
      <c r="H30" s="54"/>
      <c r="I30" s="54"/>
      <c r="J30" s="54"/>
      <c r="K30" s="54"/>
      <c r="L30" s="54">
        <f>L5/H5-1</f>
        <v>1.4265035943141529</v>
      </c>
      <c r="M30" s="54">
        <f>M5/I5-1</f>
        <v>0.19526580217248846</v>
      </c>
      <c r="N30" s="54">
        <f>N5/J5-1</f>
        <v>0.693102873884202</v>
      </c>
      <c r="O30" s="54">
        <f>O5/K5-1</f>
        <v>0.16764437896206119</v>
      </c>
      <c r="P30" s="54">
        <f>P5/L5-1</f>
        <v>0.28584323082835095</v>
      </c>
      <c r="Q30" s="54">
        <f>Q5/M5-1</f>
        <v>0.17989109486625665</v>
      </c>
      <c r="R30" s="54">
        <f>R5/N5-1</f>
        <v>-0.1310437344105374</v>
      </c>
      <c r="S30" s="54">
        <f>S5/O5-1</f>
        <v>2.0499380713457915E-2</v>
      </c>
      <c r="W30" s="54">
        <f>W5/V5-1</f>
        <v>12.422195121951221</v>
      </c>
      <c r="X30" s="54">
        <f>X5/W5-1</f>
        <v>2.4330013992113533</v>
      </c>
      <c r="Y30" s="54">
        <f>Y5/X5-1</f>
        <v>0.47057508012587235</v>
      </c>
      <c r="Z30" s="54">
        <f>Z5/Y5-1</f>
        <v>6.1340393577571373E-2</v>
      </c>
      <c r="AA30" s="54">
        <f t="shared" ref="AA30:AI30" si="62">AA5/Z5-1</f>
        <v>8.0000000000000293E-2</v>
      </c>
      <c r="AB30" s="54">
        <f t="shared" si="62"/>
        <v>0.10000000000000009</v>
      </c>
      <c r="AC30" s="54">
        <f t="shared" si="62"/>
        <v>9.9999999999999867E-2</v>
      </c>
      <c r="AD30" s="54">
        <f t="shared" si="62"/>
        <v>0.10000000000000009</v>
      </c>
      <c r="AE30" s="54">
        <f t="shared" si="62"/>
        <v>8.0000000000000071E-2</v>
      </c>
      <c r="AF30" s="54">
        <f t="shared" si="62"/>
        <v>8.0000000000000071E-2</v>
      </c>
      <c r="AG30" s="54">
        <f t="shared" si="62"/>
        <v>8.0000000000000071E-2</v>
      </c>
      <c r="AH30" s="54">
        <f t="shared" si="62"/>
        <v>7.0000000000000062E-2</v>
      </c>
      <c r="AI30" s="54">
        <f t="shared" si="62"/>
        <v>2.4999999999999689E-2</v>
      </c>
    </row>
    <row r="31" spans="1:160" s="51" customFormat="1" x14ac:dyDescent="0.3">
      <c r="A31" s="50" t="s">
        <v>84</v>
      </c>
      <c r="H31" s="55"/>
      <c r="I31" s="55">
        <f>I5/H5-1</f>
        <v>1.1839985254095784</v>
      </c>
      <c r="J31" s="55">
        <f>J5/I5-1</f>
        <v>1.3334789602239994E-2</v>
      </c>
      <c r="K31" s="55">
        <f>K5/J5-1</f>
        <v>0.26358309572101835</v>
      </c>
      <c r="L31" s="55">
        <f>L5/K5-1</f>
        <v>-0.13229552371905451</v>
      </c>
      <c r="M31" s="55">
        <f>M5/L5-1</f>
        <v>7.5810790280347096E-2</v>
      </c>
      <c r="N31" s="55">
        <f>N5/M5-1</f>
        <v>0.43539624522345921</v>
      </c>
      <c r="O31" s="55">
        <f>O5/N5-1</f>
        <v>-0.12857291672695093</v>
      </c>
      <c r="P31" s="55">
        <f>P5/O5-1</f>
        <v>-4.4459128748509769E-2</v>
      </c>
      <c r="Q31" s="55">
        <f>Q5/P5-1</f>
        <v>-1.2834892481339066E-2</v>
      </c>
      <c r="R31" s="55">
        <f>R5/Q5-1</f>
        <v>5.7128548827548586E-2</v>
      </c>
      <c r="S31" s="55">
        <f>S5/R5-1</f>
        <v>2.3401100875686698E-2</v>
      </c>
    </row>
    <row r="33" spans="1:35" s="49" customFormat="1" x14ac:dyDescent="0.3">
      <c r="A33" s="48" t="s">
        <v>85</v>
      </c>
      <c r="H33" s="54">
        <f>(H5-H6-H7-H8)/H5</f>
        <v>0.8410369840288846</v>
      </c>
      <c r="I33" s="54">
        <f>(I5-I6-I7-I8)/I5</f>
        <v>0.86555990229759527</v>
      </c>
      <c r="J33" s="54">
        <f>(J5-J6-J7-J8)/J5</f>
        <v>0.85046101688272246</v>
      </c>
      <c r="K33" s="54">
        <f>(K5-K6-K7-K8)/K5</f>
        <v>0.85683655467886699</v>
      </c>
      <c r="L33" s="54">
        <f>(L5-L6-L7-L8)/L5</f>
        <v>0.78818466983029045</v>
      </c>
      <c r="M33" s="54">
        <f>(M5-M6-M7-M8)/M5</f>
        <v>0.79783601927230452</v>
      </c>
      <c r="N33" s="54">
        <f>(N5-N6-N7-N8)/N5</f>
        <v>0.82526201871603599</v>
      </c>
      <c r="O33" s="54">
        <f>(O5-O6-O7-O8)/O5</f>
        <v>0.82532134828475889</v>
      </c>
      <c r="P33" s="54">
        <f>(P5-P6-P7-P8)/P5</f>
        <v>0.84302761985515917</v>
      </c>
      <c r="Q33" s="54">
        <f>(Q5-Q6-Q7-Q8)/Q5</f>
        <v>0.80469999999999997</v>
      </c>
      <c r="V33" s="54">
        <f>(V5-V6-V7-V8)/V5</f>
        <v>0.47737804878048778</v>
      </c>
      <c r="W33" s="54">
        <f>(W5-W6-W7-W8)/W5</f>
        <v>0.83033199469389973</v>
      </c>
      <c r="X33" s="54">
        <f>(X5-X6-X7-X8)/X5</f>
        <v>0.85551141611727621</v>
      </c>
      <c r="Y33" s="54">
        <f>(Y5-Y6-Y7-Y8)/Y5</f>
        <v>0.8118695969469798</v>
      </c>
      <c r="Z33" s="54">
        <f t="shared" ref="Z33:AI33" si="63">(Z5-Z6-Z7-Z8)/Z5</f>
        <v>0.81405115035467701</v>
      </c>
      <c r="AA33" s="54">
        <f t="shared" si="63"/>
        <v>0.80470000000000008</v>
      </c>
      <c r="AB33" s="54">
        <f t="shared" si="63"/>
        <v>0.80469999999999997</v>
      </c>
      <c r="AC33" s="54">
        <f t="shared" si="63"/>
        <v>0.80469999999999997</v>
      </c>
      <c r="AD33" s="54">
        <f t="shared" si="63"/>
        <v>0.80470000000000008</v>
      </c>
      <c r="AE33" s="54">
        <f t="shared" si="63"/>
        <v>0.80469999999999997</v>
      </c>
      <c r="AF33" s="54">
        <f t="shared" si="63"/>
        <v>0.80469999999999997</v>
      </c>
      <c r="AG33" s="54">
        <f t="shared" si="63"/>
        <v>0.80469999999999997</v>
      </c>
      <c r="AH33" s="54">
        <f t="shared" si="63"/>
        <v>0.80469999999999997</v>
      </c>
      <c r="AI33" s="54">
        <f t="shared" si="63"/>
        <v>0.80469999999999997</v>
      </c>
    </row>
    <row r="34" spans="1:35" s="53" customFormat="1" x14ac:dyDescent="0.3">
      <c r="A34" s="52" t="s">
        <v>86</v>
      </c>
      <c r="H34" s="56">
        <f>H15/H5</f>
        <v>0.5917227770007264</v>
      </c>
      <c r="I34" s="56">
        <f>I15/I5</f>
        <v>0.60966697777866019</v>
      </c>
      <c r="J34" s="56">
        <f>J15/J5</f>
        <v>0.57962707114651613</v>
      </c>
      <c r="K34" s="56">
        <f>K15/K5</f>
        <v>0.49192951166081844</v>
      </c>
      <c r="L34" s="56">
        <f>L15/L5</f>
        <v>0.39583724317899499</v>
      </c>
      <c r="M34" s="56">
        <f>M15/M5</f>
        <v>0.35285761754444256</v>
      </c>
      <c r="N34" s="56">
        <f>N15/N5</f>
        <v>0.42283541578651912</v>
      </c>
      <c r="O34" s="56">
        <f>O15/O5</f>
        <v>0.3546237294664174</v>
      </c>
      <c r="P34" s="56">
        <f>P15/P5</f>
        <v>0.35800169583408631</v>
      </c>
      <c r="Q34" s="56">
        <f>Q15/Q5</f>
        <v>0.35640000000000005</v>
      </c>
      <c r="V34" s="56">
        <f>V15/V5</f>
        <v>-1.2591463414634148</v>
      </c>
      <c r="W34" s="56">
        <f>W15/W5</f>
        <v>0.46192146244843812</v>
      </c>
      <c r="X34" s="56">
        <f t="shared" ref="X34:Y34" si="64">X15/X5</f>
        <v>0.55917934168424455</v>
      </c>
      <c r="Y34" s="56">
        <f t="shared" si="64"/>
        <v>0.38375297963723348</v>
      </c>
      <c r="Z34" s="56">
        <f t="shared" ref="Z34:AI34" si="65">Z15/Z5</f>
        <v>0.35679078081612176</v>
      </c>
      <c r="AA34" s="56">
        <f t="shared" si="65"/>
        <v>0.35640000000000005</v>
      </c>
      <c r="AB34" s="56">
        <f t="shared" si="65"/>
        <v>0.35639999999999999</v>
      </c>
      <c r="AC34" s="56">
        <f t="shared" si="65"/>
        <v>0.35640000000000005</v>
      </c>
      <c r="AD34" s="56">
        <f t="shared" si="65"/>
        <v>0.35639999999999994</v>
      </c>
      <c r="AE34" s="56">
        <f t="shared" si="65"/>
        <v>0.35639999999999988</v>
      </c>
      <c r="AF34" s="56">
        <f t="shared" si="65"/>
        <v>0.35639999999999988</v>
      </c>
      <c r="AG34" s="56">
        <f t="shared" si="65"/>
        <v>0.35640000000000005</v>
      </c>
      <c r="AH34" s="56">
        <f t="shared" si="65"/>
        <v>0.35640000000000011</v>
      </c>
      <c r="AI34" s="56">
        <f t="shared" si="65"/>
        <v>0.35640000000000022</v>
      </c>
    </row>
    <row r="35" spans="1:35" s="53" customFormat="1" x14ac:dyDescent="0.3">
      <c r="A35" s="52" t="s">
        <v>87</v>
      </c>
      <c r="H35" s="56">
        <f>H22/H15</f>
        <v>-0.30252501191043368</v>
      </c>
      <c r="I35" s="56">
        <f>I22/I15</f>
        <v>0.63158366176997471</v>
      </c>
      <c r="J35" s="56">
        <f>J22/J15</f>
        <v>0.91203617614740928</v>
      </c>
      <c r="K35" s="56">
        <f>K22/K15</f>
        <v>0.53516031400737718</v>
      </c>
      <c r="L35" s="56">
        <f>L22/L15</f>
        <v>0.56732440791998739</v>
      </c>
      <c r="M35" s="56">
        <f>M22/M15</f>
        <v>0.37462626833345097</v>
      </c>
      <c r="N35" s="56">
        <f>N22/N15</f>
        <v>0.26538056198075632</v>
      </c>
      <c r="O35" s="56">
        <f>O22/O15</f>
        <v>0.88958387954605034</v>
      </c>
      <c r="P35" s="56">
        <f>P22/P15</f>
        <v>6.2492719860221368E-2</v>
      </c>
      <c r="Q35" s="56">
        <f>Q22/Q15</f>
        <v>0.45167407407407417</v>
      </c>
      <c r="V35" s="56">
        <f>V22/V15</f>
        <v>0.79559322033898305</v>
      </c>
      <c r="W35" s="56">
        <f>W22/W15</f>
        <v>0.54641030684500391</v>
      </c>
      <c r="X35" s="56">
        <f t="shared" ref="X35:Y35" si="66">X22/X15</f>
        <v>0.56051391031891018</v>
      </c>
      <c r="Y35" s="56">
        <f t="shared" si="66"/>
        <v>0.50617874511679817</v>
      </c>
      <c r="Z35" s="56">
        <f t="shared" ref="Z35:AI35" si="67">Z22/Z15</f>
        <v>0.35639957494141888</v>
      </c>
      <c r="AA35" s="56">
        <f t="shared" si="67"/>
        <v>0.45167407407407417</v>
      </c>
      <c r="AB35" s="56">
        <f t="shared" si="67"/>
        <v>0.45167407407407401</v>
      </c>
      <c r="AC35" s="56">
        <f t="shared" si="67"/>
        <v>0.45167407407407417</v>
      </c>
      <c r="AD35" s="56">
        <f t="shared" si="67"/>
        <v>0.45167407407407401</v>
      </c>
      <c r="AE35" s="56">
        <f t="shared" si="67"/>
        <v>0.45167407407407406</v>
      </c>
      <c r="AF35" s="56">
        <f t="shared" si="67"/>
        <v>0.45167407407407395</v>
      </c>
      <c r="AG35" s="56">
        <f t="shared" si="67"/>
        <v>0.45167407407407412</v>
      </c>
      <c r="AH35" s="56">
        <f t="shared" si="67"/>
        <v>0.45167407407407406</v>
      </c>
      <c r="AI35" s="56">
        <f t="shared" si="67"/>
        <v>0.45167407407407428</v>
      </c>
    </row>
    <row r="36" spans="1:35" s="51" customFormat="1" x14ac:dyDescent="0.3">
      <c r="A36" s="50" t="s">
        <v>88</v>
      </c>
      <c r="H36" s="55">
        <f>H21/H20</f>
        <v>1.8547140649149911E-2</v>
      </c>
      <c r="I36" s="78">
        <f>I21/I20</f>
        <v>0.23685220351657441</v>
      </c>
      <c r="J36" s="78">
        <f>J21/J20</f>
        <v>0.22650179211469534</v>
      </c>
      <c r="K36" s="78">
        <f>K21/K20</f>
        <v>0.22756902494795406</v>
      </c>
      <c r="L36" s="78">
        <f>L21/L20</f>
        <v>0.22399790006793893</v>
      </c>
      <c r="M36" s="78">
        <f>M21/M20</f>
        <v>0.23255365324330846</v>
      </c>
      <c r="N36" s="78">
        <f>N21/N20</f>
        <v>0.26664649482781444</v>
      </c>
      <c r="O36" s="78">
        <f>O21/O20</f>
        <v>0.22545614635816663</v>
      </c>
      <c r="P36" s="78">
        <f>P21/P20</f>
        <v>0.26296508299942739</v>
      </c>
      <c r="Q36" s="55">
        <f>Q21/Q20</f>
        <v>0.23780000000000001</v>
      </c>
      <c r="V36" s="55">
        <f>V21/V20</f>
        <v>0.20448382723222935</v>
      </c>
      <c r="W36" s="55">
        <f>W21/W20</f>
        <v>0.23327767274333111</v>
      </c>
      <c r="X36" s="55">
        <f t="shared" ref="X36:Y36" si="68">X21/X20</f>
        <v>0.2413761074135049</v>
      </c>
      <c r="Y36" s="55">
        <f t="shared" si="68"/>
        <v>0.23389561026507344</v>
      </c>
      <c r="Z36" s="55">
        <f t="shared" ref="Z36:AI36" si="69">Z21/Z20</f>
        <v>0.23891547564927049</v>
      </c>
      <c r="AA36" s="55">
        <f t="shared" si="69"/>
        <v>0.23780000000000001</v>
      </c>
      <c r="AB36" s="55">
        <f t="shared" si="69"/>
        <v>0.23780000000000001</v>
      </c>
      <c r="AC36" s="55">
        <f t="shared" si="69"/>
        <v>0.23780000000000001</v>
      </c>
      <c r="AD36" s="55">
        <f t="shared" si="69"/>
        <v>0.23780000000000001</v>
      </c>
      <c r="AE36" s="55">
        <f t="shared" si="69"/>
        <v>0.23780000000000001</v>
      </c>
      <c r="AF36" s="55">
        <f t="shared" si="69"/>
        <v>0.23780000000000001</v>
      </c>
      <c r="AG36" s="55">
        <f t="shared" si="69"/>
        <v>0.23780000000000001</v>
      </c>
      <c r="AH36" s="55">
        <f t="shared" si="69"/>
        <v>0.23780000000000001</v>
      </c>
      <c r="AI36" s="55">
        <f t="shared" si="69"/>
        <v>0.23780000000000001</v>
      </c>
    </row>
    <row r="38" spans="1:35" s="64" customFormat="1" x14ac:dyDescent="0.3">
      <c r="A38" s="63" t="s">
        <v>119</v>
      </c>
      <c r="K38" s="67">
        <f t="shared" ref="K38:O38" si="70">K39-K40</f>
        <v>-670.40300000000002</v>
      </c>
      <c r="L38" s="67">
        <f t="shared" si="70"/>
        <v>-814.42499999999995</v>
      </c>
      <c r="M38" s="67">
        <f t="shared" si="70"/>
        <v>-943.67200000000003</v>
      </c>
      <c r="N38" s="67">
        <f t="shared" si="70"/>
        <v>-998.149</v>
      </c>
      <c r="O38" s="67">
        <f t="shared" si="70"/>
        <v>-924.36900000000003</v>
      </c>
      <c r="P38" s="67">
        <f>P39-P40</f>
        <v>-949.83300000000008</v>
      </c>
      <c r="X38" s="67">
        <f t="shared" ref="X38" si="71">X39-X40</f>
        <v>-670.40300000000002</v>
      </c>
      <c r="Y38" s="67">
        <f t="shared" ref="Y38" si="72">Y39-Y40</f>
        <v>-924.36900000000003</v>
      </c>
    </row>
    <row r="39" spans="1:35" s="53" customFormat="1" x14ac:dyDescent="0.3">
      <c r="A39" s="52" t="s">
        <v>3</v>
      </c>
      <c r="K39" s="65">
        <f t="shared" ref="K39:O39" si="73">K41+K45</f>
        <v>34.637</v>
      </c>
      <c r="L39" s="65">
        <f t="shared" si="73"/>
        <v>47.536000000000001</v>
      </c>
      <c r="M39" s="65">
        <f t="shared" si="73"/>
        <v>30.7</v>
      </c>
      <c r="N39" s="65">
        <f t="shared" si="73"/>
        <v>153.53299999999999</v>
      </c>
      <c r="O39" s="65">
        <f t="shared" si="73"/>
        <v>225.99499999999998</v>
      </c>
      <c r="P39" s="65">
        <f>P41+P45</f>
        <v>176.01900000000001</v>
      </c>
      <c r="X39" s="65">
        <f t="shared" ref="X39" si="74">X41+X45</f>
        <v>34.637</v>
      </c>
      <c r="Y39" s="65">
        <f t="shared" ref="Y39" si="75">Y41+Y45</f>
        <v>225.99499999999998</v>
      </c>
    </row>
    <row r="40" spans="1:35" s="62" customFormat="1" ht="15" thickBot="1" x14ac:dyDescent="0.35">
      <c r="A40" s="61" t="s">
        <v>4</v>
      </c>
      <c r="K40" s="66">
        <f t="shared" ref="K40:O40" si="76">K55+K65+K69+K68</f>
        <v>705.04000000000008</v>
      </c>
      <c r="L40" s="66">
        <f t="shared" si="76"/>
        <v>861.96100000000001</v>
      </c>
      <c r="M40" s="66">
        <f t="shared" si="76"/>
        <v>974.37200000000007</v>
      </c>
      <c r="N40" s="66">
        <f t="shared" si="76"/>
        <v>1151.682</v>
      </c>
      <c r="O40" s="66">
        <f t="shared" si="76"/>
        <v>1150.364</v>
      </c>
      <c r="P40" s="66">
        <f>P55+P65+P69+P68</f>
        <v>1125.8520000000001</v>
      </c>
      <c r="X40" s="66">
        <f t="shared" ref="X40" si="77">X55+X65+X69+X68</f>
        <v>705.04000000000008</v>
      </c>
      <c r="Y40" s="66">
        <f t="shared" ref="Y40" si="78">Y55+Y65+Y69+Y68</f>
        <v>1150.364</v>
      </c>
    </row>
    <row r="41" spans="1:35" s="3" customFormat="1" x14ac:dyDescent="0.3">
      <c r="A41" s="5" t="s">
        <v>90</v>
      </c>
      <c r="K41" s="3">
        <v>30.504000000000001</v>
      </c>
      <c r="L41" s="3">
        <v>47.536000000000001</v>
      </c>
      <c r="M41" s="3">
        <v>30.265000000000001</v>
      </c>
      <c r="N41" s="3">
        <v>151.80699999999999</v>
      </c>
      <c r="O41" s="3">
        <v>194.51499999999999</v>
      </c>
      <c r="P41" s="3">
        <v>173.38</v>
      </c>
      <c r="X41" s="3">
        <v>30.504000000000001</v>
      </c>
      <c r="Y41" s="3">
        <v>194.51499999999999</v>
      </c>
    </row>
    <row r="42" spans="1:35" s="3" customFormat="1" x14ac:dyDescent="0.3">
      <c r="A42" s="5" t="s">
        <v>91</v>
      </c>
      <c r="K42" s="3">
        <v>96.596000000000004</v>
      </c>
      <c r="L42" s="3">
        <v>80.98</v>
      </c>
      <c r="M42" s="3">
        <v>100.974</v>
      </c>
      <c r="N42" s="3">
        <v>125.982</v>
      </c>
      <c r="O42" s="3">
        <v>94.588999999999999</v>
      </c>
      <c r="P42" s="3">
        <v>109.005</v>
      </c>
      <c r="X42" s="3">
        <v>96.596000000000004</v>
      </c>
      <c r="Y42" s="3">
        <v>94.588999999999999</v>
      </c>
    </row>
    <row r="43" spans="1:35" s="3" customFormat="1" x14ac:dyDescent="0.3">
      <c r="A43" s="5" t="s">
        <v>92</v>
      </c>
      <c r="K43" s="3">
        <v>13.275</v>
      </c>
      <c r="L43" s="3">
        <v>15.759</v>
      </c>
      <c r="M43" s="3">
        <v>9.2010000000000005</v>
      </c>
      <c r="N43" s="3">
        <v>15.13</v>
      </c>
      <c r="O43" s="3">
        <v>7.2539999999999996</v>
      </c>
      <c r="P43" s="3">
        <v>11.179</v>
      </c>
      <c r="X43" s="3">
        <v>13.275</v>
      </c>
      <c r="Y43" s="3">
        <v>7.2539999999999996</v>
      </c>
    </row>
    <row r="44" spans="1:35" s="3" customFormat="1" x14ac:dyDescent="0.3">
      <c r="A44" s="5" t="s">
        <v>93</v>
      </c>
      <c r="K44" s="3">
        <v>1.7000000000000001E-2</v>
      </c>
      <c r="L44" s="3">
        <v>1.004</v>
      </c>
      <c r="M44" s="3">
        <v>3.1539999999999999</v>
      </c>
      <c r="N44" s="3">
        <v>3.2469999999999999</v>
      </c>
      <c r="O44" s="3">
        <v>0.995</v>
      </c>
      <c r="P44" s="3">
        <v>2.7719999999999998</v>
      </c>
      <c r="X44" s="3">
        <v>1.7000000000000001E-2</v>
      </c>
      <c r="Y44" s="3">
        <v>0.995</v>
      </c>
    </row>
    <row r="45" spans="1:35" s="3" customFormat="1" x14ac:dyDescent="0.3">
      <c r="A45" s="5" t="s">
        <v>94</v>
      </c>
      <c r="K45" s="3">
        <v>4.133</v>
      </c>
      <c r="L45" s="3">
        <v>0</v>
      </c>
      <c r="M45" s="3">
        <v>0.435</v>
      </c>
      <c r="N45" s="3">
        <v>1.726</v>
      </c>
      <c r="O45" s="3">
        <v>31.48</v>
      </c>
      <c r="P45" s="3">
        <v>2.6389999999999998</v>
      </c>
      <c r="X45" s="3">
        <v>4.133</v>
      </c>
      <c r="Y45" s="3">
        <v>31.48</v>
      </c>
    </row>
    <row r="46" spans="1:35" s="44" customFormat="1" x14ac:dyDescent="0.3">
      <c r="A46" s="43" t="s">
        <v>95</v>
      </c>
      <c r="K46" s="44">
        <f t="shared" ref="K46:S46" si="79">SUM(K41:K45)</f>
        <v>144.52500000000001</v>
      </c>
      <c r="L46" s="44">
        <f t="shared" si="79"/>
        <v>145.27900000000002</v>
      </c>
      <c r="M46" s="44">
        <f t="shared" si="79"/>
        <v>144.029</v>
      </c>
      <c r="N46" s="44">
        <f t="shared" si="79"/>
        <v>297.892</v>
      </c>
      <c r="O46" s="44">
        <f t="shared" si="79"/>
        <v>328.83300000000003</v>
      </c>
      <c r="P46" s="44">
        <f>SUM(P41:P45)</f>
        <v>298.97499999999997</v>
      </c>
      <c r="Q46" s="44">
        <f t="shared" si="79"/>
        <v>0</v>
      </c>
      <c r="R46" s="44">
        <f t="shared" si="79"/>
        <v>0</v>
      </c>
      <c r="S46" s="44">
        <f t="shared" si="79"/>
        <v>0</v>
      </c>
      <c r="W46" s="44">
        <f t="shared" ref="W46:Y46" si="80">SUM(W41:W45)</f>
        <v>0</v>
      </c>
      <c r="X46" s="44">
        <f t="shared" si="80"/>
        <v>144.52500000000001</v>
      </c>
      <c r="Y46" s="44">
        <f t="shared" si="80"/>
        <v>328.83300000000003</v>
      </c>
    </row>
    <row r="47" spans="1:35" s="3" customFormat="1" x14ac:dyDescent="0.3">
      <c r="A47" s="58" t="s">
        <v>96</v>
      </c>
      <c r="K47" s="3">
        <v>2270.2359999999999</v>
      </c>
      <c r="L47" s="3">
        <v>2669.752</v>
      </c>
      <c r="M47" s="3">
        <v>2977.9870000000001</v>
      </c>
      <c r="N47" s="3">
        <v>3151.6190000000001</v>
      </c>
      <c r="O47" s="3">
        <v>3338.1007</v>
      </c>
      <c r="P47" s="3">
        <v>3487.6219999999998</v>
      </c>
      <c r="X47" s="3">
        <v>2270.2359999999999</v>
      </c>
      <c r="Y47" s="3">
        <v>3338.1007</v>
      </c>
    </row>
    <row r="48" spans="1:35" s="3" customFormat="1" x14ac:dyDescent="0.3">
      <c r="A48" s="58" t="s">
        <v>97</v>
      </c>
      <c r="K48" s="3">
        <v>114.66500000000001</v>
      </c>
      <c r="L48" s="3">
        <v>97.91</v>
      </c>
      <c r="M48" s="3">
        <v>91.63</v>
      </c>
      <c r="N48" s="3">
        <v>79.960999999999999</v>
      </c>
      <c r="O48" s="3">
        <v>72.715000000000003</v>
      </c>
      <c r="P48" s="3">
        <v>72.997</v>
      </c>
      <c r="X48" s="3">
        <v>114.66500000000001</v>
      </c>
      <c r="Y48" s="3">
        <v>72.715000000000003</v>
      </c>
    </row>
    <row r="49" spans="1:25" s="3" customFormat="1" x14ac:dyDescent="0.3">
      <c r="A49" s="58" t="s">
        <v>98</v>
      </c>
      <c r="K49" s="3">
        <v>-259.96199999999999</v>
      </c>
      <c r="L49" s="3">
        <v>-341.04500000000002</v>
      </c>
      <c r="M49" s="3">
        <v>-434.00599999999997</v>
      </c>
      <c r="N49" s="3">
        <v>-551.37300000000005</v>
      </c>
      <c r="O49" s="3">
        <v>-684.17899999999997</v>
      </c>
      <c r="P49" s="3">
        <v>-814.96100000000001</v>
      </c>
      <c r="X49" s="3">
        <v>-259.96199999999999</v>
      </c>
      <c r="Y49" s="3">
        <v>-684.17899999999997</v>
      </c>
    </row>
    <row r="50" spans="1:25" s="60" customFormat="1" x14ac:dyDescent="0.3">
      <c r="A50" s="59" t="s">
        <v>99</v>
      </c>
      <c r="K50" s="60">
        <f t="shared" ref="K50:S50" si="81">SUM(K47:K49)</f>
        <v>2124.9389999999999</v>
      </c>
      <c r="L50" s="60">
        <f t="shared" si="81"/>
        <v>2426.6169999999997</v>
      </c>
      <c r="M50" s="60">
        <f t="shared" si="81"/>
        <v>2635.6110000000003</v>
      </c>
      <c r="N50" s="60">
        <f t="shared" si="81"/>
        <v>2680.2069999999999</v>
      </c>
      <c r="O50" s="60">
        <f t="shared" si="81"/>
        <v>2726.6367</v>
      </c>
      <c r="P50" s="60">
        <f>SUM(P47:P49)</f>
        <v>2745.6579999999994</v>
      </c>
      <c r="Q50" s="60">
        <f t="shared" si="81"/>
        <v>0</v>
      </c>
      <c r="R50" s="60">
        <f t="shared" si="81"/>
        <v>0</v>
      </c>
      <c r="S50" s="60">
        <f t="shared" si="81"/>
        <v>0</v>
      </c>
      <c r="W50" s="60">
        <f t="shared" ref="W50:Y50" si="82">SUM(W47:W49)</f>
        <v>0</v>
      </c>
      <c r="X50" s="60">
        <f t="shared" si="82"/>
        <v>2124.9389999999999</v>
      </c>
      <c r="Y50" s="60">
        <f t="shared" si="82"/>
        <v>2726.6367</v>
      </c>
    </row>
    <row r="51" spans="1:25" s="3" customFormat="1" x14ac:dyDescent="0.3">
      <c r="A51" s="5" t="s">
        <v>100</v>
      </c>
      <c r="K51" s="3">
        <v>3.5870000000000002</v>
      </c>
      <c r="L51" s="3">
        <v>3.556</v>
      </c>
      <c r="M51" s="3">
        <v>3.5920000000000001</v>
      </c>
      <c r="N51" s="3">
        <v>3.5390000000000001</v>
      </c>
      <c r="O51" s="3">
        <v>3.5720000000000001</v>
      </c>
      <c r="P51" s="3">
        <v>3.5630000000000002</v>
      </c>
      <c r="X51" s="3">
        <v>3.5870000000000002</v>
      </c>
      <c r="Y51" s="3">
        <v>3.5720000000000001</v>
      </c>
    </row>
    <row r="52" spans="1:25" s="3" customFormat="1" x14ac:dyDescent="0.3">
      <c r="A52" s="5" t="s">
        <v>94</v>
      </c>
      <c r="K52" s="3">
        <v>0</v>
      </c>
      <c r="L52" s="3">
        <v>0</v>
      </c>
      <c r="M52" s="3">
        <v>0</v>
      </c>
      <c r="N52" s="3">
        <v>0</v>
      </c>
      <c r="O52" s="3">
        <v>16.059000000000001</v>
      </c>
      <c r="P52" s="3">
        <v>1.38</v>
      </c>
      <c r="X52" s="3">
        <v>0</v>
      </c>
      <c r="Y52" s="3">
        <v>16.059000000000001</v>
      </c>
    </row>
    <row r="53" spans="1:25" s="3" customFormat="1" x14ac:dyDescent="0.3">
      <c r="A53" s="5" t="s">
        <v>101</v>
      </c>
      <c r="K53" s="3">
        <v>6.431</v>
      </c>
      <c r="L53" s="3">
        <v>7.0670000000000002</v>
      </c>
      <c r="M53" s="3">
        <v>6.7709999999999999</v>
      </c>
      <c r="N53" s="3">
        <v>7.2290000000000001</v>
      </c>
      <c r="O53" s="3">
        <v>5.6840000000000002</v>
      </c>
      <c r="P53" s="3">
        <v>5.1159999999999997</v>
      </c>
      <c r="X53" s="3">
        <v>6.431</v>
      </c>
      <c r="Y53" s="3">
        <v>5.6840000000000002</v>
      </c>
    </row>
    <row r="54" spans="1:25" s="44" customFormat="1" x14ac:dyDescent="0.3">
      <c r="A54" s="43" t="s">
        <v>102</v>
      </c>
      <c r="K54" s="44">
        <f t="shared" ref="K54:S54" si="83">SUM(K50:K53)+K46</f>
        <v>2279.482</v>
      </c>
      <c r="L54" s="44">
        <f t="shared" si="83"/>
        <v>2582.5189999999998</v>
      </c>
      <c r="M54" s="44">
        <f t="shared" si="83"/>
        <v>2790.0030000000006</v>
      </c>
      <c r="N54" s="44">
        <f t="shared" si="83"/>
        <v>2988.8669999999997</v>
      </c>
      <c r="O54" s="44">
        <f t="shared" si="83"/>
        <v>3080.7847000000006</v>
      </c>
      <c r="P54" s="44">
        <f>SUM(P50:P53)+P46</f>
        <v>3054.6919999999996</v>
      </c>
      <c r="Q54" s="44">
        <f t="shared" si="83"/>
        <v>0</v>
      </c>
      <c r="R54" s="44">
        <f t="shared" si="83"/>
        <v>0</v>
      </c>
      <c r="S54" s="44">
        <f t="shared" si="83"/>
        <v>0</v>
      </c>
      <c r="W54" s="44">
        <f t="shared" ref="W54:Y54" si="84">SUM(W50:W53)+W46</f>
        <v>0</v>
      </c>
      <c r="X54" s="44">
        <f t="shared" si="84"/>
        <v>2279.482</v>
      </c>
      <c r="Y54" s="44">
        <f t="shared" si="84"/>
        <v>3080.7847000000006</v>
      </c>
    </row>
    <row r="55" spans="1:25" s="3" customFormat="1" x14ac:dyDescent="0.3">
      <c r="A55" s="5" t="s">
        <v>103</v>
      </c>
      <c r="K55" s="3">
        <v>0</v>
      </c>
      <c r="L55" s="3">
        <v>215.29499999999999</v>
      </c>
      <c r="M55" s="3">
        <v>741.15499999999997</v>
      </c>
      <c r="N55" s="3">
        <v>90</v>
      </c>
      <c r="O55" s="3">
        <v>120</v>
      </c>
      <c r="P55" s="3">
        <v>120</v>
      </c>
      <c r="X55" s="3">
        <v>0</v>
      </c>
      <c r="Y55" s="3">
        <v>120</v>
      </c>
    </row>
    <row r="56" spans="1:25" s="3" customFormat="1" x14ac:dyDescent="0.3">
      <c r="A56" s="5" t="s">
        <v>104</v>
      </c>
      <c r="K56" s="3">
        <v>91.841999999999999</v>
      </c>
      <c r="L56" s="3">
        <v>133.24600000000001</v>
      </c>
      <c r="M56" s="3">
        <v>215.845</v>
      </c>
      <c r="N56" s="3">
        <v>60.573</v>
      </c>
      <c r="O56" s="3">
        <v>39.231000000000002</v>
      </c>
      <c r="P56" s="3">
        <v>49.231999999999999</v>
      </c>
      <c r="X56" s="3">
        <v>91.841999999999999</v>
      </c>
      <c r="Y56" s="3">
        <v>39.231000000000002</v>
      </c>
    </row>
    <row r="57" spans="1:25" s="3" customFormat="1" x14ac:dyDescent="0.3">
      <c r="A57" s="5" t="s">
        <v>105</v>
      </c>
      <c r="K57" s="3">
        <v>105.565</v>
      </c>
      <c r="L57" s="3">
        <v>132.071</v>
      </c>
      <c r="M57" s="3">
        <v>102.727</v>
      </c>
      <c r="N57" s="3">
        <v>50.341000000000001</v>
      </c>
      <c r="O57" s="3">
        <v>63.582999999999998</v>
      </c>
      <c r="P57" s="3">
        <v>47.273000000000003</v>
      </c>
      <c r="X57" s="3">
        <v>105.565</v>
      </c>
      <c r="Y57" s="3">
        <v>63.582999999999998</v>
      </c>
    </row>
    <row r="58" spans="1:25" s="3" customFormat="1" x14ac:dyDescent="0.3">
      <c r="A58" s="5" t="s">
        <v>106</v>
      </c>
      <c r="K58" s="3">
        <v>15.622999999999999</v>
      </c>
      <c r="L58" s="3">
        <v>29.5</v>
      </c>
      <c r="M58" s="3">
        <v>36.479999999999997</v>
      </c>
      <c r="N58" s="3">
        <v>34.085999999999999</v>
      </c>
      <c r="O58" s="3">
        <v>29.724</v>
      </c>
      <c r="P58" s="3">
        <v>29.344000000000001</v>
      </c>
      <c r="X58" s="3">
        <v>15.622999999999999</v>
      </c>
      <c r="Y58" s="3">
        <v>29.724</v>
      </c>
    </row>
    <row r="59" spans="1:25" s="3" customFormat="1" x14ac:dyDescent="0.3">
      <c r="A59" s="5" t="s">
        <v>107</v>
      </c>
      <c r="K59" s="3">
        <v>15.6</v>
      </c>
      <c r="L59" s="3">
        <v>15.087</v>
      </c>
      <c r="M59" s="3">
        <v>15.815</v>
      </c>
      <c r="N59" s="3">
        <v>30.457000000000001</v>
      </c>
      <c r="O59" s="3">
        <v>19.613</v>
      </c>
      <c r="P59" s="3">
        <v>19.579999999999998</v>
      </c>
      <c r="X59" s="3">
        <v>15.6</v>
      </c>
      <c r="Y59" s="3">
        <v>19.613</v>
      </c>
    </row>
    <row r="60" spans="1:25" s="3" customFormat="1" x14ac:dyDescent="0.3">
      <c r="A60" s="5" t="s">
        <v>94</v>
      </c>
      <c r="K60" s="3">
        <v>16.702000000000002</v>
      </c>
      <c r="L60" s="3">
        <v>14.021000000000001</v>
      </c>
      <c r="M60" s="3">
        <v>14.048999999999999</v>
      </c>
      <c r="N60" s="3">
        <v>27.776</v>
      </c>
      <c r="O60" s="3">
        <v>13.054</v>
      </c>
      <c r="P60" s="3">
        <v>16.440000000000001</v>
      </c>
      <c r="X60" s="3">
        <v>16.702000000000002</v>
      </c>
      <c r="Y60" s="3">
        <v>13.054</v>
      </c>
    </row>
    <row r="61" spans="1:25" s="3" customFormat="1" x14ac:dyDescent="0.3">
      <c r="A61" s="5" t="s">
        <v>108</v>
      </c>
      <c r="K61" s="3">
        <v>13.151999999999999</v>
      </c>
      <c r="L61" s="3">
        <v>11.265000000000001</v>
      </c>
      <c r="M61" s="3">
        <v>10.7</v>
      </c>
      <c r="N61" s="3">
        <v>0.86899999999999999</v>
      </c>
      <c r="O61" s="3">
        <v>0.26200000000000001</v>
      </c>
      <c r="P61" s="3">
        <v>4.8449999999999998</v>
      </c>
      <c r="X61" s="3">
        <v>13.151999999999999</v>
      </c>
      <c r="Y61" s="3">
        <v>0.26200000000000001</v>
      </c>
    </row>
    <row r="62" spans="1:25" s="3" customFormat="1" x14ac:dyDescent="0.3">
      <c r="A62" s="5" t="s">
        <v>109</v>
      </c>
      <c r="K62" s="3">
        <v>0.34300000000000003</v>
      </c>
      <c r="L62" s="3">
        <v>10.217000000000001</v>
      </c>
      <c r="M62" s="3">
        <v>0.78200000000000003</v>
      </c>
      <c r="N62" s="3">
        <v>0.51700000000000002</v>
      </c>
      <c r="O62" s="3">
        <v>1.3979999999999999</v>
      </c>
      <c r="P62" s="3">
        <v>0.84699999999999998</v>
      </c>
      <c r="X62" s="3">
        <v>0.34300000000000003</v>
      </c>
      <c r="Y62" s="3">
        <v>1.3979999999999999</v>
      </c>
    </row>
    <row r="63" spans="1:25" s="3" customFormat="1" x14ac:dyDescent="0.3">
      <c r="A63" s="5" t="s">
        <v>110</v>
      </c>
      <c r="K63" s="3">
        <v>7.3019999999999996</v>
      </c>
      <c r="L63" s="3">
        <v>0.72599999999999998</v>
      </c>
      <c r="M63" s="3">
        <v>0.622</v>
      </c>
      <c r="N63" s="3">
        <v>2.8000000000000001E-2</v>
      </c>
      <c r="O63" s="3">
        <v>0.52800000000000002</v>
      </c>
      <c r="P63" s="3">
        <v>0.4</v>
      </c>
      <c r="X63" s="3">
        <v>7.3019999999999996</v>
      </c>
      <c r="Y63" s="3">
        <v>0.52800000000000002</v>
      </c>
    </row>
    <row r="64" spans="1:25" s="44" customFormat="1" x14ac:dyDescent="0.3">
      <c r="A64" s="43" t="s">
        <v>111</v>
      </c>
      <c r="K64" s="44">
        <f t="shared" ref="K64:S64" si="85">SUM(K55:K63)</f>
        <v>266.12900000000002</v>
      </c>
      <c r="L64" s="44">
        <f t="shared" si="85"/>
        <v>561.42799999999988</v>
      </c>
      <c r="M64" s="44">
        <f t="shared" si="85"/>
        <v>1138.1750000000002</v>
      </c>
      <c r="N64" s="44">
        <f t="shared" si="85"/>
        <v>294.64700000000005</v>
      </c>
      <c r="O64" s="44">
        <f t="shared" si="85"/>
        <v>287.39299999999997</v>
      </c>
      <c r="P64" s="44">
        <f>SUM(P55:P63)</f>
        <v>287.96099999999996</v>
      </c>
      <c r="Q64" s="44">
        <f t="shared" si="85"/>
        <v>0</v>
      </c>
      <c r="R64" s="44">
        <f t="shared" si="85"/>
        <v>0</v>
      </c>
      <c r="S64" s="44">
        <f t="shared" si="85"/>
        <v>0</v>
      </c>
      <c r="W64" s="44">
        <f t="shared" ref="W64:Y64" si="86">SUM(W55:W63)</f>
        <v>0</v>
      </c>
      <c r="X64" s="44">
        <f t="shared" si="86"/>
        <v>266.12900000000002</v>
      </c>
      <c r="Y64" s="44">
        <f t="shared" si="86"/>
        <v>287.39299999999997</v>
      </c>
    </row>
    <row r="65" spans="1:25" s="3" customFormat="1" x14ac:dyDescent="0.3">
      <c r="A65" s="5" t="s">
        <v>112</v>
      </c>
      <c r="K65" s="3">
        <v>704.34900000000005</v>
      </c>
      <c r="L65" s="3">
        <v>645.46900000000005</v>
      </c>
      <c r="M65" s="3">
        <v>231.85400000000001</v>
      </c>
      <c r="N65" s="3">
        <v>1057.8030000000001</v>
      </c>
      <c r="O65" s="3">
        <v>1030.299</v>
      </c>
      <c r="P65" s="3">
        <v>1004.798</v>
      </c>
      <c r="X65" s="3">
        <v>704.34900000000005</v>
      </c>
      <c r="Y65" s="3">
        <v>1030.299</v>
      </c>
    </row>
    <row r="66" spans="1:25" s="3" customFormat="1" x14ac:dyDescent="0.3">
      <c r="A66" s="5" t="s">
        <v>113</v>
      </c>
      <c r="K66" s="3">
        <v>131.16399999999999</v>
      </c>
      <c r="L66" s="3">
        <v>145.67099999999999</v>
      </c>
      <c r="M66" s="3">
        <v>155.315</v>
      </c>
      <c r="N66" s="3">
        <v>169.41399999999999</v>
      </c>
      <c r="O66" s="3">
        <v>197.06800000000001</v>
      </c>
      <c r="P66" s="3">
        <v>198.75700000000001</v>
      </c>
      <c r="X66" s="3">
        <v>131.16399999999999</v>
      </c>
      <c r="Y66" s="3">
        <v>197.06800000000001</v>
      </c>
    </row>
    <row r="67" spans="1:25" s="3" customFormat="1" x14ac:dyDescent="0.3">
      <c r="A67" s="5" t="s">
        <v>114</v>
      </c>
      <c r="K67" s="3">
        <v>7.5019999999999998</v>
      </c>
      <c r="L67" s="3">
        <v>7.7629999999999999</v>
      </c>
      <c r="M67" s="3">
        <v>7.8860000000000001</v>
      </c>
      <c r="N67" s="3">
        <v>8.0220000000000002</v>
      </c>
      <c r="O67" s="3">
        <v>13.244999999999999</v>
      </c>
      <c r="P67" s="3">
        <v>13.685</v>
      </c>
      <c r="X67" s="3">
        <v>7.5019999999999998</v>
      </c>
      <c r="Y67" s="3">
        <v>13.244999999999999</v>
      </c>
    </row>
    <row r="68" spans="1:25" s="3" customFormat="1" x14ac:dyDescent="0.3">
      <c r="A68" s="5" t="s">
        <v>94</v>
      </c>
      <c r="K68" s="3">
        <v>0.69099999999999995</v>
      </c>
      <c r="L68" s="3">
        <v>0.79700000000000004</v>
      </c>
      <c r="M68" s="3">
        <v>1.0940000000000001</v>
      </c>
      <c r="N68" s="3">
        <v>3.7429999999999999</v>
      </c>
      <c r="O68" s="3">
        <v>6.5000000000000002E-2</v>
      </c>
      <c r="P68" s="3">
        <v>1.054</v>
      </c>
      <c r="X68" s="3">
        <v>0.69099999999999995</v>
      </c>
      <c r="Y68" s="3">
        <v>6.5000000000000002E-2</v>
      </c>
    </row>
    <row r="69" spans="1:25" s="3" customFormat="1" x14ac:dyDescent="0.3">
      <c r="A69" s="5" t="s">
        <v>118</v>
      </c>
      <c r="K69" s="3">
        <v>0</v>
      </c>
      <c r="L69" s="3">
        <v>0.4</v>
      </c>
      <c r="M69" s="3">
        <v>0.26900000000000002</v>
      </c>
      <c r="N69" s="3">
        <v>0.13600000000000001</v>
      </c>
      <c r="X69" s="3">
        <v>0</v>
      </c>
    </row>
    <row r="70" spans="1:25" s="44" customFormat="1" x14ac:dyDescent="0.3">
      <c r="A70" s="43" t="s">
        <v>117</v>
      </c>
      <c r="K70" s="44">
        <f t="shared" ref="K70:M70" si="87">SUM(K65:K69)+K64</f>
        <v>1109.835</v>
      </c>
      <c r="L70" s="44">
        <f t="shared" si="87"/>
        <v>1361.528</v>
      </c>
      <c r="M70" s="44">
        <f t="shared" si="87"/>
        <v>1534.5930000000003</v>
      </c>
      <c r="N70" s="44">
        <f>SUM(N65:N69)+N64</f>
        <v>1533.7649999999999</v>
      </c>
      <c r="O70" s="44">
        <f t="shared" ref="O70:S70" si="88">SUM(O65:O68)+O64</f>
        <v>1528.07</v>
      </c>
      <c r="P70" s="44">
        <f>SUM(P65:P68)+P64</f>
        <v>1506.2550000000001</v>
      </c>
      <c r="Q70" s="44">
        <f t="shared" si="88"/>
        <v>0</v>
      </c>
      <c r="R70" s="44">
        <f t="shared" si="88"/>
        <v>0</v>
      </c>
      <c r="S70" s="44">
        <f t="shared" si="88"/>
        <v>0</v>
      </c>
      <c r="W70" s="44">
        <f t="shared" ref="W70:Y70" si="89">SUM(W65:W68)+W64</f>
        <v>0</v>
      </c>
      <c r="X70" s="44">
        <f t="shared" ref="X70" si="90">SUM(X65:X69)+X64</f>
        <v>1109.835</v>
      </c>
      <c r="Y70" s="44">
        <f t="shared" si="89"/>
        <v>1528.07</v>
      </c>
    </row>
    <row r="71" spans="1:25" s="3" customFormat="1" x14ac:dyDescent="0.3">
      <c r="A71" s="5" t="s">
        <v>115</v>
      </c>
      <c r="K71" s="3">
        <v>1169.6469999999999</v>
      </c>
      <c r="L71" s="3">
        <v>1220.991</v>
      </c>
      <c r="M71" s="3">
        <v>1255.4100000000001</v>
      </c>
      <c r="N71" s="3">
        <v>1455.1020000000001</v>
      </c>
      <c r="O71" s="3">
        <v>1552.721</v>
      </c>
      <c r="P71" s="3">
        <v>1548.4369999999999</v>
      </c>
      <c r="X71" s="3">
        <v>1169.6469999999999</v>
      </c>
      <c r="Y71" s="3">
        <v>1552.721</v>
      </c>
    </row>
    <row r="72" spans="1:25" s="44" customFormat="1" x14ac:dyDescent="0.3">
      <c r="A72" s="43" t="s">
        <v>116</v>
      </c>
      <c r="K72" s="44">
        <f t="shared" ref="K72:S72" si="91">K71+K70</f>
        <v>2279.482</v>
      </c>
      <c r="L72" s="44">
        <f t="shared" si="91"/>
        <v>2582.5190000000002</v>
      </c>
      <c r="M72" s="44">
        <f t="shared" si="91"/>
        <v>2790.0030000000006</v>
      </c>
      <c r="N72" s="44">
        <f t="shared" si="91"/>
        <v>2988.8670000000002</v>
      </c>
      <c r="O72" s="44">
        <f t="shared" si="91"/>
        <v>3080.7910000000002</v>
      </c>
      <c r="P72" s="44">
        <f>P71+P70</f>
        <v>3054.692</v>
      </c>
      <c r="Q72" s="44">
        <f t="shared" si="91"/>
        <v>0</v>
      </c>
      <c r="R72" s="44">
        <f t="shared" si="91"/>
        <v>0</v>
      </c>
      <c r="S72" s="44">
        <f t="shared" si="91"/>
        <v>0</v>
      </c>
      <c r="W72" s="44">
        <f t="shared" ref="W72:Y72" si="92">W71+W70</f>
        <v>0</v>
      </c>
      <c r="X72" s="44">
        <f t="shared" si="92"/>
        <v>2279.482</v>
      </c>
      <c r="Y72" s="44">
        <f t="shared" si="92"/>
        <v>3080.7910000000002</v>
      </c>
    </row>
    <row r="73" spans="1:25" s="72" customFormat="1" x14ac:dyDescent="0.3">
      <c r="A73" s="71"/>
    </row>
    <row r="74" spans="1:25" s="74" customFormat="1" x14ac:dyDescent="0.3">
      <c r="A74" s="73" t="s">
        <v>160</v>
      </c>
      <c r="L74" s="74">
        <f t="shared" ref="L74:N74" si="93">L111+L96+L90</f>
        <v>17.031599999999997</v>
      </c>
      <c r="M74" s="74">
        <f t="shared" si="93"/>
        <v>-17.270599999999916</v>
      </c>
      <c r="N74" s="74">
        <f t="shared" si="93"/>
        <v>121.54199999999994</v>
      </c>
      <c r="O74" s="74">
        <f>O111+O96+O90</f>
        <v>42.708000000000027</v>
      </c>
      <c r="Y74" s="74">
        <f>Y111+Y96+Y90</f>
        <v>164.01100000000008</v>
      </c>
    </row>
    <row r="75" spans="1:25" s="76" customFormat="1" x14ac:dyDescent="0.3">
      <c r="A75" s="75" t="s">
        <v>159</v>
      </c>
      <c r="L75" s="76">
        <f t="shared" ref="L75:N75" si="94">L90+L91</f>
        <v>-189.09739999999999</v>
      </c>
      <c r="M75" s="76">
        <f t="shared" si="94"/>
        <v>-126.19459999999995</v>
      </c>
      <c r="N75" s="76">
        <f t="shared" si="94"/>
        <v>-3.6290000000001044</v>
      </c>
      <c r="O75" s="76">
        <f>O90+O91</f>
        <v>65.455000000000069</v>
      </c>
      <c r="Y75" s="76">
        <f>Y90+Y91</f>
        <v>-253.46600000000001</v>
      </c>
    </row>
    <row r="77" spans="1:25" x14ac:dyDescent="0.3">
      <c r="A77" s="6" t="s">
        <v>120</v>
      </c>
      <c r="L77" s="3">
        <f>L22</f>
        <v>50.257000000000012</v>
      </c>
      <c r="M77" s="3">
        <f>M22</f>
        <v>31.825999999999993</v>
      </c>
      <c r="N77" s="3">
        <f>N22</f>
        <v>38.779000000000003</v>
      </c>
      <c r="O77" s="3">
        <f>O22</f>
        <v>95.003999999999991</v>
      </c>
      <c r="P77" s="3">
        <f>P22</f>
        <v>6.4380000000000059</v>
      </c>
      <c r="Y77" s="3">
        <f>SUM(L77:O77)</f>
        <v>215.86599999999999</v>
      </c>
    </row>
    <row r="78" spans="1:25" x14ac:dyDescent="0.3">
      <c r="A78" s="6" t="s">
        <v>121</v>
      </c>
      <c r="L78">
        <v>1.95</v>
      </c>
      <c r="M78">
        <f>2.186-L78</f>
        <v>0.23599999999999999</v>
      </c>
      <c r="N78">
        <f>3.747-L78-M78</f>
        <v>1.5609999999999999</v>
      </c>
      <c r="O78">
        <f>4.242-L78-M78-N78</f>
        <v>0.49500000000000011</v>
      </c>
      <c r="Y78" s="3">
        <f t="shared" ref="Y78:Y110" si="95">SUM(L78:O78)</f>
        <v>4.242</v>
      </c>
    </row>
    <row r="79" spans="1:25" x14ac:dyDescent="0.3">
      <c r="A79" s="6" t="s">
        <v>68</v>
      </c>
      <c r="L79">
        <v>81.131</v>
      </c>
      <c r="M79">
        <f>174.142-L79</f>
        <v>93.010999999999996</v>
      </c>
      <c r="N79">
        <f>291.562-L79-M79</f>
        <v>117.42000000000002</v>
      </c>
      <c r="O79">
        <f>424.424-L79-M79-N79</f>
        <v>132.86199999999999</v>
      </c>
      <c r="Y79" s="3">
        <f t="shared" si="95"/>
        <v>424.42399999999998</v>
      </c>
    </row>
    <row r="80" spans="1:25" x14ac:dyDescent="0.3">
      <c r="A80" s="6" t="s">
        <v>122</v>
      </c>
      <c r="L80">
        <v>0.11799999999999999</v>
      </c>
      <c r="M80">
        <f>0.238-L80</f>
        <v>0.12</v>
      </c>
      <c r="N80">
        <f>0.36-L80-M80</f>
        <v>0.122</v>
      </c>
      <c r="O80">
        <f>0.522-L80-M80-N80</f>
        <v>0.16200000000000003</v>
      </c>
      <c r="Y80" s="3">
        <f t="shared" si="95"/>
        <v>0.52200000000000002</v>
      </c>
    </row>
    <row r="81" spans="1:25" x14ac:dyDescent="0.3">
      <c r="A81" s="6" t="s">
        <v>71</v>
      </c>
      <c r="L81">
        <v>4.0540000000000003</v>
      </c>
      <c r="M81">
        <f>8.038-L81</f>
        <v>3.984</v>
      </c>
      <c r="N81">
        <f>22.095-L81-M81</f>
        <v>14.056999999999997</v>
      </c>
      <c r="O81">
        <f>25.957-L81-M81-N81</f>
        <v>3.8620000000000001</v>
      </c>
      <c r="Y81" s="3">
        <f t="shared" si="95"/>
        <v>25.957000000000001</v>
      </c>
    </row>
    <row r="82" spans="1:25" x14ac:dyDescent="0.3">
      <c r="A82" s="6" t="s">
        <v>123</v>
      </c>
      <c r="L82">
        <v>2.6680000000000001</v>
      </c>
      <c r="M82">
        <f>5.704-L82</f>
        <v>3.0359999999999996</v>
      </c>
      <c r="N82">
        <f>9.352-L82-M82</f>
        <v>3.6480000000000006</v>
      </c>
      <c r="O82">
        <f>11.411-L82-M82-N82</f>
        <v>2.0589999999999984</v>
      </c>
      <c r="Y82" s="3">
        <f t="shared" si="95"/>
        <v>11.410999999999998</v>
      </c>
    </row>
    <row r="83" spans="1:25" x14ac:dyDescent="0.3">
      <c r="A83" s="6" t="s">
        <v>124</v>
      </c>
      <c r="L83">
        <v>4.29</v>
      </c>
      <c r="M83">
        <f>8.627-L83</f>
        <v>4.3370000000000006</v>
      </c>
      <c r="N83">
        <f>12.66-L83-M83</f>
        <v>4.0330000000000004</v>
      </c>
      <c r="O83">
        <f>15.14-L83-M83-N83</f>
        <v>2.4800000000000004</v>
      </c>
      <c r="Y83" s="3">
        <f t="shared" si="95"/>
        <v>15.14</v>
      </c>
    </row>
    <row r="84" spans="1:25" x14ac:dyDescent="0.3">
      <c r="A84" s="6" t="s">
        <v>125</v>
      </c>
      <c r="L84">
        <v>-5.3144</v>
      </c>
      <c r="M84">
        <f>-6.017-L84</f>
        <v>-0.70260000000000034</v>
      </c>
      <c r="N84">
        <f>9.866-L84-M84</f>
        <v>15.882999999999999</v>
      </c>
      <c r="O84">
        <f>-24.194-27.602-L84-M84-N84</f>
        <v>-61.661999999999992</v>
      </c>
      <c r="Q84">
        <f>-21.032+30.898</f>
        <v>9.8659999999999997</v>
      </c>
      <c r="Y84" s="3">
        <f t="shared" si="95"/>
        <v>-51.795999999999992</v>
      </c>
    </row>
    <row r="85" spans="1:25" x14ac:dyDescent="0.3">
      <c r="A85" s="6" t="s">
        <v>89</v>
      </c>
      <c r="O85">
        <v>27.3</v>
      </c>
      <c r="Y85" s="3">
        <f t="shared" si="95"/>
        <v>27.3</v>
      </c>
    </row>
    <row r="86" spans="1:25" x14ac:dyDescent="0.3">
      <c r="A86" s="6" t="s">
        <v>113</v>
      </c>
      <c r="L86">
        <v>14.507</v>
      </c>
      <c r="M86">
        <f>24.151-L86</f>
        <v>9.6440000000000001</v>
      </c>
      <c r="N86">
        <f>38.251-L86-M86</f>
        <v>14.1</v>
      </c>
      <c r="O86">
        <f>65.905-L86-M86-N86</f>
        <v>27.654000000000003</v>
      </c>
      <c r="Y86" s="3">
        <f t="shared" si="95"/>
        <v>65.905000000000001</v>
      </c>
    </row>
    <row r="87" spans="1:25" x14ac:dyDescent="0.3">
      <c r="A87" s="6" t="s">
        <v>91</v>
      </c>
      <c r="L87">
        <v>15.617000000000001</v>
      </c>
      <c r="M87">
        <f>-4.378-L87</f>
        <v>-19.995000000000001</v>
      </c>
      <c r="N87">
        <f>-29.385-L87-M87</f>
        <v>-25.007000000000001</v>
      </c>
      <c r="O87">
        <f>2.007-L87-M87-N87</f>
        <v>31.392000000000003</v>
      </c>
      <c r="Y87" s="3">
        <f t="shared" si="95"/>
        <v>2.0070000000000014</v>
      </c>
    </row>
    <row r="88" spans="1:25" x14ac:dyDescent="0.3">
      <c r="A88" s="6" t="s">
        <v>126</v>
      </c>
      <c r="L88">
        <v>-2.5670000000000002</v>
      </c>
      <c r="M88">
        <f>3.941-L88</f>
        <v>6.508</v>
      </c>
      <c r="N88">
        <f>-1.628-L88-M88</f>
        <v>-5.569</v>
      </c>
      <c r="O88">
        <f>6.923-L88-M88-N88</f>
        <v>8.5510000000000002</v>
      </c>
      <c r="Y88" s="3">
        <f t="shared" si="95"/>
        <v>6.923</v>
      </c>
    </row>
    <row r="89" spans="1:25" x14ac:dyDescent="0.3">
      <c r="A89" s="6" t="s">
        <v>127</v>
      </c>
      <c r="L89">
        <v>23.295000000000002</v>
      </c>
      <c r="M89">
        <f>64.961-L89</f>
        <v>41.665999999999997</v>
      </c>
      <c r="N89">
        <f>16.7-L89-M89</f>
        <v>-48.260999999999996</v>
      </c>
      <c r="O89">
        <f>8.488-L89-M89-N89</f>
        <v>-8.2120000000000033</v>
      </c>
      <c r="Y89" s="3">
        <f t="shared" si="95"/>
        <v>8.4879999999999995</v>
      </c>
    </row>
    <row r="90" spans="1:25" s="47" customFormat="1" x14ac:dyDescent="0.3">
      <c r="A90" s="46" t="s">
        <v>128</v>
      </c>
      <c r="L90" s="44">
        <f>SUM(L77:L89)</f>
        <v>190.00560000000002</v>
      </c>
      <c r="M90" s="44">
        <f>SUM(M77:M89)</f>
        <v>173.6704</v>
      </c>
      <c r="N90" s="44">
        <f>521.742-L90-M90</f>
        <v>158.06599999999995</v>
      </c>
      <c r="O90" s="44">
        <f>756.389-L90-M90-N90</f>
        <v>234.64700000000002</v>
      </c>
      <c r="P90" s="44">
        <f>SUM(P77:P89)</f>
        <v>6.4380000000000059</v>
      </c>
      <c r="Q90" s="44">
        <f>SUM(Q77:Q89)</f>
        <v>9.8659999999999997</v>
      </c>
      <c r="R90" s="44">
        <f>SUM(R77:R89)</f>
        <v>0</v>
      </c>
      <c r="S90" s="44">
        <f>SUM(S77:S89)</f>
        <v>0</v>
      </c>
      <c r="Y90" s="44">
        <f>SUM(L90:O90)</f>
        <v>756.38900000000001</v>
      </c>
    </row>
    <row r="91" spans="1:25" x14ac:dyDescent="0.3">
      <c r="A91" s="6" t="s">
        <v>129</v>
      </c>
      <c r="L91">
        <v>-379.10300000000001</v>
      </c>
      <c r="M91">
        <f>-678.968-L91</f>
        <v>-299.86499999999995</v>
      </c>
      <c r="N91">
        <f>-840.663-L91-M91</f>
        <v>-161.69500000000005</v>
      </c>
      <c r="O91">
        <f>-1009.855-L91-M91-N91</f>
        <v>-169.19199999999995</v>
      </c>
      <c r="Y91" s="3">
        <f t="shared" si="95"/>
        <v>-1009.855</v>
      </c>
    </row>
    <row r="92" spans="1:25" x14ac:dyDescent="0.3">
      <c r="A92" s="6" t="s">
        <v>152</v>
      </c>
      <c r="L92">
        <v>65.061999999999998</v>
      </c>
      <c r="M92">
        <f>74.736-L92</f>
        <v>9.6740000000000066</v>
      </c>
      <c r="N92">
        <f>-86.468-L92-M92</f>
        <v>-161.20400000000001</v>
      </c>
      <c r="O92">
        <f>-100.802-L92-M92-N92</f>
        <v>-14.334000000000003</v>
      </c>
      <c r="Y92" s="3">
        <f t="shared" si="95"/>
        <v>-100.80200000000001</v>
      </c>
    </row>
    <row r="93" spans="1:25" x14ac:dyDescent="0.3">
      <c r="A93" s="6" t="s">
        <v>130</v>
      </c>
      <c r="L93">
        <v>-5.4630000000000001</v>
      </c>
      <c r="M93">
        <f>-7.789-L93</f>
        <v>-2.3259999999999996</v>
      </c>
      <c r="N93">
        <f>-9.602-L93-M93</f>
        <v>-1.8130000000000006</v>
      </c>
      <c r="O93">
        <f>-15.085-L93-M93-N93</f>
        <v>-5.4829999999999997</v>
      </c>
      <c r="Y93" s="3">
        <f t="shared" si="95"/>
        <v>-15.085000000000001</v>
      </c>
    </row>
    <row r="94" spans="1:25" x14ac:dyDescent="0.3">
      <c r="A94" s="6" t="s">
        <v>153</v>
      </c>
      <c r="L94">
        <v>0</v>
      </c>
      <c r="M94">
        <f>-0.397-L94</f>
        <v>-0.39700000000000002</v>
      </c>
      <c r="N94">
        <f>-0.409-L94-M94</f>
        <v>-1.1999999999999955E-2</v>
      </c>
      <c r="O94">
        <f>0-L94-M94-N94</f>
        <v>0.40899999999999997</v>
      </c>
      <c r="Y94" s="3">
        <f t="shared" si="95"/>
        <v>0</v>
      </c>
    </row>
    <row r="95" spans="1:25" x14ac:dyDescent="0.3">
      <c r="A95" s="6" t="s">
        <v>131</v>
      </c>
      <c r="L95">
        <v>-1.7999999999999999E-2</v>
      </c>
      <c r="M95">
        <f>-0.103-L95</f>
        <v>-8.4999999999999992E-2</v>
      </c>
      <c r="N95">
        <f>-0.103-L95-M95</f>
        <v>0</v>
      </c>
      <c r="O95">
        <f>-0.193-L95-M95-N95</f>
        <v>-9.0000000000000024E-2</v>
      </c>
      <c r="Y95" s="3">
        <f t="shared" si="95"/>
        <v>-0.193</v>
      </c>
    </row>
    <row r="96" spans="1:25" s="47" customFormat="1" x14ac:dyDescent="0.3">
      <c r="A96" s="46" t="s">
        <v>132</v>
      </c>
      <c r="L96" s="47">
        <f>SUM(L91:L95)</f>
        <v>-319.52199999999999</v>
      </c>
      <c r="M96" s="47">
        <f>SUM(M91:M95)</f>
        <v>-292.99899999999991</v>
      </c>
      <c r="N96" s="47">
        <f>SUM(N91:N95)</f>
        <v>-324.72400000000005</v>
      </c>
      <c r="O96" s="47">
        <f t="shared" ref="O96:S96" si="96">SUM(O91:O95)</f>
        <v>-188.68999999999997</v>
      </c>
      <c r="P96" s="47">
        <f t="shared" si="96"/>
        <v>0</v>
      </c>
      <c r="Q96" s="47">
        <f t="shared" si="96"/>
        <v>0</v>
      </c>
      <c r="R96" s="47">
        <f t="shared" si="96"/>
        <v>0</v>
      </c>
      <c r="S96" s="47">
        <f t="shared" si="96"/>
        <v>0</v>
      </c>
      <c r="Y96" s="44">
        <f>SUM(L96:O96)</f>
        <v>-1125.9349999999999</v>
      </c>
    </row>
    <row r="97" spans="1:25" s="70" customFormat="1" x14ac:dyDescent="0.3">
      <c r="A97" s="69" t="s">
        <v>154</v>
      </c>
      <c r="N97" s="70">
        <f>1170-L97-M97</f>
        <v>1170</v>
      </c>
      <c r="O97" s="70">
        <f>1170-N97</f>
        <v>0</v>
      </c>
      <c r="Y97" s="3">
        <f t="shared" si="95"/>
        <v>1170</v>
      </c>
    </row>
    <row r="98" spans="1:25" x14ac:dyDescent="0.3">
      <c r="A98" s="6" t="s">
        <v>133</v>
      </c>
      <c r="L98">
        <v>150</v>
      </c>
      <c r="M98">
        <f>255-L98</f>
        <v>105</v>
      </c>
      <c r="N98">
        <f>255-L98-M98</f>
        <v>0</v>
      </c>
      <c r="O98">
        <f>255-L98-M98-N98</f>
        <v>0</v>
      </c>
      <c r="Y98" s="3">
        <f t="shared" si="95"/>
        <v>255</v>
      </c>
    </row>
    <row r="99" spans="1:25" x14ac:dyDescent="0.3">
      <c r="A99" s="6" t="s">
        <v>155</v>
      </c>
      <c r="N99">
        <v>0</v>
      </c>
      <c r="O99">
        <f>0-N99</f>
        <v>0</v>
      </c>
      <c r="Y99" s="3">
        <f t="shared" si="95"/>
        <v>0</v>
      </c>
    </row>
    <row r="100" spans="1:25" x14ac:dyDescent="0.3">
      <c r="A100" s="6" t="s">
        <v>156</v>
      </c>
      <c r="N100">
        <f>-475-L100-M100</f>
        <v>-475</v>
      </c>
      <c r="O100" s="3">
        <f>-475-N100</f>
        <v>0</v>
      </c>
      <c r="Y100" s="3">
        <f t="shared" si="95"/>
        <v>-475</v>
      </c>
    </row>
    <row r="101" spans="1:25" x14ac:dyDescent="0.3">
      <c r="A101" s="6" t="s">
        <v>157</v>
      </c>
      <c r="N101">
        <f>-4.457-L101-M101</f>
        <v>-4.4569999999999999</v>
      </c>
      <c r="O101">
        <f>-4.457-N101</f>
        <v>0</v>
      </c>
      <c r="Y101" s="3">
        <f t="shared" si="95"/>
        <v>-4.4569999999999999</v>
      </c>
    </row>
    <row r="102" spans="1:25" x14ac:dyDescent="0.3">
      <c r="A102" s="6" t="s">
        <v>158</v>
      </c>
      <c r="N102">
        <v>155.768</v>
      </c>
      <c r="O102">
        <f>155.768-N102</f>
        <v>0</v>
      </c>
      <c r="Y102" s="3">
        <f t="shared" si="95"/>
        <v>155.768</v>
      </c>
    </row>
    <row r="103" spans="1:25" x14ac:dyDescent="0.3">
      <c r="A103" s="6" t="s">
        <v>134</v>
      </c>
      <c r="L103">
        <v>0.14799999999999999</v>
      </c>
      <c r="M103">
        <f>1.728-L103</f>
        <v>1.58</v>
      </c>
      <c r="N103">
        <f>0.148-L103-M103</f>
        <v>-1.58</v>
      </c>
      <c r="O103">
        <f>0.148-L103-M103-N103</f>
        <v>0</v>
      </c>
      <c r="Y103" s="3">
        <f t="shared" si="95"/>
        <v>0.14799999999999991</v>
      </c>
    </row>
    <row r="104" spans="1:25" x14ac:dyDescent="0.3">
      <c r="A104" s="6" t="s">
        <v>135</v>
      </c>
      <c r="L104">
        <v>2E-3</v>
      </c>
      <c r="M104">
        <f>0.148-L104</f>
        <v>0.14599999999999999</v>
      </c>
      <c r="N104">
        <f>1.728-L104-M104</f>
        <v>1.58</v>
      </c>
      <c r="O104">
        <f>4.028-L104-M104-N104</f>
        <v>2.2999999999999998</v>
      </c>
      <c r="Y104" s="3">
        <f t="shared" si="95"/>
        <v>4.0279999999999996</v>
      </c>
    </row>
    <row r="105" spans="1:25" x14ac:dyDescent="0.3">
      <c r="A105" s="6" t="s">
        <v>136</v>
      </c>
      <c r="L105">
        <v>-0.54400000000000004</v>
      </c>
      <c r="M105">
        <f>-1.399-L105</f>
        <v>-0.85499999999999998</v>
      </c>
      <c r="N105">
        <f>-26.401-L105-M105</f>
        <v>-25.001999999999999</v>
      </c>
      <c r="O105">
        <f>-28.444-L105-M105-N105</f>
        <v>-2.0429999999999993</v>
      </c>
      <c r="Y105" s="3">
        <f t="shared" si="95"/>
        <v>-28.443999999999999</v>
      </c>
    </row>
    <row r="106" spans="1:25" x14ac:dyDescent="0.3">
      <c r="A106" s="6" t="s">
        <v>137</v>
      </c>
      <c r="L106">
        <v>-2.7759999999999998</v>
      </c>
      <c r="M106">
        <f>-5.554-L106</f>
        <v>-2.7780000000000005</v>
      </c>
      <c r="N106">
        <f>-8.706-L106-M106</f>
        <v>-3.1519999999999992</v>
      </c>
      <c r="O106">
        <f>-11.864-L106-M106-N106</f>
        <v>-3.1580000000000013</v>
      </c>
      <c r="Y106" s="3">
        <f t="shared" si="95"/>
        <v>-11.864000000000001</v>
      </c>
    </row>
    <row r="107" spans="1:25" x14ac:dyDescent="0.3">
      <c r="A107" s="6" t="s">
        <v>138</v>
      </c>
      <c r="L107">
        <v>-0.28199999999999997</v>
      </c>
      <c r="M107">
        <f>-0.569-L107</f>
        <v>-0.28699999999999998</v>
      </c>
      <c r="N107">
        <f>-0.903-L107-M107</f>
        <v>-0.33400000000000002</v>
      </c>
      <c r="O107">
        <f>-1.251-L107-M107-N107</f>
        <v>-0.34799999999999992</v>
      </c>
      <c r="Y107" s="3">
        <f t="shared" si="95"/>
        <v>-1.2509999999999999</v>
      </c>
    </row>
    <row r="108" spans="1:25" x14ac:dyDescent="0.3">
      <c r="A108" s="6" t="s">
        <v>139</v>
      </c>
      <c r="L108">
        <v>0</v>
      </c>
      <c r="M108">
        <v>0</v>
      </c>
      <c r="N108">
        <v>0</v>
      </c>
      <c r="O108">
        <v>0</v>
      </c>
      <c r="Y108" s="3">
        <f t="shared" si="95"/>
        <v>0</v>
      </c>
    </row>
    <row r="109" spans="1:25" x14ac:dyDescent="0.3">
      <c r="A109" s="6" t="s">
        <v>140</v>
      </c>
      <c r="L109">
        <v>0</v>
      </c>
      <c r="M109">
        <v>0</v>
      </c>
      <c r="N109">
        <f>-525-L109-M109</f>
        <v>-525</v>
      </c>
      <c r="O109">
        <f>0-L109-M109-N109</f>
        <v>525</v>
      </c>
      <c r="Y109" s="3">
        <f t="shared" si="95"/>
        <v>0</v>
      </c>
    </row>
    <row r="110" spans="1:25" x14ac:dyDescent="0.3">
      <c r="A110" s="6" t="s">
        <v>141</v>
      </c>
      <c r="L110">
        <v>0</v>
      </c>
      <c r="M110">
        <f>-0.748-L110</f>
        <v>-0.748</v>
      </c>
      <c r="N110">
        <f>-5.371-L110-M110</f>
        <v>-4.6230000000000002</v>
      </c>
      <c r="O110">
        <f>0-L110-M110-N110</f>
        <v>5.3710000000000004</v>
      </c>
      <c r="Y110" s="3">
        <f t="shared" si="95"/>
        <v>0</v>
      </c>
    </row>
    <row r="111" spans="1:25" s="47" customFormat="1" x14ac:dyDescent="0.3">
      <c r="A111" s="46" t="s">
        <v>142</v>
      </c>
      <c r="L111" s="47">
        <f>SUM(L98:L110)</f>
        <v>146.54799999999997</v>
      </c>
      <c r="M111" s="47">
        <f t="shared" ref="M111:S111" si="97">SUM(M98:M110)</f>
        <v>102.05799999999998</v>
      </c>
      <c r="N111" s="47">
        <f>536.806-L111-M111</f>
        <v>288.20000000000005</v>
      </c>
      <c r="O111" s="47">
        <f>533.557-L111-M111-N111</f>
        <v>-3.2490000000000236</v>
      </c>
      <c r="P111" s="47">
        <f t="shared" si="97"/>
        <v>0</v>
      </c>
      <c r="Q111" s="47">
        <f t="shared" si="97"/>
        <v>0</v>
      </c>
      <c r="R111" s="47">
        <f t="shared" si="97"/>
        <v>0</v>
      </c>
      <c r="S111" s="47">
        <f t="shared" si="97"/>
        <v>0</v>
      </c>
      <c r="Y111" s="44">
        <f>SUM(L111:O111)</f>
        <v>533.55700000000002</v>
      </c>
    </row>
    <row r="112" spans="1:25" x14ac:dyDescent="0.3">
      <c r="A112" s="6" t="s">
        <v>143</v>
      </c>
      <c r="L112">
        <v>17.032</v>
      </c>
      <c r="M112">
        <v>-0.23899999999999999</v>
      </c>
      <c r="N112">
        <v>121.303</v>
      </c>
      <c r="O112">
        <v>164.011</v>
      </c>
    </row>
    <row r="113" spans="1:19" x14ac:dyDescent="0.3">
      <c r="A113" s="6" t="s">
        <v>144</v>
      </c>
      <c r="L113">
        <v>30.504000000000001</v>
      </c>
      <c r="M113">
        <v>30.504000000000001</v>
      </c>
      <c r="N113">
        <v>30.504000000000001</v>
      </c>
      <c r="O113">
        <v>30.504000000000001</v>
      </c>
    </row>
    <row r="114" spans="1:19" s="57" customFormat="1" x14ac:dyDescent="0.3">
      <c r="A114" s="68" t="s">
        <v>145</v>
      </c>
      <c r="L114" s="57">
        <f>SUM(L112:L113)</f>
        <v>47.536000000000001</v>
      </c>
      <c r="M114" s="57">
        <f t="shared" ref="M114:S114" si="98">SUM(M112:M113)</f>
        <v>30.265000000000001</v>
      </c>
      <c r="N114" s="57">
        <f t="shared" si="98"/>
        <v>151.80699999999999</v>
      </c>
      <c r="O114" s="57">
        <f t="shared" si="98"/>
        <v>194.51499999999999</v>
      </c>
      <c r="P114" s="57">
        <f t="shared" si="98"/>
        <v>0</v>
      </c>
      <c r="Q114" s="57">
        <f t="shared" si="98"/>
        <v>0</v>
      </c>
      <c r="R114" s="57">
        <f t="shared" si="98"/>
        <v>0</v>
      </c>
      <c r="S114" s="57">
        <f t="shared" si="98"/>
        <v>0</v>
      </c>
    </row>
    <row r="115" spans="1:19" s="57" customFormat="1" x14ac:dyDescent="0.3">
      <c r="A115" s="68" t="s">
        <v>146</v>
      </c>
    </row>
    <row r="116" spans="1:19" x14ac:dyDescent="0.3">
      <c r="A116" s="6" t="s">
        <v>147</v>
      </c>
      <c r="L116">
        <v>18.077999999999999</v>
      </c>
      <c r="M116">
        <v>51.027000000000001</v>
      </c>
      <c r="N116">
        <v>93.549000000000007</v>
      </c>
    </row>
    <row r="117" spans="1:19" x14ac:dyDescent="0.3">
      <c r="A117" s="6" t="s">
        <v>148</v>
      </c>
      <c r="L117">
        <v>0</v>
      </c>
      <c r="M117">
        <v>0</v>
      </c>
      <c r="N117">
        <v>0</v>
      </c>
    </row>
    <row r="118" spans="1:19" s="57" customFormat="1" x14ac:dyDescent="0.3">
      <c r="A118" s="68" t="s">
        <v>149</v>
      </c>
    </row>
    <row r="119" spans="1:19" x14ac:dyDescent="0.3">
      <c r="A119" s="6" t="s">
        <v>150</v>
      </c>
      <c r="L119">
        <v>0</v>
      </c>
      <c r="M119">
        <v>0</v>
      </c>
      <c r="N119">
        <v>0</v>
      </c>
    </row>
    <row r="120" spans="1:19" x14ac:dyDescent="0.3">
      <c r="A120" s="6" t="s">
        <v>151</v>
      </c>
      <c r="L120">
        <v>0.14299999999999999</v>
      </c>
      <c r="M120">
        <v>0.186</v>
      </c>
      <c r="N120">
        <v>0.24099999999999999</v>
      </c>
    </row>
  </sheetData>
  <phoneticPr fontId="2" type="noConversion"/>
  <hyperlinks>
    <hyperlink ref="A1" location="Main!A1" display="Main" xr:uid="{F11DAF57-F530-4668-9C6A-3624BEB892E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Vinnublöð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Herbert Guðmundsson</cp:lastModifiedBy>
  <dcterms:created xsi:type="dcterms:W3CDTF">2024-04-17T23:07:06Z</dcterms:created>
  <dcterms:modified xsi:type="dcterms:W3CDTF">2024-05-16T02:15:11Z</dcterms:modified>
</cp:coreProperties>
</file>