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"/>
    </mc:Choice>
  </mc:AlternateContent>
  <xr:revisionPtr revIDLastSave="13" documentId="8_{78FBE9B0-89D6-4AD6-9F0D-419DED4DEF69}" xr6:coauthVersionLast="47" xr6:coauthVersionMax="47" xr10:uidLastSave="{D213B0B2-02D0-4E6D-AE9D-230D2612FA36}"/>
  <bookViews>
    <workbookView xWindow="-120" yWindow="-120" windowWidth="29040" windowHeight="16440" activeTab="1" xr2:uid="{47672D5B-C0C9-47F3-9A59-4F962C423500}"/>
  </bookViews>
  <sheets>
    <sheet name="IBM" sheetId="2" r:id="rId1"/>
    <sheet name="MODEL" sheetId="1" r:id="rId2"/>
    <sheet name="Segments" sheetId="3" r:id="rId3"/>
    <sheet name="Analy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AC18" i="1" s="1"/>
  <c r="AD18" i="1" s="1"/>
  <c r="AE18" i="1" s="1"/>
  <c r="AF18" i="1" s="1"/>
  <c r="AG18" i="1" s="1"/>
  <c r="AH18" i="1" s="1"/>
  <c r="AI18" i="1" s="1"/>
  <c r="AA18" i="1"/>
  <c r="Z18" i="1"/>
  <c r="Z14" i="1"/>
  <c r="AA14" i="1" s="1"/>
  <c r="AB14" i="1" s="1"/>
  <c r="AC14" i="1" s="1"/>
  <c r="AD14" i="1" s="1"/>
  <c r="AE14" i="1" s="1"/>
  <c r="AF14" i="1" s="1"/>
  <c r="AG14" i="1" s="1"/>
  <c r="AH14" i="1" s="1"/>
  <c r="AI14" i="1" s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Y6" i="1"/>
  <c r="Y28" i="1" s="1"/>
  <c r="Y18" i="1"/>
  <c r="Y15" i="1"/>
  <c r="Y14" i="1"/>
  <c r="Z28" i="1"/>
  <c r="Z6" i="1"/>
  <c r="AA6" i="1" s="1"/>
  <c r="Q32" i="1"/>
  <c r="Q31" i="1"/>
  <c r="Q30" i="1"/>
  <c r="Q28" i="1"/>
  <c r="P25" i="1"/>
  <c r="P24" i="1"/>
  <c r="P22" i="1"/>
  <c r="P19" i="1"/>
  <c r="P20" i="1" s="1"/>
  <c r="P12" i="1"/>
  <c r="P37" i="1"/>
  <c r="P35" i="1"/>
  <c r="Q35" i="1"/>
  <c r="R32" i="1"/>
  <c r="R31" i="1"/>
  <c r="R30" i="1"/>
  <c r="Q19" i="1"/>
  <c r="Q6" i="1"/>
  <c r="F25" i="3"/>
  <c r="F24" i="3"/>
  <c r="F17" i="3"/>
  <c r="F11" i="3"/>
  <c r="F7" i="3"/>
  <c r="F3" i="3"/>
  <c r="V32" i="1"/>
  <c r="U32" i="1"/>
  <c r="T32" i="1"/>
  <c r="S32" i="1"/>
  <c r="I31" i="1"/>
  <c r="H31" i="1"/>
  <c r="E31" i="1"/>
  <c r="D31" i="1"/>
  <c r="I30" i="1"/>
  <c r="H30" i="1"/>
  <c r="E30" i="1"/>
  <c r="D30" i="1"/>
  <c r="V31" i="1"/>
  <c r="U31" i="1"/>
  <c r="T31" i="1"/>
  <c r="V30" i="1"/>
  <c r="U30" i="1"/>
  <c r="T30" i="1"/>
  <c r="S31" i="1"/>
  <c r="S30" i="1"/>
  <c r="AA26" i="1"/>
  <c r="AB26" i="1" s="1"/>
  <c r="AC26" i="1" s="1"/>
  <c r="AD26" i="1" s="1"/>
  <c r="AE26" i="1" s="1"/>
  <c r="AF26" i="1" s="1"/>
  <c r="AG26" i="1" s="1"/>
  <c r="AH26" i="1" s="1"/>
  <c r="AI26" i="1" s="1"/>
  <c r="Z26" i="1"/>
  <c r="Y26" i="1"/>
  <c r="W26" i="1"/>
  <c r="W23" i="1"/>
  <c r="X26" i="1"/>
  <c r="AT19" i="1"/>
  <c r="AS19" i="1"/>
  <c r="AR19" i="1"/>
  <c r="AQ19" i="1"/>
  <c r="AP19" i="1"/>
  <c r="AO19" i="1"/>
  <c r="AN19" i="1"/>
  <c r="AM19" i="1"/>
  <c r="AL19" i="1"/>
  <c r="AK19" i="1"/>
  <c r="AJ19" i="1"/>
  <c r="V19" i="1"/>
  <c r="U19" i="1"/>
  <c r="T19" i="1"/>
  <c r="S19" i="1"/>
  <c r="R19" i="1"/>
  <c r="N19" i="1"/>
  <c r="M19" i="1"/>
  <c r="L19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V11" i="1"/>
  <c r="U11" i="1"/>
  <c r="T11" i="1"/>
  <c r="S11" i="1"/>
  <c r="R11" i="1"/>
  <c r="N11" i="1"/>
  <c r="M11" i="1"/>
  <c r="L11" i="1"/>
  <c r="AT6" i="1"/>
  <c r="AS6" i="1"/>
  <c r="AS12" i="1" s="1"/>
  <c r="AR6" i="1"/>
  <c r="AQ6" i="1"/>
  <c r="AQ12" i="1" s="1"/>
  <c r="AQ35" i="1" s="1"/>
  <c r="AP6" i="1"/>
  <c r="AP12" i="1" s="1"/>
  <c r="AO6" i="1"/>
  <c r="AN6" i="1"/>
  <c r="AM6" i="1"/>
  <c r="AL6" i="1"/>
  <c r="AK6" i="1"/>
  <c r="AK12" i="1" s="1"/>
  <c r="AJ6" i="1"/>
  <c r="V6" i="1"/>
  <c r="V28" i="1" s="1"/>
  <c r="U6" i="1"/>
  <c r="U28" i="1" s="1"/>
  <c r="T6" i="1"/>
  <c r="S6" i="1"/>
  <c r="S28" i="1" s="1"/>
  <c r="R6" i="1"/>
  <c r="R28" i="1" s="1"/>
  <c r="N6" i="1"/>
  <c r="N12" i="1" s="1"/>
  <c r="M6" i="1"/>
  <c r="M12" i="1" s="1"/>
  <c r="L6" i="1"/>
  <c r="J23" i="1"/>
  <c r="X23" i="1" s="1"/>
  <c r="J21" i="1"/>
  <c r="X21" i="1" s="1"/>
  <c r="J18" i="1"/>
  <c r="X18" i="1" s="1"/>
  <c r="J17" i="1"/>
  <c r="X17" i="1" s="1"/>
  <c r="J16" i="1"/>
  <c r="X16" i="1" s="1"/>
  <c r="J15" i="1"/>
  <c r="X15" i="1" s="1"/>
  <c r="J14" i="1"/>
  <c r="X14" i="1" s="1"/>
  <c r="X30" i="1" s="1"/>
  <c r="J10" i="1"/>
  <c r="X10" i="1" s="1"/>
  <c r="J9" i="1"/>
  <c r="X9" i="1" s="1"/>
  <c r="J8" i="1"/>
  <c r="X8" i="1" s="1"/>
  <c r="J5" i="1"/>
  <c r="X5" i="1" s="1"/>
  <c r="J4" i="1"/>
  <c r="X4" i="1" s="1"/>
  <c r="J3" i="1"/>
  <c r="X3" i="1" s="1"/>
  <c r="F21" i="1"/>
  <c r="W21" i="1" s="1"/>
  <c r="F18" i="1"/>
  <c r="F17" i="1"/>
  <c r="W17" i="1" s="1"/>
  <c r="F16" i="1"/>
  <c r="W16" i="1" s="1"/>
  <c r="F15" i="1"/>
  <c r="W15" i="1" s="1"/>
  <c r="W31" i="1" s="1"/>
  <c r="F14" i="1"/>
  <c r="W14" i="1" s="1"/>
  <c r="W30" i="1" s="1"/>
  <c r="F10" i="1"/>
  <c r="W10" i="1" s="1"/>
  <c r="F9" i="1"/>
  <c r="W9" i="1" s="1"/>
  <c r="F8" i="1"/>
  <c r="W8" i="1" s="1"/>
  <c r="F5" i="1"/>
  <c r="W5" i="1" s="1"/>
  <c r="F4" i="1"/>
  <c r="W4" i="1" s="1"/>
  <c r="F3" i="1"/>
  <c r="W3" i="1" s="1"/>
  <c r="D19" i="1"/>
  <c r="C19" i="1"/>
  <c r="D11" i="1"/>
  <c r="C11" i="1"/>
  <c r="D6" i="1"/>
  <c r="C6" i="1"/>
  <c r="L6" i="2"/>
  <c r="L5" i="2"/>
  <c r="L4" i="2"/>
  <c r="K19" i="1"/>
  <c r="H19" i="1"/>
  <c r="G19" i="1"/>
  <c r="E19" i="1"/>
  <c r="I19" i="1"/>
  <c r="K11" i="1"/>
  <c r="H11" i="1"/>
  <c r="G11" i="1"/>
  <c r="E11" i="1"/>
  <c r="I11" i="1"/>
  <c r="K6" i="1"/>
  <c r="H6" i="1"/>
  <c r="G6" i="1"/>
  <c r="G28" i="1" s="1"/>
  <c r="E6" i="1"/>
  <c r="I6" i="1"/>
  <c r="AB6" i="1" l="1"/>
  <c r="AB28" i="1" s="1"/>
  <c r="AA28" i="1"/>
  <c r="AC6" i="1"/>
  <c r="AD6" i="1" s="1"/>
  <c r="P38" i="1"/>
  <c r="P36" i="1"/>
  <c r="Y19" i="1"/>
  <c r="D29" i="1"/>
  <c r="AN12" i="1"/>
  <c r="T28" i="1"/>
  <c r="AO12" i="1"/>
  <c r="AO35" i="1" s="1"/>
  <c r="Q12" i="1"/>
  <c r="Q20" i="1" s="1"/>
  <c r="L12" i="1"/>
  <c r="AJ12" i="1"/>
  <c r="AR12" i="1"/>
  <c r="L8" i="2"/>
  <c r="AL30" i="1" s="1"/>
  <c r="L7" i="2"/>
  <c r="X11" i="1"/>
  <c r="H29" i="1"/>
  <c r="AM12" i="1"/>
  <c r="AM20" i="1" s="1"/>
  <c r="AM22" i="1" s="1"/>
  <c r="F30" i="1"/>
  <c r="G31" i="1"/>
  <c r="F31" i="1"/>
  <c r="K12" i="1"/>
  <c r="K20" i="1" s="1"/>
  <c r="G30" i="1"/>
  <c r="I12" i="1"/>
  <c r="I35" i="1" s="1"/>
  <c r="J31" i="1"/>
  <c r="X31" i="1"/>
  <c r="J30" i="1"/>
  <c r="AP20" i="1"/>
  <c r="AP36" i="1" s="1"/>
  <c r="R12" i="1"/>
  <c r="R35" i="1" s="1"/>
  <c r="E12" i="1"/>
  <c r="E35" i="1" s="1"/>
  <c r="D12" i="1"/>
  <c r="D35" i="1" s="1"/>
  <c r="AL12" i="1"/>
  <c r="AL20" i="1" s="1"/>
  <c r="AT12" i="1"/>
  <c r="AT20" i="1" s="1"/>
  <c r="X6" i="1"/>
  <c r="F6" i="1"/>
  <c r="F29" i="1" s="1"/>
  <c r="I29" i="1"/>
  <c r="E29" i="1"/>
  <c r="AQ20" i="1"/>
  <c r="AQ38" i="1" s="1"/>
  <c r="K35" i="1"/>
  <c r="L20" i="1"/>
  <c r="L35" i="1"/>
  <c r="AJ20" i="1"/>
  <c r="AJ35" i="1"/>
  <c r="AR20" i="1"/>
  <c r="AR35" i="1"/>
  <c r="M35" i="1"/>
  <c r="M20" i="1"/>
  <c r="AK20" i="1"/>
  <c r="AK35" i="1"/>
  <c r="AS20" i="1"/>
  <c r="AS35" i="1"/>
  <c r="AM38" i="1"/>
  <c r="AP38" i="1"/>
  <c r="AP22" i="1"/>
  <c r="W11" i="1"/>
  <c r="AN35" i="1"/>
  <c r="AN20" i="1"/>
  <c r="N35" i="1"/>
  <c r="N20" i="1"/>
  <c r="W6" i="1"/>
  <c r="W28" i="1" s="1"/>
  <c r="AT35" i="1"/>
  <c r="F19" i="1"/>
  <c r="AP35" i="1"/>
  <c r="W18" i="1"/>
  <c r="AM35" i="1"/>
  <c r="S12" i="1"/>
  <c r="S35" i="1" s="1"/>
  <c r="T12" i="1"/>
  <c r="T35" i="1" s="1"/>
  <c r="U12" i="1"/>
  <c r="U35" i="1" s="1"/>
  <c r="V12" i="1"/>
  <c r="V20" i="1" s="1"/>
  <c r="X19" i="1"/>
  <c r="J19" i="1"/>
  <c r="J11" i="1"/>
  <c r="J6" i="1"/>
  <c r="F11" i="1"/>
  <c r="F12" i="1"/>
  <c r="F35" i="1" s="1"/>
  <c r="G12" i="1"/>
  <c r="G35" i="1" s="1"/>
  <c r="C12" i="1"/>
  <c r="D20" i="1"/>
  <c r="H12" i="1"/>
  <c r="H20" i="1" s="1"/>
  <c r="H38" i="1" s="1"/>
  <c r="AA19" i="1" l="1"/>
  <c r="Z19" i="1"/>
  <c r="Q22" i="1"/>
  <c r="Q24" i="1" s="1"/>
  <c r="Q38" i="1"/>
  <c r="Q36" i="1"/>
  <c r="I20" i="1"/>
  <c r="AO20" i="1"/>
  <c r="S20" i="1"/>
  <c r="AQ22" i="1"/>
  <c r="Y12" i="1"/>
  <c r="Y20" i="1" s="1"/>
  <c r="Y21" i="1" s="1"/>
  <c r="W19" i="1"/>
  <c r="W32" i="1"/>
  <c r="X32" i="1"/>
  <c r="AQ36" i="1"/>
  <c r="E20" i="1"/>
  <c r="AL35" i="1"/>
  <c r="AM36" i="1"/>
  <c r="AB19" i="1"/>
  <c r="R20" i="1"/>
  <c r="R22" i="1" s="1"/>
  <c r="R24" i="1" s="1"/>
  <c r="X12" i="1"/>
  <c r="X35" i="1" s="1"/>
  <c r="G29" i="1"/>
  <c r="J12" i="1"/>
  <c r="J35" i="1" s="1"/>
  <c r="J28" i="1"/>
  <c r="J29" i="1"/>
  <c r="AN36" i="1"/>
  <c r="AN22" i="1"/>
  <c r="AN38" i="1"/>
  <c r="AT22" i="1"/>
  <c r="AT36" i="1"/>
  <c r="AT38" i="1"/>
  <c r="E36" i="1"/>
  <c r="E38" i="1"/>
  <c r="E22" i="1"/>
  <c r="E24" i="1" s="1"/>
  <c r="AR38" i="1"/>
  <c r="AR22" i="1"/>
  <c r="AR36" i="1"/>
  <c r="I22" i="1"/>
  <c r="I24" i="1" s="1"/>
  <c r="I36" i="1"/>
  <c r="I38" i="1"/>
  <c r="AO38" i="1"/>
  <c r="AO36" i="1"/>
  <c r="AO22" i="1"/>
  <c r="W12" i="1"/>
  <c r="W20" i="1" s="1"/>
  <c r="W36" i="1" s="1"/>
  <c r="AS22" i="1"/>
  <c r="AS36" i="1"/>
  <c r="AS38" i="1"/>
  <c r="AJ38" i="1"/>
  <c r="AJ22" i="1"/>
  <c r="AJ36" i="1"/>
  <c r="D38" i="1"/>
  <c r="D36" i="1"/>
  <c r="D22" i="1"/>
  <c r="D24" i="1" s="1"/>
  <c r="G20" i="1"/>
  <c r="G38" i="1" s="1"/>
  <c r="AK22" i="1"/>
  <c r="AK36" i="1"/>
  <c r="AK38" i="1"/>
  <c r="L22" i="1"/>
  <c r="L24" i="1" s="1"/>
  <c r="L36" i="1"/>
  <c r="L38" i="1"/>
  <c r="M36" i="1"/>
  <c r="M38" i="1"/>
  <c r="M22" i="1"/>
  <c r="M24" i="1" s="1"/>
  <c r="K38" i="1"/>
  <c r="K22" i="1"/>
  <c r="K24" i="1" s="1"/>
  <c r="K36" i="1"/>
  <c r="N36" i="1"/>
  <c r="N38" i="1"/>
  <c r="N22" i="1"/>
  <c r="N24" i="1" s="1"/>
  <c r="X28" i="1"/>
  <c r="AL22" i="1"/>
  <c r="AL36" i="1"/>
  <c r="AL38" i="1"/>
  <c r="S36" i="1"/>
  <c r="S38" i="1"/>
  <c r="S22" i="1"/>
  <c r="S24" i="1" s="1"/>
  <c r="T20" i="1"/>
  <c r="T38" i="1" s="1"/>
  <c r="U20" i="1"/>
  <c r="U36" i="1" s="1"/>
  <c r="V35" i="1"/>
  <c r="V22" i="1"/>
  <c r="V24" i="1" s="1"/>
  <c r="V36" i="1"/>
  <c r="V38" i="1"/>
  <c r="W35" i="1"/>
  <c r="F20" i="1"/>
  <c r="F38" i="1" s="1"/>
  <c r="C20" i="1"/>
  <c r="C35" i="1"/>
  <c r="H35" i="1"/>
  <c r="H22" i="1"/>
  <c r="H24" i="1" s="1"/>
  <c r="H36" i="1"/>
  <c r="Q25" i="1" l="1"/>
  <c r="Q37" i="1"/>
  <c r="W22" i="1"/>
  <c r="W24" i="1" s="1"/>
  <c r="W38" i="1"/>
  <c r="Z12" i="1"/>
  <c r="Z20" i="1" s="1"/>
  <c r="Z21" i="1" s="1"/>
  <c r="G36" i="1"/>
  <c r="G22" i="1"/>
  <c r="G24" i="1" s="1"/>
  <c r="J20" i="1"/>
  <c r="J38" i="1" s="1"/>
  <c r="AC19" i="1"/>
  <c r="R38" i="1"/>
  <c r="R36" i="1"/>
  <c r="X20" i="1"/>
  <c r="R37" i="1"/>
  <c r="R25" i="1"/>
  <c r="F36" i="1"/>
  <c r="L25" i="1"/>
  <c r="L37" i="1"/>
  <c r="K25" i="1"/>
  <c r="K37" i="1"/>
  <c r="AA12" i="1"/>
  <c r="AA20" i="1" s="1"/>
  <c r="AA21" i="1" s="1"/>
  <c r="E25" i="1"/>
  <c r="E37" i="1"/>
  <c r="N37" i="1"/>
  <c r="N25" i="1"/>
  <c r="Y35" i="1"/>
  <c r="C36" i="1"/>
  <c r="C22" i="1"/>
  <c r="C24" i="1" s="1"/>
  <c r="C38" i="1"/>
  <c r="M25" i="1"/>
  <c r="M37" i="1"/>
  <c r="D25" i="1"/>
  <c r="D37" i="1"/>
  <c r="I37" i="1"/>
  <c r="I25" i="1"/>
  <c r="S37" i="1"/>
  <c r="S25" i="1"/>
  <c r="T22" i="1"/>
  <c r="T24" i="1" s="1"/>
  <c r="T25" i="1" s="1"/>
  <c r="T36" i="1"/>
  <c r="U38" i="1"/>
  <c r="U22" i="1"/>
  <c r="U24" i="1" s="1"/>
  <c r="U25" i="1" s="1"/>
  <c r="V37" i="1"/>
  <c r="V25" i="1"/>
  <c r="W37" i="1"/>
  <c r="W25" i="1"/>
  <c r="F22" i="1"/>
  <c r="F24" i="1" s="1"/>
  <c r="F25" i="1" s="1"/>
  <c r="G37" i="1"/>
  <c r="G25" i="1"/>
  <c r="H37" i="1"/>
  <c r="H25" i="1"/>
  <c r="AC28" i="1" l="1"/>
  <c r="J36" i="1"/>
  <c r="J22" i="1"/>
  <c r="J24" i="1" s="1"/>
  <c r="J37" i="1" s="1"/>
  <c r="J25" i="1"/>
  <c r="AD19" i="1"/>
  <c r="X36" i="1"/>
  <c r="X38" i="1"/>
  <c r="X22" i="1"/>
  <c r="X24" i="1" s="1"/>
  <c r="Y22" i="1"/>
  <c r="Y24" i="1" s="1"/>
  <c r="Y38" i="1"/>
  <c r="Y36" i="1"/>
  <c r="AB12" i="1"/>
  <c r="AB20" i="1" s="1"/>
  <c r="AB21" i="1" s="1"/>
  <c r="C25" i="1"/>
  <c r="C37" i="1"/>
  <c r="Z35" i="1"/>
  <c r="T37" i="1"/>
  <c r="U37" i="1"/>
  <c r="F37" i="1"/>
  <c r="AE6" i="1" l="1"/>
  <c r="AD28" i="1"/>
  <c r="AE19" i="1"/>
  <c r="X37" i="1"/>
  <c r="X25" i="1"/>
  <c r="AA35" i="1"/>
  <c r="Z38" i="1"/>
  <c r="Z22" i="1"/>
  <c r="Z24" i="1" s="1"/>
  <c r="Z36" i="1"/>
  <c r="AC12" i="1"/>
  <c r="AC20" i="1" s="1"/>
  <c r="AC21" i="1" s="1"/>
  <c r="Y37" i="1"/>
  <c r="Y25" i="1"/>
  <c r="AF6" i="1" l="1"/>
  <c r="AE28" i="1"/>
  <c r="AF19" i="1"/>
  <c r="AD12" i="1"/>
  <c r="AD20" i="1" s="1"/>
  <c r="AD21" i="1" s="1"/>
  <c r="Z37" i="1"/>
  <c r="Z25" i="1"/>
  <c r="AB35" i="1"/>
  <c r="AA36" i="1"/>
  <c r="AA22" i="1"/>
  <c r="AA24" i="1" s="1"/>
  <c r="AA38" i="1"/>
  <c r="AG6" i="1" l="1"/>
  <c r="AF28" i="1"/>
  <c r="AG19" i="1"/>
  <c r="AB36" i="1"/>
  <c r="AB38" i="1"/>
  <c r="AB22" i="1"/>
  <c r="AB24" i="1" s="1"/>
  <c r="AA25" i="1"/>
  <c r="AA37" i="1"/>
  <c r="AE12" i="1"/>
  <c r="AE20" i="1" s="1"/>
  <c r="AE21" i="1" s="1"/>
  <c r="AC35" i="1"/>
  <c r="AH6" i="1" l="1"/>
  <c r="AG28" i="1"/>
  <c r="AH19" i="1"/>
  <c r="AI19" i="1"/>
  <c r="AF12" i="1"/>
  <c r="AF20" i="1" s="1"/>
  <c r="AF21" i="1" s="1"/>
  <c r="AD35" i="1"/>
  <c r="AB37" i="1"/>
  <c r="AB25" i="1"/>
  <c r="AC22" i="1"/>
  <c r="AC24" i="1" s="1"/>
  <c r="AC36" i="1"/>
  <c r="AC38" i="1"/>
  <c r="AI6" i="1" l="1"/>
  <c r="AI28" i="1" s="1"/>
  <c r="AH28" i="1"/>
  <c r="AD22" i="1"/>
  <c r="AD24" i="1" s="1"/>
  <c r="AD36" i="1"/>
  <c r="AD38" i="1"/>
  <c r="AC25" i="1"/>
  <c r="AC37" i="1"/>
  <c r="AE35" i="1"/>
  <c r="AG12" i="1"/>
  <c r="AG20" i="1" s="1"/>
  <c r="AG21" i="1" s="1"/>
  <c r="AE36" i="1" l="1"/>
  <c r="AE22" i="1"/>
  <c r="AE24" i="1" s="1"/>
  <c r="AE38" i="1"/>
  <c r="AH12" i="1"/>
  <c r="AH20" i="1" s="1"/>
  <c r="AH21" i="1" s="1"/>
  <c r="AF35" i="1"/>
  <c r="AD25" i="1"/>
  <c r="AD37" i="1"/>
  <c r="AI12" i="1" l="1"/>
  <c r="AI20" i="1" s="1"/>
  <c r="AI21" i="1" s="1"/>
  <c r="AF22" i="1"/>
  <c r="AF24" i="1" s="1"/>
  <c r="AF38" i="1"/>
  <c r="AF36" i="1"/>
  <c r="AG35" i="1"/>
  <c r="AE25" i="1"/>
  <c r="AE37" i="1"/>
  <c r="AI35" i="1" l="1"/>
  <c r="AG38" i="1"/>
  <c r="AG36" i="1"/>
  <c r="AG22" i="1"/>
  <c r="AG24" i="1" s="1"/>
  <c r="AH35" i="1"/>
  <c r="AF25" i="1"/>
  <c r="AF37" i="1"/>
  <c r="AH38" i="1" l="1"/>
  <c r="AH36" i="1"/>
  <c r="AH22" i="1"/>
  <c r="AH24" i="1" s="1"/>
  <c r="AG25" i="1"/>
  <c r="AG37" i="1"/>
  <c r="AI22" i="1"/>
  <c r="AI24" i="1" s="1"/>
  <c r="AJ24" i="1" s="1"/>
  <c r="AI36" i="1"/>
  <c r="AI38" i="1"/>
  <c r="AK24" i="1" l="1"/>
  <c r="AJ37" i="1"/>
  <c r="AJ25" i="1"/>
  <c r="AI25" i="1"/>
  <c r="AI37" i="1"/>
  <c r="AH37" i="1"/>
  <c r="AH25" i="1"/>
  <c r="AL24" i="1" l="1"/>
  <c r="AK25" i="1"/>
  <c r="AK37" i="1"/>
  <c r="AM24" i="1" l="1"/>
  <c r="AL25" i="1"/>
  <c r="AL37" i="1"/>
  <c r="AN24" i="1" l="1"/>
  <c r="AM25" i="1"/>
  <c r="AM37" i="1"/>
  <c r="AO24" i="1" l="1"/>
  <c r="AN25" i="1"/>
  <c r="AN37" i="1"/>
  <c r="AP24" i="1" l="1"/>
  <c r="AO25" i="1"/>
  <c r="AO37" i="1"/>
  <c r="AQ24" i="1" l="1"/>
  <c r="AP37" i="1"/>
  <c r="AP25" i="1"/>
  <c r="AR24" i="1" l="1"/>
  <c r="AQ37" i="1"/>
  <c r="AQ25" i="1"/>
  <c r="AS24" i="1" l="1"/>
  <c r="AR25" i="1"/>
  <c r="AR37" i="1"/>
  <c r="AT24" i="1" l="1"/>
  <c r="AS37" i="1"/>
  <c r="AS25" i="1"/>
  <c r="AU24" i="1" l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AL29" i="1" s="1"/>
  <c r="AL31" i="1" s="1"/>
  <c r="AL32" i="1" s="1"/>
  <c r="AT25" i="1"/>
  <c r="AT37" i="1"/>
</calcChain>
</file>

<file path=xl/sharedStrings.xml><?xml version="1.0" encoding="utf-8"?>
<sst xmlns="http://schemas.openxmlformats.org/spreadsheetml/2006/main" count="123" uniqueCount="100">
  <si>
    <t>Services</t>
  </si>
  <si>
    <t>Sales</t>
  </si>
  <si>
    <t>Financing</t>
  </si>
  <si>
    <t>Revenue</t>
  </si>
  <si>
    <t>Q323</t>
  </si>
  <si>
    <t>Q423</t>
  </si>
  <si>
    <t>Q422</t>
  </si>
  <si>
    <t>Q123</t>
  </si>
  <si>
    <t>Q223</t>
  </si>
  <si>
    <t>Q124</t>
  </si>
  <si>
    <t>Total cost</t>
  </si>
  <si>
    <t>Gross Profit</t>
  </si>
  <si>
    <t>Expense</t>
  </si>
  <si>
    <t>Q322</t>
  </si>
  <si>
    <t>Cost:</t>
  </si>
  <si>
    <t>SG&amp;A</t>
  </si>
  <si>
    <t>R&amp;D</t>
  </si>
  <si>
    <t>Itellectual property</t>
  </si>
  <si>
    <t>Other</t>
  </si>
  <si>
    <t>Interest</t>
  </si>
  <si>
    <t>Income/Loss from continuing</t>
  </si>
  <si>
    <t>Provision taxes</t>
  </si>
  <si>
    <t>Income/loss from discontinued</t>
  </si>
  <si>
    <t>Net income/loss</t>
  </si>
  <si>
    <t>Gross Margin %</t>
  </si>
  <si>
    <t>Operating Margin %</t>
  </si>
  <si>
    <t>Net Margin %</t>
  </si>
  <si>
    <t>Tax Rate</t>
  </si>
  <si>
    <t>Operating Expenses</t>
  </si>
  <si>
    <t>Operating Income</t>
  </si>
  <si>
    <t>EPS</t>
  </si>
  <si>
    <t>Shares</t>
  </si>
  <si>
    <t>Price</t>
  </si>
  <si>
    <t>Cash</t>
  </si>
  <si>
    <t>Debt</t>
  </si>
  <si>
    <t>MC</t>
  </si>
  <si>
    <t>CEO:</t>
  </si>
  <si>
    <t>IBM</t>
  </si>
  <si>
    <t>EV</t>
  </si>
  <si>
    <t>Net cash</t>
  </si>
  <si>
    <t>Arvind Krishna</t>
  </si>
  <si>
    <t>Q224</t>
  </si>
  <si>
    <t>Q324</t>
  </si>
  <si>
    <t>Q222</t>
  </si>
  <si>
    <t>Q122</t>
  </si>
  <si>
    <t>Revenues Y/Y</t>
  </si>
  <si>
    <t>Revenues Q/Q</t>
  </si>
  <si>
    <t>S&amp;G Y/Y</t>
  </si>
  <si>
    <t>R&amp;D Y/Y</t>
  </si>
  <si>
    <t>Maturity</t>
  </si>
  <si>
    <t>Discount</t>
  </si>
  <si>
    <t>NPV</t>
  </si>
  <si>
    <t>Net NPV</t>
  </si>
  <si>
    <t>Share</t>
  </si>
  <si>
    <t>Description</t>
  </si>
  <si>
    <t>% of Revenue</t>
  </si>
  <si>
    <t>Notes</t>
  </si>
  <si>
    <t>Software</t>
  </si>
  <si>
    <t>Consulting</t>
  </si>
  <si>
    <t>Infrastructure</t>
  </si>
  <si>
    <t>4.6% ár frá ári</t>
  </si>
  <si>
    <t>Dróst saman um -4.5%</t>
  </si>
  <si>
    <t>Jókst um 14.8%</t>
  </si>
  <si>
    <t>Jókst 5.1% ár frá ári</t>
  </si>
  <si>
    <t>USA</t>
  </si>
  <si>
    <t>Systems</t>
  </si>
  <si>
    <t>Maintenance</t>
  </si>
  <si>
    <t>Servers</t>
  </si>
  <si>
    <t>Storage</t>
  </si>
  <si>
    <t>Used Equipment Sales</t>
  </si>
  <si>
    <t>Segments</t>
  </si>
  <si>
    <t>Revenue by location</t>
  </si>
  <si>
    <t>Other countries</t>
  </si>
  <si>
    <t>IBM Corporate Headquarters</t>
  </si>
  <si>
    <t>Armonk, New York</t>
  </si>
  <si>
    <t>Competitors</t>
  </si>
  <si>
    <t>Accenture</t>
  </si>
  <si>
    <t>Infosys</t>
  </si>
  <si>
    <t>Oracle</t>
  </si>
  <si>
    <t>EMC</t>
  </si>
  <si>
    <t>Middleware, OS, Watson</t>
  </si>
  <si>
    <t>Hardware, Servers, Storage</t>
  </si>
  <si>
    <t>IT Infrastructure</t>
  </si>
  <si>
    <t>IT Infrastructure, Mainframes, Storage data protection</t>
  </si>
  <si>
    <t>IT Infrastructure, Cloud, IBM Power</t>
  </si>
  <si>
    <t>Incorporated in 1911</t>
  </si>
  <si>
    <t>Growth Estimates</t>
  </si>
  <si>
    <t>Next 5 Years (Per annum)</t>
  </si>
  <si>
    <t>Current Year</t>
  </si>
  <si>
    <t>Next Year</t>
  </si>
  <si>
    <t>Next Qtr.</t>
  </si>
  <si>
    <t>Current Qtr.</t>
  </si>
  <si>
    <t>Industry</t>
  </si>
  <si>
    <t>Sector</t>
  </si>
  <si>
    <t>S&amp;P 500</t>
  </si>
  <si>
    <t>Past 5 Years (Per annum)</t>
  </si>
  <si>
    <t>Tata, Cocnizant</t>
  </si>
  <si>
    <t>Dell</t>
  </si>
  <si>
    <t>Oracle, SAP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</si>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</sst>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[$$-409]#,##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1" xfId="0" applyNumberFormat="1" applyBorder="1"/>
    <xf numFmtId="9" fontId="0" fillId="0" borderId="0" xfId="1" applyFont="1"/>
    <xf numFmtId="3" fontId="0" fillId="0" borderId="2" xfId="0" applyNumberFormat="1" applyBorder="1"/>
    <xf numFmtId="3" fontId="2" fillId="0" borderId="2" xfId="0" applyNumberFormat="1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6" xfId="0" applyNumberFormat="1" applyBorder="1"/>
    <xf numFmtId="164" fontId="0" fillId="0" borderId="6" xfId="0" applyNumberFormat="1" applyBorder="1"/>
    <xf numFmtId="3" fontId="0" fillId="0" borderId="8" xfId="0" applyNumberFormat="1" applyBorder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0" fillId="0" borderId="14" xfId="0" applyBorder="1" applyAlignment="1">
      <alignment horizontal="right"/>
    </xf>
    <xf numFmtId="9" fontId="0" fillId="0" borderId="0" xfId="1" applyFont="1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10" fontId="0" fillId="0" borderId="0" xfId="1" applyNumberFormat="1" applyFont="1" applyBorder="1"/>
    <xf numFmtId="0" fontId="0" fillId="0" borderId="0" xfId="0" applyAlignment="1">
      <alignment horizontal="right"/>
    </xf>
    <xf numFmtId="0" fontId="0" fillId="0" borderId="15" xfId="0" applyBorder="1" applyAlignment="1">
      <alignment horizontal="right"/>
    </xf>
    <xf numFmtId="166" fontId="0" fillId="0" borderId="0" xfId="1" applyNumberFormat="1" applyFont="1" applyBorder="1"/>
    <xf numFmtId="166" fontId="0" fillId="0" borderId="17" xfId="1" applyNumberFormat="1" applyFont="1" applyBorder="1"/>
    <xf numFmtId="0" fontId="0" fillId="0" borderId="19" xfId="0" applyBorder="1"/>
    <xf numFmtId="0" fontId="0" fillId="0" borderId="21" xfId="0" applyBorder="1" applyAlignment="1">
      <alignment horizontal="right"/>
    </xf>
    <xf numFmtId="0" fontId="6" fillId="0" borderId="0" xfId="0" applyFont="1"/>
    <xf numFmtId="0" fontId="2" fillId="0" borderId="20" xfId="0" applyFont="1" applyBorder="1"/>
    <xf numFmtId="9" fontId="4" fillId="0" borderId="19" xfId="1" applyFont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19" xfId="1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2"/>
    <xf numFmtId="0" fontId="7" fillId="0" borderId="0" xfId="2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175846</xdr:rowOff>
    </xdr:from>
    <xdr:to>
      <xdr:col>10</xdr:col>
      <xdr:colOff>0</xdr:colOff>
      <xdr:row>29</xdr:row>
      <xdr:rowOff>73269</xdr:rowOff>
    </xdr:to>
    <xdr:cxnSp macro="">
      <xdr:nvCxnSpPr>
        <xdr:cNvPr id="3" name="Bein tengilína 2">
          <a:extLst>
            <a:ext uri="{FF2B5EF4-FFF2-40B4-BE49-F238E27FC236}">
              <a16:creationId xmlns:a16="http://schemas.microsoft.com/office/drawing/2014/main" id="{778153F3-CEC8-76C6-D8D9-F4BAA7EDEE34}"/>
            </a:ext>
          </a:extLst>
        </xdr:cNvPr>
        <xdr:cNvCxnSpPr/>
      </xdr:nvCxnSpPr>
      <xdr:spPr>
        <a:xfrm>
          <a:off x="7356231" y="175846"/>
          <a:ext cx="0" cy="5436577"/>
        </a:xfrm>
        <a:prstGeom prst="line">
          <a:avLst/>
        </a:prstGeom>
        <a:ln w="952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0</xdr:row>
      <xdr:rowOff>102577</xdr:rowOff>
    </xdr:from>
    <xdr:to>
      <xdr:col>24</xdr:col>
      <xdr:colOff>7326</xdr:colOff>
      <xdr:row>29</xdr:row>
      <xdr:rowOff>14654</xdr:rowOff>
    </xdr:to>
    <xdr:cxnSp macro="">
      <xdr:nvCxnSpPr>
        <xdr:cNvPr id="5" name="Bein tengilína 4">
          <a:extLst>
            <a:ext uri="{FF2B5EF4-FFF2-40B4-BE49-F238E27FC236}">
              <a16:creationId xmlns:a16="http://schemas.microsoft.com/office/drawing/2014/main" id="{75CC8BB9-3C28-22E3-570F-5A553DEE3E6C}"/>
            </a:ext>
          </a:extLst>
        </xdr:cNvPr>
        <xdr:cNvCxnSpPr/>
      </xdr:nvCxnSpPr>
      <xdr:spPr>
        <a:xfrm flipH="1">
          <a:off x="14045712" y="102577"/>
          <a:ext cx="7326" cy="5451231"/>
        </a:xfrm>
        <a:prstGeom prst="line">
          <a:avLst/>
        </a:prstGeom>
        <a:ln w="63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6E91-140F-489B-AF21-B50F86D915A9}">
  <dimension ref="B1:L11"/>
  <sheetViews>
    <sheetView zoomScale="130" zoomScaleNormal="130" workbookViewId="0">
      <selection activeCell="J18" sqref="J18"/>
    </sheetView>
  </sheetViews>
  <sheetFormatPr defaultRowHeight="15" x14ac:dyDescent="0.25"/>
  <cols>
    <col min="1" max="1" width="3.140625" customWidth="1"/>
    <col min="2" max="2" width="20.7109375" bestFit="1" customWidth="1"/>
    <col min="3" max="3" width="25.85546875" customWidth="1"/>
    <col min="4" max="4" width="16.140625" bestFit="1" customWidth="1"/>
    <col min="5" max="5" width="21.140625" bestFit="1" customWidth="1"/>
    <col min="6" max="6" width="4.140625" customWidth="1"/>
    <col min="7" max="7" width="4" customWidth="1"/>
    <col min="8" max="8" width="4.42578125" customWidth="1"/>
    <col min="9" max="9" width="3.140625" customWidth="1"/>
    <col min="12" max="12" width="13.5703125" customWidth="1"/>
  </cols>
  <sheetData>
    <row r="1" spans="2:12" ht="21" x14ac:dyDescent="0.35">
      <c r="K1" s="45" t="s">
        <v>37</v>
      </c>
      <c r="L1" s="46"/>
    </row>
    <row r="2" spans="2:12" ht="18.75" x14ac:dyDescent="0.3">
      <c r="B2" s="34"/>
      <c r="C2" s="34"/>
      <c r="D2" s="34"/>
      <c r="E2" s="34"/>
      <c r="K2" s="8" t="s">
        <v>32</v>
      </c>
      <c r="L2" s="9">
        <v>189.34</v>
      </c>
    </row>
    <row r="3" spans="2:12" x14ac:dyDescent="0.25">
      <c r="D3" s="22"/>
      <c r="E3" s="28"/>
      <c r="K3" s="8" t="s">
        <v>31</v>
      </c>
      <c r="L3" s="15">
        <v>916.07500000000005</v>
      </c>
    </row>
    <row r="4" spans="2:12" x14ac:dyDescent="0.25">
      <c r="D4" s="22"/>
      <c r="E4" s="28"/>
      <c r="K4" s="8" t="s">
        <v>35</v>
      </c>
      <c r="L4" s="14">
        <f>L3*L2</f>
        <v>173449.64050000001</v>
      </c>
    </row>
    <row r="5" spans="2:12" x14ac:dyDescent="0.25">
      <c r="D5" s="22"/>
      <c r="E5" s="28"/>
      <c r="K5" s="8" t="s">
        <v>33</v>
      </c>
      <c r="L5" s="14">
        <f>13068+21+373+7214+6102+692</f>
        <v>27470</v>
      </c>
    </row>
    <row r="6" spans="2:12" x14ac:dyDescent="0.25">
      <c r="D6" s="27"/>
      <c r="E6" s="28"/>
      <c r="K6" s="8" t="s">
        <v>34</v>
      </c>
      <c r="L6" s="14">
        <f>50121+10808</f>
        <v>60929</v>
      </c>
    </row>
    <row r="7" spans="2:12" x14ac:dyDescent="0.25">
      <c r="D7" s="19"/>
      <c r="K7" s="8" t="s">
        <v>38</v>
      </c>
      <c r="L7" s="14">
        <f>L4-L5+L6</f>
        <v>206908.64050000001</v>
      </c>
    </row>
    <row r="8" spans="2:12" x14ac:dyDescent="0.25">
      <c r="K8" s="10" t="s">
        <v>39</v>
      </c>
      <c r="L8" s="16">
        <f>L5-L6</f>
        <v>-33459</v>
      </c>
    </row>
    <row r="9" spans="2:12" x14ac:dyDescent="0.25">
      <c r="D9" s="4"/>
      <c r="K9" s="10"/>
      <c r="L9" s="11"/>
    </row>
    <row r="10" spans="2:12" ht="15.75" thickBot="1" x14ac:dyDescent="0.3">
      <c r="D10" s="4"/>
      <c r="K10" s="12" t="s">
        <v>36</v>
      </c>
      <c r="L10" s="13" t="s">
        <v>40</v>
      </c>
    </row>
    <row r="11" spans="2:12" x14ac:dyDescent="0.25">
      <c r="D11" s="19"/>
    </row>
  </sheetData>
  <mergeCells count="1"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19BE-40A5-4C1F-BB85-FBCCF58E2479}">
  <dimension ref="A1:FU38"/>
  <sheetViews>
    <sheetView tabSelected="1" zoomScale="130" zoomScaleNormal="130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H24" sqref="AH24"/>
    </sheetView>
  </sheetViews>
  <sheetFormatPr defaultRowHeight="15" x14ac:dyDescent="0.25"/>
  <cols>
    <col min="1" max="1" width="5.5703125" customWidth="1"/>
    <col min="2" max="2" width="29.140625" bestFit="1" customWidth="1"/>
    <col min="8" max="8" width="12.5703125" bestFit="1" customWidth="1"/>
    <col min="38" max="38" width="11.85546875" bestFit="1" customWidth="1"/>
  </cols>
  <sheetData>
    <row r="1" spans="1:46" x14ac:dyDescent="0.25">
      <c r="A1" s="47" t="s">
        <v>99</v>
      </c>
    </row>
    <row r="2" spans="1:46" x14ac:dyDescent="0.25">
      <c r="C2" t="s">
        <v>44</v>
      </c>
      <c r="D2" t="s">
        <v>43</v>
      </c>
      <c r="E2" t="s">
        <v>13</v>
      </c>
      <c r="F2" t="s">
        <v>6</v>
      </c>
      <c r="G2" t="s">
        <v>7</v>
      </c>
      <c r="H2" t="s">
        <v>8</v>
      </c>
      <c r="I2" t="s">
        <v>4</v>
      </c>
      <c r="J2" t="s">
        <v>5</v>
      </c>
      <c r="K2" t="s">
        <v>9</v>
      </c>
      <c r="L2" t="s">
        <v>41</v>
      </c>
      <c r="M2" t="s">
        <v>42</v>
      </c>
      <c r="N2" t="s">
        <v>6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  <c r="AK2">
        <v>2036</v>
      </c>
      <c r="AL2">
        <v>2037</v>
      </c>
      <c r="AM2">
        <v>2038</v>
      </c>
      <c r="AN2">
        <v>2039</v>
      </c>
      <c r="AO2">
        <v>2040</v>
      </c>
      <c r="AP2">
        <v>2041</v>
      </c>
      <c r="AQ2">
        <v>2042</v>
      </c>
      <c r="AR2">
        <v>2043</v>
      </c>
      <c r="AS2">
        <v>2044</v>
      </c>
      <c r="AT2">
        <v>2045</v>
      </c>
    </row>
    <row r="3" spans="1:46" s="1" customFormat="1" x14ac:dyDescent="0.25">
      <c r="B3" s="1" t="s">
        <v>0</v>
      </c>
      <c r="C3" s="1">
        <v>7703</v>
      </c>
      <c r="D3" s="1">
        <v>7640</v>
      </c>
      <c r="E3" s="1">
        <v>7365</v>
      </c>
      <c r="F3" s="1">
        <f>30206-C3-D3-E3</f>
        <v>7498</v>
      </c>
      <c r="G3" s="1">
        <v>7524</v>
      </c>
      <c r="H3" s="1">
        <v>7553</v>
      </c>
      <c r="I3" s="1">
        <v>7541</v>
      </c>
      <c r="J3" s="1">
        <f>30378-G3-H3-I3</f>
        <v>7760</v>
      </c>
      <c r="P3" s="1">
        <v>49911</v>
      </c>
      <c r="Q3" s="1">
        <v>51268</v>
      </c>
      <c r="R3" s="1">
        <v>48652</v>
      </c>
      <c r="S3" s="1">
        <v>49257</v>
      </c>
      <c r="T3" s="1">
        <v>47493</v>
      </c>
      <c r="U3" s="1">
        <v>45004</v>
      </c>
      <c r="V3" s="1">
        <v>29225</v>
      </c>
      <c r="W3" s="1">
        <f>SUM(C3:F3)</f>
        <v>30206</v>
      </c>
      <c r="X3" s="1">
        <f>SUM(G3:J3)</f>
        <v>30378</v>
      </c>
    </row>
    <row r="4" spans="1:46" s="1" customFormat="1" x14ac:dyDescent="0.25">
      <c r="B4" s="1" t="s">
        <v>1</v>
      </c>
      <c r="C4" s="1">
        <v>6339</v>
      </c>
      <c r="D4" s="1">
        <v>7748</v>
      </c>
      <c r="E4" s="1">
        <v>6565</v>
      </c>
      <c r="F4" s="1">
        <f>29673-C4-D4-E4</f>
        <v>9021</v>
      </c>
      <c r="G4" s="1">
        <v>6532</v>
      </c>
      <c r="H4" s="1">
        <v>7739</v>
      </c>
      <c r="I4" s="1">
        <v>7025</v>
      </c>
      <c r="J4" s="1">
        <f>30745-G4-H4-I4</f>
        <v>9449</v>
      </c>
      <c r="P4" s="1">
        <v>29967</v>
      </c>
      <c r="Q4" s="1">
        <v>26942</v>
      </c>
      <c r="R4" s="1">
        <v>28772</v>
      </c>
      <c r="S4" s="1">
        <v>28735</v>
      </c>
      <c r="T4" s="1">
        <v>28252</v>
      </c>
      <c r="U4" s="1">
        <v>27484</v>
      </c>
      <c r="V4" s="1">
        <v>27346</v>
      </c>
      <c r="W4" s="1">
        <f>SUM(C4:F4)</f>
        <v>29673</v>
      </c>
      <c r="X4" s="1">
        <f>SUM(G4:J4)</f>
        <v>30745</v>
      </c>
    </row>
    <row r="5" spans="1:46" s="1" customFormat="1" x14ac:dyDescent="0.25">
      <c r="B5" s="1" t="s">
        <v>2</v>
      </c>
      <c r="C5" s="1">
        <v>155</v>
      </c>
      <c r="D5" s="1">
        <v>147</v>
      </c>
      <c r="E5" s="1">
        <v>176</v>
      </c>
      <c r="F5" s="1">
        <f>651-C5-D5-E5</f>
        <v>173</v>
      </c>
      <c r="G5" s="1">
        <v>196</v>
      </c>
      <c r="H5" s="1">
        <v>183</v>
      </c>
      <c r="I5" s="1">
        <v>186</v>
      </c>
      <c r="J5" s="1">
        <f>737-G5-H5-I5</f>
        <v>172</v>
      </c>
      <c r="P5" s="1">
        <v>1864</v>
      </c>
      <c r="Q5" s="1">
        <v>1710</v>
      </c>
      <c r="R5" s="1">
        <v>1715</v>
      </c>
      <c r="S5" s="1">
        <v>1599</v>
      </c>
      <c r="T5" s="1">
        <v>1402</v>
      </c>
      <c r="U5" s="1">
        <v>1133</v>
      </c>
      <c r="V5" s="1">
        <v>780</v>
      </c>
      <c r="W5" s="1">
        <f>SUM(C5:F5)</f>
        <v>651</v>
      </c>
      <c r="X5" s="1">
        <f>SUM(G5:J5)</f>
        <v>737</v>
      </c>
    </row>
    <row r="6" spans="1:46" s="6" customFormat="1" x14ac:dyDescent="0.25">
      <c r="B6" s="6" t="s">
        <v>3</v>
      </c>
      <c r="C6" s="6">
        <f t="shared" ref="C6:N6" si="0">+C3+C4+C5</f>
        <v>14197</v>
      </c>
      <c r="D6" s="6">
        <f t="shared" si="0"/>
        <v>15535</v>
      </c>
      <c r="E6" s="6">
        <f t="shared" si="0"/>
        <v>14106</v>
      </c>
      <c r="F6" s="6">
        <f t="shared" si="0"/>
        <v>16692</v>
      </c>
      <c r="G6" s="6">
        <f t="shared" si="0"/>
        <v>14252</v>
      </c>
      <c r="H6" s="6">
        <f t="shared" si="0"/>
        <v>15475</v>
      </c>
      <c r="I6" s="6">
        <f t="shared" si="0"/>
        <v>14752</v>
      </c>
      <c r="J6" s="6">
        <f t="shared" si="0"/>
        <v>17381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P6" s="6">
        <v>81741</v>
      </c>
      <c r="Q6" s="6">
        <f t="shared" ref="Q6:X6" si="1">+Q3+Q4+Q5</f>
        <v>79920</v>
      </c>
      <c r="R6" s="6">
        <f t="shared" si="1"/>
        <v>79139</v>
      </c>
      <c r="S6" s="6">
        <f t="shared" si="1"/>
        <v>79591</v>
      </c>
      <c r="T6" s="6">
        <f t="shared" si="1"/>
        <v>77147</v>
      </c>
      <c r="U6" s="6">
        <f t="shared" si="1"/>
        <v>73621</v>
      </c>
      <c r="V6" s="6">
        <f t="shared" si="1"/>
        <v>57351</v>
      </c>
      <c r="W6" s="6">
        <f t="shared" si="1"/>
        <v>60530</v>
      </c>
      <c r="X6" s="6">
        <f t="shared" si="1"/>
        <v>61860</v>
      </c>
      <c r="Y6" s="6">
        <f>X6*1.05</f>
        <v>64953</v>
      </c>
      <c r="Z6" s="6">
        <f>Y6*1.056</f>
        <v>68590.368000000002</v>
      </c>
      <c r="AA6" s="6">
        <f>Z6*1.055</f>
        <v>72362.838239999997</v>
      </c>
      <c r="AB6" s="6">
        <f>AA6*1.054</f>
        <v>76270.431504959997</v>
      </c>
      <c r="AC6" s="6">
        <f>AB6*1.045</f>
        <v>79702.600922683196</v>
      </c>
      <c r="AD6" s="6">
        <f>AC6*1.045</f>
        <v>83289.217964203941</v>
      </c>
      <c r="AE6" s="6">
        <f t="shared" ref="AE6:AI6" si="2">AD6*1.04</f>
        <v>86620.786682772101</v>
      </c>
      <c r="AF6" s="6">
        <f t="shared" si="2"/>
        <v>90085.618150082984</v>
      </c>
      <c r="AG6" s="6">
        <f t="shared" si="2"/>
        <v>93689.042876086314</v>
      </c>
      <c r="AH6" s="6">
        <f t="shared" si="2"/>
        <v>97436.60459112977</v>
      </c>
      <c r="AI6" s="6">
        <f t="shared" si="2"/>
        <v>101334.06877477496</v>
      </c>
      <c r="AJ6" s="6">
        <f t="shared" ref="AJ6:AT6" si="3">+AJ3+AJ4+AJ5</f>
        <v>0</v>
      </c>
      <c r="AK6" s="6">
        <f t="shared" si="3"/>
        <v>0</v>
      </c>
      <c r="AL6" s="6">
        <f t="shared" si="3"/>
        <v>0</v>
      </c>
      <c r="AM6" s="6">
        <f t="shared" si="3"/>
        <v>0</v>
      </c>
      <c r="AN6" s="6">
        <f t="shared" si="3"/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</row>
    <row r="7" spans="1:46" s="1" customFormat="1" x14ac:dyDescent="0.25">
      <c r="B7" s="2" t="s">
        <v>14</v>
      </c>
    </row>
    <row r="8" spans="1:46" s="1" customFormat="1" x14ac:dyDescent="0.25">
      <c r="B8" s="1" t="s">
        <v>0</v>
      </c>
      <c r="C8" s="1">
        <v>5349</v>
      </c>
      <c r="D8" s="1">
        <v>5399</v>
      </c>
      <c r="E8" s="1">
        <v>5168</v>
      </c>
      <c r="F8" s="1">
        <f>21062-C8-D8-E8</f>
        <v>5146</v>
      </c>
      <c r="G8" s="1">
        <v>5310</v>
      </c>
      <c r="H8" s="1">
        <v>5294</v>
      </c>
      <c r="I8" s="1">
        <v>5217</v>
      </c>
      <c r="J8" s="1">
        <f>21051-G8-H8-I8</f>
        <v>5230</v>
      </c>
      <c r="P8" s="1">
        <v>33126</v>
      </c>
      <c r="Q8" s="1">
        <v>34021</v>
      </c>
      <c r="R8" s="1">
        <v>33399</v>
      </c>
      <c r="S8" s="1">
        <v>33687</v>
      </c>
      <c r="T8" s="1">
        <v>32491</v>
      </c>
      <c r="U8" s="1">
        <v>30404</v>
      </c>
      <c r="V8" s="1">
        <v>19147</v>
      </c>
      <c r="W8" s="1">
        <f>SUM(C8:F8)</f>
        <v>21062</v>
      </c>
      <c r="X8" s="1">
        <f>SUM(G8:J8)</f>
        <v>21051</v>
      </c>
    </row>
    <row r="9" spans="1:46" s="1" customFormat="1" x14ac:dyDescent="0.25">
      <c r="B9" s="1" t="s">
        <v>1</v>
      </c>
      <c r="C9" s="1">
        <v>1415</v>
      </c>
      <c r="D9" s="1">
        <v>1750</v>
      </c>
      <c r="E9" s="1">
        <v>1389</v>
      </c>
      <c r="F9" s="1">
        <f>6374-C9-D9-E9</f>
        <v>1820</v>
      </c>
      <c r="G9" s="1">
        <v>1322</v>
      </c>
      <c r="H9" s="1">
        <v>1587</v>
      </c>
      <c r="I9" s="1">
        <v>1419</v>
      </c>
      <c r="J9" s="1">
        <f>6127-G9-H9-I9</f>
        <v>1799</v>
      </c>
      <c r="P9" s="1">
        <v>6920</v>
      </c>
      <c r="Q9" s="1">
        <v>6559</v>
      </c>
      <c r="R9" s="1">
        <v>7587</v>
      </c>
      <c r="S9" s="1">
        <v>7835</v>
      </c>
      <c r="T9" s="1">
        <v>7263</v>
      </c>
      <c r="U9" s="1">
        <v>6934</v>
      </c>
      <c r="V9" s="1">
        <v>6184</v>
      </c>
      <c r="W9" s="1">
        <f>SUM(C9:F9)</f>
        <v>6374</v>
      </c>
      <c r="X9" s="1">
        <f>SUM(G9:J9)</f>
        <v>6127</v>
      </c>
    </row>
    <row r="10" spans="1:46" s="1" customFormat="1" x14ac:dyDescent="0.25">
      <c r="B10" s="1" t="s">
        <v>2</v>
      </c>
      <c r="C10" s="1">
        <v>98</v>
      </c>
      <c r="D10" s="1">
        <v>96</v>
      </c>
      <c r="E10" s="1">
        <v>120</v>
      </c>
      <c r="F10" s="1">
        <f>406-C10-D10-E10</f>
        <v>92</v>
      </c>
      <c r="G10" s="1">
        <v>110</v>
      </c>
      <c r="H10" s="1">
        <v>93</v>
      </c>
      <c r="I10" s="1">
        <v>94</v>
      </c>
      <c r="J10" s="1">
        <f>382-G10-H10-I10</f>
        <v>85</v>
      </c>
      <c r="P10" s="1">
        <v>1011</v>
      </c>
      <c r="Q10" s="1">
        <v>1044</v>
      </c>
      <c r="R10" s="1">
        <v>1210</v>
      </c>
      <c r="S10" s="1">
        <v>1132</v>
      </c>
      <c r="T10" s="1">
        <v>904</v>
      </c>
      <c r="U10" s="1">
        <v>708</v>
      </c>
      <c r="V10" s="1">
        <v>534</v>
      </c>
      <c r="W10" s="1">
        <f>SUM(C10:F10)</f>
        <v>406</v>
      </c>
      <c r="X10" s="1">
        <f>SUM(G10:J10)</f>
        <v>382</v>
      </c>
    </row>
    <row r="11" spans="1:46" s="1" customFormat="1" x14ac:dyDescent="0.25">
      <c r="B11" s="1" t="s">
        <v>10</v>
      </c>
      <c r="C11" s="1">
        <f t="shared" ref="C11:N11" si="4">C10+C9+C8</f>
        <v>6862</v>
      </c>
      <c r="D11" s="1">
        <f t="shared" si="4"/>
        <v>7245</v>
      </c>
      <c r="E11" s="1">
        <f t="shared" si="4"/>
        <v>6677</v>
      </c>
      <c r="F11" s="1">
        <f t="shared" si="4"/>
        <v>7058</v>
      </c>
      <c r="G11" s="1">
        <f t="shared" si="4"/>
        <v>6742</v>
      </c>
      <c r="H11" s="1">
        <f t="shared" si="4"/>
        <v>6974</v>
      </c>
      <c r="I11" s="1">
        <f t="shared" si="4"/>
        <v>6730</v>
      </c>
      <c r="J11" s="1">
        <f t="shared" si="4"/>
        <v>7114</v>
      </c>
      <c r="K11" s="1">
        <f t="shared" si="4"/>
        <v>0</v>
      </c>
      <c r="L11" s="1">
        <f t="shared" si="4"/>
        <v>0</v>
      </c>
      <c r="M11" s="1">
        <f t="shared" si="4"/>
        <v>0</v>
      </c>
      <c r="N11" s="1">
        <f t="shared" si="4"/>
        <v>0</v>
      </c>
      <c r="P11" s="1">
        <v>41625</v>
      </c>
      <c r="Q11" s="1">
        <v>41625</v>
      </c>
      <c r="R11" s="1">
        <f t="shared" ref="R11:AT11" si="5">R10+R9+R8</f>
        <v>42196</v>
      </c>
      <c r="S11" s="1">
        <f t="shared" si="5"/>
        <v>42654</v>
      </c>
      <c r="T11" s="1">
        <f t="shared" si="5"/>
        <v>40658</v>
      </c>
      <c r="U11" s="1">
        <f t="shared" si="5"/>
        <v>38046</v>
      </c>
      <c r="V11" s="1">
        <f t="shared" si="5"/>
        <v>25865</v>
      </c>
      <c r="W11" s="1">
        <f t="shared" si="5"/>
        <v>27842</v>
      </c>
      <c r="X11" s="1">
        <f t="shared" si="5"/>
        <v>27560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0</v>
      </c>
      <c r="AC11" s="1">
        <f t="shared" si="5"/>
        <v>0</v>
      </c>
      <c r="AD11" s="1">
        <f t="shared" si="5"/>
        <v>0</v>
      </c>
      <c r="AE11" s="1">
        <f t="shared" si="5"/>
        <v>0</v>
      </c>
      <c r="AF11" s="1">
        <f t="shared" si="5"/>
        <v>0</v>
      </c>
      <c r="AG11" s="1">
        <f t="shared" si="5"/>
        <v>0</v>
      </c>
      <c r="AH11" s="1">
        <f t="shared" si="5"/>
        <v>0</v>
      </c>
      <c r="AI11" s="1">
        <f t="shared" si="5"/>
        <v>0</v>
      </c>
      <c r="AJ11" s="1">
        <f t="shared" si="5"/>
        <v>0</v>
      </c>
      <c r="AK11" s="1">
        <f t="shared" si="5"/>
        <v>0</v>
      </c>
      <c r="AL11" s="1">
        <f t="shared" si="5"/>
        <v>0</v>
      </c>
      <c r="AM11" s="1">
        <f t="shared" si="5"/>
        <v>0</v>
      </c>
      <c r="AN11" s="1">
        <f t="shared" si="5"/>
        <v>0</v>
      </c>
      <c r="AO11" s="1">
        <f t="shared" si="5"/>
        <v>0</v>
      </c>
      <c r="AP11" s="1">
        <f t="shared" si="5"/>
        <v>0</v>
      </c>
      <c r="AQ11" s="1">
        <f t="shared" si="5"/>
        <v>0</v>
      </c>
      <c r="AR11" s="1">
        <f t="shared" si="5"/>
        <v>0</v>
      </c>
      <c r="AS11" s="1">
        <f t="shared" si="5"/>
        <v>0</v>
      </c>
      <c r="AT11" s="1">
        <f t="shared" si="5"/>
        <v>0</v>
      </c>
    </row>
    <row r="12" spans="1:46" s="6" customFormat="1" x14ac:dyDescent="0.25">
      <c r="B12" s="6" t="s">
        <v>11</v>
      </c>
      <c r="C12" s="6">
        <f t="shared" ref="C12:N12" si="6">C6-C11</f>
        <v>7335</v>
      </c>
      <c r="D12" s="6">
        <f t="shared" si="6"/>
        <v>8290</v>
      </c>
      <c r="E12" s="6">
        <f t="shared" si="6"/>
        <v>7429</v>
      </c>
      <c r="F12" s="6">
        <f t="shared" si="6"/>
        <v>9634</v>
      </c>
      <c r="G12" s="6">
        <f t="shared" si="6"/>
        <v>7510</v>
      </c>
      <c r="H12" s="6">
        <f t="shared" si="6"/>
        <v>8501</v>
      </c>
      <c r="I12" s="6">
        <f t="shared" si="6"/>
        <v>8022</v>
      </c>
      <c r="J12" s="6">
        <f t="shared" si="6"/>
        <v>10267</v>
      </c>
      <c r="K12" s="6">
        <f t="shared" si="6"/>
        <v>0</v>
      </c>
      <c r="L12" s="6">
        <f t="shared" si="6"/>
        <v>0</v>
      </c>
      <c r="M12" s="6">
        <f t="shared" si="6"/>
        <v>0</v>
      </c>
      <c r="N12" s="6">
        <f t="shared" si="6"/>
        <v>0</v>
      </c>
      <c r="P12" s="6">
        <f t="shared" ref="P12:X12" si="7">P6-P11</f>
        <v>40116</v>
      </c>
      <c r="Q12" s="6">
        <f t="shared" si="7"/>
        <v>38295</v>
      </c>
      <c r="R12" s="6">
        <f t="shared" si="7"/>
        <v>36943</v>
      </c>
      <c r="S12" s="6">
        <f t="shared" si="7"/>
        <v>36937</v>
      </c>
      <c r="T12" s="6">
        <f t="shared" si="7"/>
        <v>36489</v>
      </c>
      <c r="U12" s="6">
        <f t="shared" si="7"/>
        <v>35575</v>
      </c>
      <c r="V12" s="6">
        <f t="shared" si="7"/>
        <v>31486</v>
      </c>
      <c r="W12" s="6">
        <f t="shared" si="7"/>
        <v>32688</v>
      </c>
      <c r="X12" s="6">
        <f t="shared" si="7"/>
        <v>34300</v>
      </c>
      <c r="Y12" s="6">
        <f>Y6*0.55</f>
        <v>35724.15</v>
      </c>
      <c r="Z12" s="6">
        <f>Z6*0.53</f>
        <v>36352.895040000003</v>
      </c>
      <c r="AA12" s="6">
        <f>AA6*0.52</f>
        <v>37628.675884800003</v>
      </c>
      <c r="AB12" s="6">
        <f>AB6*0.51</f>
        <v>38897.920067529602</v>
      </c>
      <c r="AC12" s="6">
        <f>AC6*0.51</f>
        <v>40648.326470568427</v>
      </c>
      <c r="AD12" s="6">
        <f t="shared" ref="AD12:AI12" si="8">AD6*0.5</f>
        <v>41644.60898210197</v>
      </c>
      <c r="AE12" s="6">
        <f t="shared" si="8"/>
        <v>43310.39334138605</v>
      </c>
      <c r="AF12" s="6">
        <f t="shared" si="8"/>
        <v>45042.809075041492</v>
      </c>
      <c r="AG12" s="6">
        <f t="shared" si="8"/>
        <v>46844.521438043157</v>
      </c>
      <c r="AH12" s="6">
        <f t="shared" si="8"/>
        <v>48718.302295564885</v>
      </c>
      <c r="AI12" s="6">
        <f t="shared" si="8"/>
        <v>50667.034387387481</v>
      </c>
      <c r="AJ12" s="6">
        <f t="shared" ref="AJ12:AT12" si="9">AJ6-AJ11</f>
        <v>0</v>
      </c>
      <c r="AK12" s="6">
        <f t="shared" si="9"/>
        <v>0</v>
      </c>
      <c r="AL12" s="6">
        <f t="shared" si="9"/>
        <v>0</v>
      </c>
      <c r="AM12" s="6">
        <f t="shared" si="9"/>
        <v>0</v>
      </c>
      <c r="AN12" s="6">
        <f t="shared" si="9"/>
        <v>0</v>
      </c>
      <c r="AO12" s="6">
        <f t="shared" si="9"/>
        <v>0</v>
      </c>
      <c r="AP12" s="6">
        <f t="shared" si="9"/>
        <v>0</v>
      </c>
      <c r="AQ12" s="6">
        <f t="shared" si="9"/>
        <v>0</v>
      </c>
      <c r="AR12" s="6">
        <f t="shared" si="9"/>
        <v>0</v>
      </c>
      <c r="AS12" s="6">
        <f t="shared" si="9"/>
        <v>0</v>
      </c>
      <c r="AT12" s="6">
        <f t="shared" si="9"/>
        <v>0</v>
      </c>
    </row>
    <row r="13" spans="1:46" s="1" customFormat="1" x14ac:dyDescent="0.25">
      <c r="B13" s="2" t="s">
        <v>12</v>
      </c>
    </row>
    <row r="14" spans="1:46" s="1" customFormat="1" x14ac:dyDescent="0.25">
      <c r="B14" s="1" t="s">
        <v>15</v>
      </c>
      <c r="C14" s="1">
        <v>4597</v>
      </c>
      <c r="D14" s="1">
        <v>4855</v>
      </c>
      <c r="E14" s="1">
        <v>4391</v>
      </c>
      <c r="F14" s="1">
        <f>18609-C14-D14-E14</f>
        <v>4766</v>
      </c>
      <c r="G14" s="1">
        <v>4853</v>
      </c>
      <c r="H14" s="1">
        <v>4900</v>
      </c>
      <c r="I14" s="1">
        <v>4458</v>
      </c>
      <c r="J14" s="1">
        <f>19003-G14-H14-I14</f>
        <v>4792</v>
      </c>
      <c r="P14" s="1">
        <v>20430</v>
      </c>
      <c r="Q14" s="1">
        <v>21069</v>
      </c>
      <c r="R14" s="1">
        <v>19680</v>
      </c>
      <c r="S14" s="1">
        <v>19366</v>
      </c>
      <c r="T14" s="1">
        <v>20604</v>
      </c>
      <c r="U14" s="1">
        <v>23082</v>
      </c>
      <c r="V14" s="1">
        <v>18745</v>
      </c>
      <c r="W14" s="1">
        <f>SUM(C14:F14)</f>
        <v>18609</v>
      </c>
      <c r="X14" s="1">
        <f>SUM(G14:J14)</f>
        <v>19003</v>
      </c>
      <c r="Y14" s="1">
        <f>X14*1.035</f>
        <v>19668.105</v>
      </c>
      <c r="Z14" s="1">
        <f>Y14*1</f>
        <v>19668.105</v>
      </c>
      <c r="AA14" s="1">
        <f t="shared" ref="AA14:AI14" si="10">Z14*1.035</f>
        <v>20356.488674999997</v>
      </c>
      <c r="AB14" s="1">
        <f t="shared" si="10"/>
        <v>21068.965778624995</v>
      </c>
      <c r="AC14" s="1">
        <f t="shared" si="10"/>
        <v>21806.37958087687</v>
      </c>
      <c r="AD14" s="1">
        <f t="shared" si="10"/>
        <v>22569.602866207559</v>
      </c>
      <c r="AE14" s="1">
        <f t="shared" si="10"/>
        <v>23359.538966524822</v>
      </c>
      <c r="AF14" s="1">
        <f t="shared" si="10"/>
        <v>24177.12283035319</v>
      </c>
      <c r="AG14" s="1">
        <f t="shared" si="10"/>
        <v>25023.322129415548</v>
      </c>
      <c r="AH14" s="1">
        <f t="shared" si="10"/>
        <v>25899.13840394509</v>
      </c>
      <c r="AI14" s="1">
        <f t="shared" si="10"/>
        <v>26805.608248083165</v>
      </c>
    </row>
    <row r="15" spans="1:46" s="1" customFormat="1" x14ac:dyDescent="0.25">
      <c r="B15" s="1" t="s">
        <v>16</v>
      </c>
      <c r="C15" s="1">
        <v>1679</v>
      </c>
      <c r="D15" s="1">
        <v>1673</v>
      </c>
      <c r="E15" s="1">
        <v>1611</v>
      </c>
      <c r="F15" s="1">
        <f>6567-C15-D15-E15</f>
        <v>1604</v>
      </c>
      <c r="G15" s="1">
        <v>1655</v>
      </c>
      <c r="H15" s="1">
        <v>1687</v>
      </c>
      <c r="I15" s="1">
        <v>1685</v>
      </c>
      <c r="J15" s="1">
        <f>6775-G15-H15-I15</f>
        <v>1748</v>
      </c>
      <c r="P15" s="1">
        <v>5247</v>
      </c>
      <c r="Q15" s="1">
        <v>5751</v>
      </c>
      <c r="R15" s="1">
        <v>5590</v>
      </c>
      <c r="S15" s="1">
        <v>5379</v>
      </c>
      <c r="T15" s="1">
        <v>5989</v>
      </c>
      <c r="U15" s="1">
        <v>6333</v>
      </c>
      <c r="V15" s="1">
        <v>6488</v>
      </c>
      <c r="W15" s="1">
        <f>SUM(C15:F15)</f>
        <v>6567</v>
      </c>
      <c r="X15" s="1">
        <f>SUM(G15:J15)</f>
        <v>6775</v>
      </c>
      <c r="Y15" s="1">
        <f>X15*1.035</f>
        <v>7012.1249999999991</v>
      </c>
      <c r="Z15" s="1">
        <f>Y15*1</f>
        <v>7012.1249999999991</v>
      </c>
      <c r="AA15" s="1">
        <f t="shared" ref="AA15:AI15" si="11">Z15*1.035</f>
        <v>7257.5493749999987</v>
      </c>
      <c r="AB15" s="1">
        <f t="shared" si="11"/>
        <v>7511.5636031249978</v>
      </c>
      <c r="AC15" s="1">
        <f t="shared" si="11"/>
        <v>7774.4683292343725</v>
      </c>
      <c r="AD15" s="1">
        <f t="shared" si="11"/>
        <v>8046.5747207575751</v>
      </c>
      <c r="AE15" s="1">
        <f t="shared" si="11"/>
        <v>8328.2048359840901</v>
      </c>
      <c r="AF15" s="1">
        <f t="shared" si="11"/>
        <v>8619.6920052435325</v>
      </c>
      <c r="AG15" s="1">
        <f t="shared" si="11"/>
        <v>8921.3812254270561</v>
      </c>
      <c r="AH15" s="1">
        <f t="shared" si="11"/>
        <v>9233.6295683170028</v>
      </c>
      <c r="AI15" s="1">
        <f t="shared" si="11"/>
        <v>9556.8066032080969</v>
      </c>
    </row>
    <row r="16" spans="1:46" s="1" customFormat="1" x14ac:dyDescent="0.25">
      <c r="B16" s="1" t="s">
        <v>17</v>
      </c>
      <c r="C16" s="1">
        <v>-121</v>
      </c>
      <c r="D16" s="1">
        <v>-176</v>
      </c>
      <c r="E16" s="1">
        <v>-121</v>
      </c>
      <c r="F16" s="1">
        <f>-663-E16-D16-C16</f>
        <v>-245</v>
      </c>
      <c r="G16" s="1">
        <v>-180</v>
      </c>
      <c r="H16" s="1">
        <v>-248</v>
      </c>
      <c r="I16" s="1">
        <v>-190</v>
      </c>
      <c r="J16" s="1">
        <f>-860-G16-H16-I16</f>
        <v>-242</v>
      </c>
      <c r="P16" s="1">
        <v>-982</v>
      </c>
      <c r="Q16" s="1">
        <v>-1631</v>
      </c>
      <c r="R16" s="1">
        <v>-1466</v>
      </c>
      <c r="S16" s="1">
        <v>-1026</v>
      </c>
      <c r="T16" s="1">
        <v>-648</v>
      </c>
      <c r="U16" s="1">
        <v>-626</v>
      </c>
      <c r="V16" s="1">
        <v>-612</v>
      </c>
      <c r="W16" s="1">
        <f>SUM(C16:F16)</f>
        <v>-663</v>
      </c>
      <c r="X16" s="1">
        <f>SUM(G16:J16)</f>
        <v>-860</v>
      </c>
      <c r="Y16" s="1">
        <v>-843</v>
      </c>
      <c r="Z16" s="1">
        <v>-843</v>
      </c>
      <c r="AA16" s="1">
        <v>-843</v>
      </c>
      <c r="AB16" s="1">
        <v>-843</v>
      </c>
      <c r="AC16" s="1">
        <v>-843</v>
      </c>
      <c r="AD16" s="1">
        <v>-843</v>
      </c>
      <c r="AE16" s="1">
        <v>-843</v>
      </c>
      <c r="AF16" s="1">
        <v>-843</v>
      </c>
      <c r="AG16" s="1">
        <v>-843</v>
      </c>
      <c r="AH16" s="1">
        <v>-843</v>
      </c>
      <c r="AI16" s="1">
        <v>-843</v>
      </c>
    </row>
    <row r="17" spans="2:177" s="1" customFormat="1" x14ac:dyDescent="0.25">
      <c r="B17" s="1" t="s">
        <v>18</v>
      </c>
      <c r="C17" s="1">
        <v>246</v>
      </c>
      <c r="D17" s="1">
        <v>-81</v>
      </c>
      <c r="E17" s="1">
        <v>5755</v>
      </c>
      <c r="F17" s="1">
        <f>5803-C17-D17-E17</f>
        <v>-117</v>
      </c>
      <c r="G17" s="1">
        <v>-245</v>
      </c>
      <c r="H17" s="1">
        <v>-261</v>
      </c>
      <c r="I17" s="1">
        <v>-215</v>
      </c>
      <c r="J17" s="1">
        <f>-914-G17-H17-I17</f>
        <v>-193</v>
      </c>
      <c r="P17" s="1">
        <v>-724</v>
      </c>
      <c r="Q17" s="1">
        <v>145</v>
      </c>
      <c r="R17" s="1">
        <v>1125</v>
      </c>
      <c r="S17" s="1">
        <v>1152</v>
      </c>
      <c r="T17" s="1">
        <v>-968</v>
      </c>
      <c r="U17" s="1">
        <v>861</v>
      </c>
      <c r="V17" s="1">
        <v>873</v>
      </c>
      <c r="W17" s="1">
        <f>SUM(C17:F17)</f>
        <v>5803</v>
      </c>
      <c r="X17" s="1">
        <f>SUM(G17:J17)</f>
        <v>-914</v>
      </c>
      <c r="Y17" s="1">
        <v>1133</v>
      </c>
      <c r="Z17" s="1">
        <v>1133</v>
      </c>
      <c r="AA17" s="1">
        <v>1133</v>
      </c>
      <c r="AB17" s="1">
        <v>1133</v>
      </c>
      <c r="AC17" s="1">
        <v>1133</v>
      </c>
      <c r="AD17" s="1">
        <v>1133</v>
      </c>
      <c r="AE17" s="1">
        <v>1133</v>
      </c>
      <c r="AF17" s="1">
        <v>1133</v>
      </c>
      <c r="AG17" s="1">
        <v>1133</v>
      </c>
      <c r="AH17" s="1">
        <v>1133</v>
      </c>
      <c r="AI17" s="1">
        <v>1133</v>
      </c>
    </row>
    <row r="18" spans="2:177" s="1" customFormat="1" x14ac:dyDescent="0.25">
      <c r="B18" s="1" t="s">
        <v>19</v>
      </c>
      <c r="C18" s="1">
        <v>311</v>
      </c>
      <c r="D18" s="1">
        <v>297</v>
      </c>
      <c r="E18" s="1">
        <v>295</v>
      </c>
      <c r="F18" s="1">
        <f>1216-C18-D18-E18</f>
        <v>313</v>
      </c>
      <c r="G18" s="1">
        <v>367</v>
      </c>
      <c r="H18" s="1">
        <v>423</v>
      </c>
      <c r="I18" s="1">
        <v>412</v>
      </c>
      <c r="J18" s="1">
        <f>1607-G18-H18-I18</f>
        <v>405</v>
      </c>
      <c r="P18" s="1">
        <v>468</v>
      </c>
      <c r="Q18" s="1">
        <v>630</v>
      </c>
      <c r="R18" s="1">
        <v>615</v>
      </c>
      <c r="S18" s="1">
        <v>723</v>
      </c>
      <c r="T18" s="1">
        <v>1344</v>
      </c>
      <c r="U18" s="1">
        <v>1288</v>
      </c>
      <c r="V18" s="1">
        <v>1155</v>
      </c>
      <c r="W18" s="1">
        <f>SUM(C18:F18)</f>
        <v>1216</v>
      </c>
      <c r="X18" s="1">
        <f>SUM(G18:J18)</f>
        <v>1607</v>
      </c>
      <c r="Y18" s="1">
        <f>X18*1.2</f>
        <v>1928.3999999999999</v>
      </c>
      <c r="Z18" s="1">
        <f>Y18*1.1</f>
        <v>2121.2400000000002</v>
      </c>
      <c r="AA18" s="1">
        <f t="shared" ref="AA18:AI18" si="12">Z18*1.1</f>
        <v>2333.3640000000005</v>
      </c>
      <c r="AB18" s="1">
        <f t="shared" si="12"/>
        <v>2566.7004000000006</v>
      </c>
      <c r="AC18" s="1">
        <f t="shared" si="12"/>
        <v>2823.3704400000011</v>
      </c>
      <c r="AD18" s="1">
        <f t="shared" si="12"/>
        <v>3105.7074840000014</v>
      </c>
      <c r="AE18" s="1">
        <f t="shared" si="12"/>
        <v>3416.2782324000018</v>
      </c>
      <c r="AF18" s="1">
        <f t="shared" si="12"/>
        <v>3757.9060556400023</v>
      </c>
      <c r="AG18" s="1">
        <f t="shared" si="12"/>
        <v>4133.6966612040032</v>
      </c>
      <c r="AH18" s="1">
        <f t="shared" si="12"/>
        <v>4547.0663273244036</v>
      </c>
      <c r="AI18" s="1">
        <f t="shared" si="12"/>
        <v>5001.7729600568446</v>
      </c>
    </row>
    <row r="19" spans="2:177" s="5" customFormat="1" x14ac:dyDescent="0.25">
      <c r="B19" s="5" t="s">
        <v>28</v>
      </c>
      <c r="C19" s="5">
        <f t="shared" ref="C19:N19" si="13">SUM(C14:C18)</f>
        <v>6712</v>
      </c>
      <c r="D19" s="5">
        <f t="shared" si="13"/>
        <v>6568</v>
      </c>
      <c r="E19" s="5">
        <f t="shared" si="13"/>
        <v>11931</v>
      </c>
      <c r="F19" s="5">
        <f t="shared" si="13"/>
        <v>6321</v>
      </c>
      <c r="G19" s="5">
        <f t="shared" si="13"/>
        <v>6450</v>
      </c>
      <c r="H19" s="5">
        <f t="shared" si="13"/>
        <v>6501</v>
      </c>
      <c r="I19" s="5">
        <f t="shared" si="13"/>
        <v>6150</v>
      </c>
      <c r="J19" s="5">
        <f t="shared" si="13"/>
        <v>6510</v>
      </c>
      <c r="K19" s="5">
        <f t="shared" si="13"/>
        <v>0</v>
      </c>
      <c r="L19" s="5">
        <f t="shared" si="13"/>
        <v>0</v>
      </c>
      <c r="M19" s="5">
        <f t="shared" si="13"/>
        <v>0</v>
      </c>
      <c r="N19" s="5">
        <f t="shared" si="13"/>
        <v>0</v>
      </c>
      <c r="P19" s="5">
        <f t="shared" ref="P19:AT19" si="14">SUM(P14:P18)</f>
        <v>24439</v>
      </c>
      <c r="Q19" s="5">
        <f t="shared" si="14"/>
        <v>25964</v>
      </c>
      <c r="R19" s="5">
        <f t="shared" si="14"/>
        <v>25544</v>
      </c>
      <c r="S19" s="5">
        <f t="shared" si="14"/>
        <v>25594</v>
      </c>
      <c r="T19" s="5">
        <f t="shared" si="14"/>
        <v>26321</v>
      </c>
      <c r="U19" s="5">
        <f t="shared" si="14"/>
        <v>30938</v>
      </c>
      <c r="V19" s="5">
        <f t="shared" si="14"/>
        <v>26649</v>
      </c>
      <c r="W19" s="5">
        <f t="shared" si="14"/>
        <v>31532</v>
      </c>
      <c r="X19" s="5">
        <f t="shared" si="14"/>
        <v>25611</v>
      </c>
      <c r="Y19" s="5">
        <f t="shared" si="14"/>
        <v>28898.63</v>
      </c>
      <c r="Z19" s="5">
        <f t="shared" si="14"/>
        <v>29091.47</v>
      </c>
      <c r="AA19" s="5">
        <f t="shared" si="14"/>
        <v>30237.402049999997</v>
      </c>
      <c r="AB19" s="5">
        <f t="shared" si="14"/>
        <v>31437.229781749993</v>
      </c>
      <c r="AC19" s="5">
        <f t="shared" si="14"/>
        <v>32694.218350111245</v>
      </c>
      <c r="AD19" s="5">
        <f t="shared" si="14"/>
        <v>34011.885070965131</v>
      </c>
      <c r="AE19" s="5">
        <f t="shared" si="14"/>
        <v>35394.022034908914</v>
      </c>
      <c r="AF19" s="5">
        <f t="shared" si="14"/>
        <v>36844.72089123672</v>
      </c>
      <c r="AG19" s="5">
        <f t="shared" si="14"/>
        <v>38368.400016046609</v>
      </c>
      <c r="AH19" s="5">
        <f t="shared" si="14"/>
        <v>39969.834299586502</v>
      </c>
      <c r="AI19" s="5">
        <f t="shared" si="14"/>
        <v>41654.187811348107</v>
      </c>
      <c r="AJ19" s="5">
        <f t="shared" si="14"/>
        <v>0</v>
      </c>
      <c r="AK19" s="5">
        <f t="shared" si="14"/>
        <v>0</v>
      </c>
      <c r="AL19" s="5">
        <f t="shared" si="14"/>
        <v>0</v>
      </c>
      <c r="AM19" s="5">
        <f t="shared" si="14"/>
        <v>0</v>
      </c>
      <c r="AN19" s="5">
        <f t="shared" si="14"/>
        <v>0</v>
      </c>
      <c r="AO19" s="5">
        <f t="shared" si="14"/>
        <v>0</v>
      </c>
      <c r="AP19" s="5">
        <f t="shared" si="14"/>
        <v>0</v>
      </c>
      <c r="AQ19" s="5">
        <f t="shared" si="14"/>
        <v>0</v>
      </c>
      <c r="AR19" s="5">
        <f t="shared" si="14"/>
        <v>0</v>
      </c>
      <c r="AS19" s="5">
        <f t="shared" si="14"/>
        <v>0</v>
      </c>
      <c r="AT19" s="5">
        <f t="shared" si="14"/>
        <v>0</v>
      </c>
    </row>
    <row r="20" spans="2:177" s="6" customFormat="1" x14ac:dyDescent="0.25">
      <c r="B20" s="6" t="s">
        <v>29</v>
      </c>
      <c r="C20" s="6">
        <f t="shared" ref="C20:N20" si="15">C12-C19</f>
        <v>623</v>
      </c>
      <c r="D20" s="6">
        <f t="shared" si="15"/>
        <v>1722</v>
      </c>
      <c r="E20" s="6">
        <f t="shared" si="15"/>
        <v>-4502</v>
      </c>
      <c r="F20" s="6">
        <f t="shared" si="15"/>
        <v>3313</v>
      </c>
      <c r="G20" s="6">
        <f t="shared" si="15"/>
        <v>1060</v>
      </c>
      <c r="H20" s="6">
        <f t="shared" si="15"/>
        <v>2000</v>
      </c>
      <c r="I20" s="6">
        <f t="shared" si="15"/>
        <v>1872</v>
      </c>
      <c r="J20" s="6">
        <f t="shared" si="15"/>
        <v>3757</v>
      </c>
      <c r="K20" s="6">
        <f t="shared" si="15"/>
        <v>0</v>
      </c>
      <c r="L20" s="6">
        <f t="shared" si="15"/>
        <v>0</v>
      </c>
      <c r="M20" s="6">
        <f t="shared" si="15"/>
        <v>0</v>
      </c>
      <c r="N20" s="6">
        <f t="shared" si="15"/>
        <v>0</v>
      </c>
      <c r="P20" s="6">
        <f t="shared" ref="P20:Y20" si="16">P12-P19</f>
        <v>15677</v>
      </c>
      <c r="Q20" s="6">
        <f t="shared" si="16"/>
        <v>12331</v>
      </c>
      <c r="R20" s="6">
        <f t="shared" si="16"/>
        <v>11399</v>
      </c>
      <c r="S20" s="6">
        <f t="shared" si="16"/>
        <v>11343</v>
      </c>
      <c r="T20" s="6">
        <f t="shared" si="16"/>
        <v>10168</v>
      </c>
      <c r="U20" s="6">
        <f t="shared" si="16"/>
        <v>4637</v>
      </c>
      <c r="V20" s="6">
        <f t="shared" si="16"/>
        <v>4837</v>
      </c>
      <c r="W20" s="6">
        <f t="shared" si="16"/>
        <v>1156</v>
      </c>
      <c r="X20" s="6">
        <f t="shared" si="16"/>
        <v>8689</v>
      </c>
      <c r="Y20" s="6">
        <f t="shared" si="16"/>
        <v>6825.52</v>
      </c>
      <c r="Z20" s="6">
        <f t="shared" ref="Z20:AI20" si="17">Z12-Z19</f>
        <v>7261.4250400000019</v>
      </c>
      <c r="AA20" s="6">
        <f t="shared" si="17"/>
        <v>7391.2738348000057</v>
      </c>
      <c r="AB20" s="6">
        <f t="shared" si="17"/>
        <v>7460.6902857796085</v>
      </c>
      <c r="AC20" s="6">
        <f t="shared" si="17"/>
        <v>7954.1081204571819</v>
      </c>
      <c r="AD20" s="6">
        <f t="shared" si="17"/>
        <v>7632.7239111368399</v>
      </c>
      <c r="AE20" s="6">
        <f t="shared" si="17"/>
        <v>7916.3713064771364</v>
      </c>
      <c r="AF20" s="6">
        <f t="shared" si="17"/>
        <v>8198.0881838047717</v>
      </c>
      <c r="AG20" s="6">
        <f t="shared" si="17"/>
        <v>8476.1214219965477</v>
      </c>
      <c r="AH20" s="6">
        <f t="shared" si="17"/>
        <v>8748.4679959783825</v>
      </c>
      <c r="AI20" s="6">
        <f t="shared" si="17"/>
        <v>9012.8465760393738</v>
      </c>
      <c r="AJ20" s="6">
        <f t="shared" ref="AJ20:AT20" si="18">AJ12-AJ19</f>
        <v>0</v>
      </c>
      <c r="AK20" s="6">
        <f t="shared" si="18"/>
        <v>0</v>
      </c>
      <c r="AL20" s="6">
        <f t="shared" si="18"/>
        <v>0</v>
      </c>
      <c r="AM20" s="6">
        <f t="shared" si="18"/>
        <v>0</v>
      </c>
      <c r="AN20" s="6">
        <f t="shared" si="18"/>
        <v>0</v>
      </c>
      <c r="AO20" s="6">
        <f t="shared" si="18"/>
        <v>0</v>
      </c>
      <c r="AP20" s="6">
        <f t="shared" si="18"/>
        <v>0</v>
      </c>
      <c r="AQ20" s="6">
        <f t="shared" si="18"/>
        <v>0</v>
      </c>
      <c r="AR20" s="6">
        <f t="shared" si="18"/>
        <v>0</v>
      </c>
      <c r="AS20" s="6">
        <f t="shared" si="18"/>
        <v>0</v>
      </c>
      <c r="AT20" s="6">
        <f t="shared" si="18"/>
        <v>0</v>
      </c>
    </row>
    <row r="21" spans="2:177" s="1" customFormat="1" x14ac:dyDescent="0.25">
      <c r="B21" s="1" t="s">
        <v>21</v>
      </c>
      <c r="C21" s="1">
        <v>-39</v>
      </c>
      <c r="D21" s="1">
        <v>257</v>
      </c>
      <c r="E21" s="1">
        <v>-1287</v>
      </c>
      <c r="F21" s="1">
        <f>-626-C21-D21-E21</f>
        <v>443</v>
      </c>
      <c r="G21" s="1">
        <v>124</v>
      </c>
      <c r="H21" s="1">
        <v>419</v>
      </c>
      <c r="I21" s="1">
        <v>159</v>
      </c>
      <c r="J21" s="1">
        <f>1176-G21-H21-I21</f>
        <v>474</v>
      </c>
      <c r="P21" s="1">
        <v>2581</v>
      </c>
      <c r="Q21" s="1">
        <v>449</v>
      </c>
      <c r="R21" s="1">
        <v>5642</v>
      </c>
      <c r="S21" s="1">
        <v>2619</v>
      </c>
      <c r="T21" s="1">
        <v>731</v>
      </c>
      <c r="U21" s="1">
        <v>-864</v>
      </c>
      <c r="V21" s="1">
        <v>124</v>
      </c>
      <c r="W21" s="1">
        <f>SUM(C21:F21)</f>
        <v>-626</v>
      </c>
      <c r="X21" s="1">
        <f>SUM(G21:J21)</f>
        <v>1176</v>
      </c>
      <c r="Y21" s="1">
        <f>Y20*0.13</f>
        <v>887.31760000000008</v>
      </c>
      <c r="Z21" s="1">
        <f t="shared" ref="Z21:AI21" si="19">Z20*0.13</f>
        <v>943.98525520000032</v>
      </c>
      <c r="AA21" s="1">
        <f t="shared" si="19"/>
        <v>960.8655985240008</v>
      </c>
      <c r="AB21" s="1">
        <f t="shared" si="19"/>
        <v>969.8897371513491</v>
      </c>
      <c r="AC21" s="1">
        <f t="shared" si="19"/>
        <v>1034.0340556594338</v>
      </c>
      <c r="AD21" s="1">
        <f t="shared" si="19"/>
        <v>992.25410844778924</v>
      </c>
      <c r="AE21" s="1">
        <f t="shared" si="19"/>
        <v>1029.1282698420277</v>
      </c>
      <c r="AF21" s="1">
        <f t="shared" si="19"/>
        <v>1065.7514638946204</v>
      </c>
      <c r="AG21" s="1">
        <f t="shared" si="19"/>
        <v>1101.8957848595512</v>
      </c>
      <c r="AH21" s="1">
        <f t="shared" si="19"/>
        <v>1137.3008394771898</v>
      </c>
      <c r="AI21" s="1">
        <f t="shared" si="19"/>
        <v>1171.6700548851186</v>
      </c>
    </row>
    <row r="22" spans="2:177" s="1" customFormat="1" x14ac:dyDescent="0.25">
      <c r="B22" s="1" t="s">
        <v>20</v>
      </c>
      <c r="C22" s="1">
        <f t="shared" ref="C22:K22" si="20">C20-C21</f>
        <v>662</v>
      </c>
      <c r="D22" s="1">
        <f t="shared" si="20"/>
        <v>1465</v>
      </c>
      <c r="E22" s="1">
        <f t="shared" si="20"/>
        <v>-3215</v>
      </c>
      <c r="F22" s="1">
        <f t="shared" si="20"/>
        <v>2870</v>
      </c>
      <c r="G22" s="1">
        <f t="shared" si="20"/>
        <v>936</v>
      </c>
      <c r="H22" s="1">
        <f t="shared" si="20"/>
        <v>1581</v>
      </c>
      <c r="I22" s="1">
        <f t="shared" si="20"/>
        <v>1713</v>
      </c>
      <c r="J22" s="1">
        <f t="shared" si="20"/>
        <v>3283</v>
      </c>
      <c r="K22" s="1">
        <f t="shared" si="20"/>
        <v>0</v>
      </c>
      <c r="L22" s="1">
        <f t="shared" ref="L22:AT22" si="21">L20-L21</f>
        <v>0</v>
      </c>
      <c r="M22" s="1">
        <f t="shared" si="21"/>
        <v>0</v>
      </c>
      <c r="N22" s="1">
        <f t="shared" si="21"/>
        <v>0</v>
      </c>
      <c r="P22" s="1">
        <f t="shared" si="21"/>
        <v>13096</v>
      </c>
      <c r="Q22" s="1">
        <f t="shared" si="21"/>
        <v>11882</v>
      </c>
      <c r="R22" s="1">
        <f t="shared" si="21"/>
        <v>5757</v>
      </c>
      <c r="S22" s="1">
        <f t="shared" si="21"/>
        <v>8724</v>
      </c>
      <c r="T22" s="1">
        <f t="shared" si="21"/>
        <v>9437</v>
      </c>
      <c r="U22" s="1">
        <f t="shared" si="21"/>
        <v>5501</v>
      </c>
      <c r="V22" s="1">
        <f t="shared" si="21"/>
        <v>4713</v>
      </c>
      <c r="W22" s="1">
        <f t="shared" si="21"/>
        <v>1782</v>
      </c>
      <c r="X22" s="1">
        <f t="shared" si="21"/>
        <v>7513</v>
      </c>
      <c r="Y22" s="1">
        <f t="shared" si="21"/>
        <v>5938.2024000000001</v>
      </c>
      <c r="Z22" s="1">
        <f t="shared" si="21"/>
        <v>6317.4397848000017</v>
      </c>
      <c r="AA22" s="1">
        <f t="shared" si="21"/>
        <v>6430.4082362760046</v>
      </c>
      <c r="AB22" s="1">
        <f t="shared" si="21"/>
        <v>6490.8005486282591</v>
      </c>
      <c r="AC22" s="1">
        <f t="shared" si="21"/>
        <v>6920.0740647977482</v>
      </c>
      <c r="AD22" s="1">
        <f t="shared" si="21"/>
        <v>6640.469802689051</v>
      </c>
      <c r="AE22" s="1">
        <f t="shared" si="21"/>
        <v>6887.2430366351091</v>
      </c>
      <c r="AF22" s="1">
        <f t="shared" si="21"/>
        <v>7132.3367199101513</v>
      </c>
      <c r="AG22" s="1">
        <f t="shared" si="21"/>
        <v>7374.2256371369967</v>
      </c>
      <c r="AH22" s="1">
        <f t="shared" si="21"/>
        <v>7611.1671565011929</v>
      </c>
      <c r="AI22" s="1">
        <f t="shared" si="21"/>
        <v>7841.1765211542552</v>
      </c>
      <c r="AJ22" s="1">
        <f t="shared" si="21"/>
        <v>0</v>
      </c>
      <c r="AK22" s="1">
        <f t="shared" si="21"/>
        <v>0</v>
      </c>
      <c r="AL22" s="1">
        <f t="shared" si="21"/>
        <v>0</v>
      </c>
      <c r="AM22" s="1">
        <f t="shared" si="21"/>
        <v>0</v>
      </c>
      <c r="AN22" s="1">
        <f t="shared" si="21"/>
        <v>0</v>
      </c>
      <c r="AO22" s="1">
        <f t="shared" si="21"/>
        <v>0</v>
      </c>
      <c r="AP22" s="1">
        <f t="shared" si="21"/>
        <v>0</v>
      </c>
      <c r="AQ22" s="1">
        <f t="shared" si="21"/>
        <v>0</v>
      </c>
      <c r="AR22" s="1">
        <f t="shared" si="21"/>
        <v>0</v>
      </c>
      <c r="AS22" s="1">
        <f t="shared" si="21"/>
        <v>0</v>
      </c>
      <c r="AT22" s="1">
        <f t="shared" si="21"/>
        <v>0</v>
      </c>
    </row>
    <row r="23" spans="2:177" s="1" customFormat="1" x14ac:dyDescent="0.25">
      <c r="B23" s="1" t="s">
        <v>22</v>
      </c>
      <c r="F23" s="1">
        <v>-143</v>
      </c>
      <c r="G23" s="1">
        <v>-7</v>
      </c>
      <c r="H23" s="1">
        <v>2</v>
      </c>
      <c r="I23" s="1">
        <v>-10</v>
      </c>
      <c r="J23" s="1">
        <f>-12-G23-H23-I23</f>
        <v>3</v>
      </c>
      <c r="P23" s="1">
        <v>-174</v>
      </c>
      <c r="Q23" s="1">
        <v>-9</v>
      </c>
      <c r="R23" s="1">
        <v>-5</v>
      </c>
      <c r="S23" s="1">
        <v>5</v>
      </c>
      <c r="T23" s="1">
        <v>-4</v>
      </c>
      <c r="U23" s="1">
        <v>89</v>
      </c>
      <c r="V23" s="1">
        <v>1030</v>
      </c>
      <c r="W23" s="1">
        <f>SUM(C23:F23)</f>
        <v>-143</v>
      </c>
      <c r="X23" s="1">
        <f>SUM(G23:J23)</f>
        <v>-12</v>
      </c>
      <c r="Y23" s="1">
        <v>95</v>
      </c>
      <c r="Z23" s="1">
        <v>95</v>
      </c>
      <c r="AA23" s="1">
        <v>95</v>
      </c>
      <c r="AB23" s="1">
        <v>95</v>
      </c>
      <c r="AC23" s="1">
        <v>95</v>
      </c>
      <c r="AD23" s="1">
        <v>95</v>
      </c>
      <c r="AE23" s="1">
        <v>95</v>
      </c>
      <c r="AF23" s="1">
        <v>95</v>
      </c>
      <c r="AG23" s="1">
        <v>95</v>
      </c>
      <c r="AH23" s="1">
        <v>95</v>
      </c>
      <c r="AI23" s="1">
        <v>95</v>
      </c>
    </row>
    <row r="24" spans="2:177" s="3" customFormat="1" ht="15.75" thickBot="1" x14ac:dyDescent="0.3">
      <c r="B24" s="3" t="s">
        <v>23</v>
      </c>
      <c r="C24" s="3">
        <f t="shared" ref="C24:N24" si="22">C22+C23</f>
        <v>662</v>
      </c>
      <c r="D24" s="3">
        <f t="shared" si="22"/>
        <v>1465</v>
      </c>
      <c r="E24" s="3">
        <f t="shared" si="22"/>
        <v>-3215</v>
      </c>
      <c r="F24" s="3">
        <f t="shared" si="22"/>
        <v>2727</v>
      </c>
      <c r="G24" s="3">
        <f t="shared" si="22"/>
        <v>929</v>
      </c>
      <c r="H24" s="3">
        <f t="shared" si="22"/>
        <v>1583</v>
      </c>
      <c r="I24" s="3">
        <f t="shared" si="22"/>
        <v>1703</v>
      </c>
      <c r="J24" s="3">
        <f t="shared" si="22"/>
        <v>3286</v>
      </c>
      <c r="K24" s="3">
        <f t="shared" si="22"/>
        <v>0</v>
      </c>
      <c r="L24" s="3">
        <f t="shared" si="22"/>
        <v>0</v>
      </c>
      <c r="M24" s="3">
        <f t="shared" si="22"/>
        <v>0</v>
      </c>
      <c r="N24" s="3">
        <f t="shared" si="22"/>
        <v>0</v>
      </c>
      <c r="P24" s="3">
        <f t="shared" ref="P24:AI24" si="23">P22+P23</f>
        <v>12922</v>
      </c>
      <c r="Q24" s="3">
        <f t="shared" si="23"/>
        <v>11873</v>
      </c>
      <c r="R24" s="3">
        <f t="shared" si="23"/>
        <v>5752</v>
      </c>
      <c r="S24" s="3">
        <f t="shared" si="23"/>
        <v>8729</v>
      </c>
      <c r="T24" s="3">
        <f t="shared" si="23"/>
        <v>9433</v>
      </c>
      <c r="U24" s="3">
        <f t="shared" si="23"/>
        <v>5590</v>
      </c>
      <c r="V24" s="3">
        <f t="shared" si="23"/>
        <v>5743</v>
      </c>
      <c r="W24" s="3">
        <f t="shared" si="23"/>
        <v>1639</v>
      </c>
      <c r="X24" s="3">
        <f t="shared" si="23"/>
        <v>7501</v>
      </c>
      <c r="Y24" s="3">
        <f t="shared" si="23"/>
        <v>6033.2024000000001</v>
      </c>
      <c r="Z24" s="3">
        <f t="shared" si="23"/>
        <v>6412.4397848000017</v>
      </c>
      <c r="AA24" s="3">
        <f t="shared" si="23"/>
        <v>6525.4082362760046</v>
      </c>
      <c r="AB24" s="3">
        <f t="shared" si="23"/>
        <v>6585.8005486282591</v>
      </c>
      <c r="AC24" s="3">
        <f t="shared" si="23"/>
        <v>7015.0740647977482</v>
      </c>
      <c r="AD24" s="3">
        <f t="shared" si="23"/>
        <v>6735.469802689051</v>
      </c>
      <c r="AE24" s="3">
        <f t="shared" si="23"/>
        <v>6982.2430366351091</v>
      </c>
      <c r="AF24" s="3">
        <f t="shared" si="23"/>
        <v>7227.3367199101513</v>
      </c>
      <c r="AG24" s="3">
        <f t="shared" si="23"/>
        <v>7469.2256371369967</v>
      </c>
      <c r="AH24" s="3">
        <f t="shared" si="23"/>
        <v>7706.1671565011929</v>
      </c>
      <c r="AI24" s="3">
        <f t="shared" si="23"/>
        <v>7936.1765211542552</v>
      </c>
      <c r="AJ24" s="3">
        <f>AI24*(1+$AL$27)</f>
        <v>7856.8147559427125</v>
      </c>
      <c r="AK24" s="3">
        <f t="shared" ref="AK24:CV24" si="24">AJ24*(1+$AL$27)</f>
        <v>7778.2466083832851</v>
      </c>
      <c r="AL24" s="3">
        <f t="shared" si="24"/>
        <v>7700.4641422994519</v>
      </c>
      <c r="AM24" s="3">
        <f t="shared" si="24"/>
        <v>7623.4595008764572</v>
      </c>
      <c r="AN24" s="3">
        <f t="shared" si="24"/>
        <v>7547.2249058676925</v>
      </c>
      <c r="AO24" s="3">
        <f t="shared" si="24"/>
        <v>7471.7526568090152</v>
      </c>
      <c r="AP24" s="3">
        <f t="shared" si="24"/>
        <v>7397.0351302409254</v>
      </c>
      <c r="AQ24" s="3">
        <f t="shared" si="24"/>
        <v>7323.0647789385157</v>
      </c>
      <c r="AR24" s="3">
        <f t="shared" si="24"/>
        <v>7249.8341311491304</v>
      </c>
      <c r="AS24" s="3">
        <f t="shared" si="24"/>
        <v>7177.3357898376389</v>
      </c>
      <c r="AT24" s="3">
        <f t="shared" si="24"/>
        <v>7105.5624319392628</v>
      </c>
      <c r="AU24" s="3">
        <f t="shared" si="24"/>
        <v>7034.5068076198704</v>
      </c>
      <c r="AV24" s="3">
        <f t="shared" si="24"/>
        <v>6964.1617395436715</v>
      </c>
      <c r="AW24" s="3">
        <f t="shared" si="24"/>
        <v>6894.5201221482348</v>
      </c>
      <c r="AX24" s="3">
        <f t="shared" si="24"/>
        <v>6825.5749209267524</v>
      </c>
      <c r="AY24" s="3">
        <f t="shared" si="24"/>
        <v>6757.319171717485</v>
      </c>
      <c r="AZ24" s="3">
        <f t="shared" si="24"/>
        <v>6689.7459800003098</v>
      </c>
      <c r="BA24" s="3">
        <f t="shared" si="24"/>
        <v>6622.8485202003067</v>
      </c>
      <c r="BB24" s="3">
        <f t="shared" si="24"/>
        <v>6556.6200349983037</v>
      </c>
      <c r="BC24" s="3">
        <f t="shared" si="24"/>
        <v>6491.0538346483208</v>
      </c>
      <c r="BD24" s="3">
        <f t="shared" si="24"/>
        <v>6426.1432963018378</v>
      </c>
      <c r="BE24" s="3">
        <f t="shared" si="24"/>
        <v>6361.8818633388191</v>
      </c>
      <c r="BF24" s="3">
        <f t="shared" si="24"/>
        <v>6298.2630447054307</v>
      </c>
      <c r="BG24" s="3">
        <f t="shared" si="24"/>
        <v>6235.2804142583764</v>
      </c>
      <c r="BH24" s="3">
        <f t="shared" si="24"/>
        <v>6172.927610115793</v>
      </c>
      <c r="BI24" s="3">
        <f t="shared" si="24"/>
        <v>6111.1983340146353</v>
      </c>
      <c r="BJ24" s="3">
        <f t="shared" si="24"/>
        <v>6050.086350674489</v>
      </c>
      <c r="BK24" s="3">
        <f t="shared" si="24"/>
        <v>5989.5854871677438</v>
      </c>
      <c r="BL24" s="3">
        <f t="shared" si="24"/>
        <v>5929.6896322960665</v>
      </c>
      <c r="BM24" s="3">
        <f t="shared" si="24"/>
        <v>5870.392735973106</v>
      </c>
      <c r="BN24" s="3">
        <f t="shared" si="24"/>
        <v>5811.6888086133749</v>
      </c>
      <c r="BO24" s="3">
        <f t="shared" si="24"/>
        <v>5753.5719205272408</v>
      </c>
      <c r="BP24" s="3">
        <f t="shared" si="24"/>
        <v>5696.0362013219683</v>
      </c>
      <c r="BQ24" s="3">
        <f t="shared" si="24"/>
        <v>5639.075839308749</v>
      </c>
      <c r="BR24" s="3">
        <f t="shared" si="24"/>
        <v>5582.6850809156613</v>
      </c>
      <c r="BS24" s="3">
        <f t="shared" si="24"/>
        <v>5526.8582301065044</v>
      </c>
      <c r="BT24" s="3">
        <f t="shared" si="24"/>
        <v>5471.5896478054392</v>
      </c>
      <c r="BU24" s="3">
        <f t="shared" si="24"/>
        <v>5416.8737513273845</v>
      </c>
      <c r="BV24" s="3">
        <f t="shared" si="24"/>
        <v>5362.7050138141103</v>
      </c>
      <c r="BW24" s="3">
        <f t="shared" si="24"/>
        <v>5309.0779636759689</v>
      </c>
      <c r="BX24" s="3">
        <f t="shared" si="24"/>
        <v>5255.9871840392088</v>
      </c>
      <c r="BY24" s="3">
        <f t="shared" si="24"/>
        <v>5203.4273121988163</v>
      </c>
      <c r="BZ24" s="3">
        <f t="shared" si="24"/>
        <v>5151.3930390768282</v>
      </c>
      <c r="CA24" s="3">
        <f t="shared" si="24"/>
        <v>5099.8791086860601</v>
      </c>
      <c r="CB24" s="3">
        <f t="shared" si="24"/>
        <v>5048.8803175991998</v>
      </c>
      <c r="CC24" s="3">
        <f t="shared" si="24"/>
        <v>4998.3915144232078</v>
      </c>
      <c r="CD24" s="3">
        <f t="shared" si="24"/>
        <v>4948.4075992789758</v>
      </c>
      <c r="CE24" s="3">
        <f t="shared" si="24"/>
        <v>4898.9235232861856</v>
      </c>
      <c r="CF24" s="3">
        <f t="shared" si="24"/>
        <v>4849.9342880533241</v>
      </c>
      <c r="CG24" s="3">
        <f t="shared" si="24"/>
        <v>4801.4349451727903</v>
      </c>
      <c r="CH24" s="3">
        <f t="shared" si="24"/>
        <v>4753.4205957210625</v>
      </c>
      <c r="CI24" s="3">
        <f t="shared" si="24"/>
        <v>4705.8863897638521</v>
      </c>
      <c r="CJ24" s="3">
        <f t="shared" si="24"/>
        <v>4658.8275258662134</v>
      </c>
      <c r="CK24" s="3">
        <f t="shared" si="24"/>
        <v>4612.2392506075512</v>
      </c>
      <c r="CL24" s="3">
        <f t="shared" si="24"/>
        <v>4566.1168581014754</v>
      </c>
      <c r="CM24" s="3">
        <f t="shared" si="24"/>
        <v>4520.4556895204605</v>
      </c>
      <c r="CN24" s="3">
        <f t="shared" si="24"/>
        <v>4475.2511326252561</v>
      </c>
      <c r="CO24" s="3">
        <f t="shared" si="24"/>
        <v>4430.4986212990034</v>
      </c>
      <c r="CP24" s="3">
        <f t="shared" si="24"/>
        <v>4386.1936350860133</v>
      </c>
      <c r="CQ24" s="3">
        <f t="shared" si="24"/>
        <v>4342.3316987351527</v>
      </c>
      <c r="CR24" s="3">
        <f t="shared" si="24"/>
        <v>4298.9083817478013</v>
      </c>
      <c r="CS24" s="3">
        <f t="shared" si="24"/>
        <v>4255.9192979303234</v>
      </c>
      <c r="CT24" s="3">
        <f t="shared" si="24"/>
        <v>4213.3601049510198</v>
      </c>
      <c r="CU24" s="3">
        <f t="shared" si="24"/>
        <v>4171.2265039015092</v>
      </c>
      <c r="CV24" s="3">
        <f t="shared" si="24"/>
        <v>4129.5142388624945</v>
      </c>
      <c r="CW24" s="3">
        <f t="shared" ref="CW24:FH24" si="25">CV24*(1+$AL$27)</f>
        <v>4088.2190964738693</v>
      </c>
      <c r="CX24" s="3">
        <f t="shared" si="25"/>
        <v>4047.3369055091307</v>
      </c>
      <c r="CY24" s="3">
        <f t="shared" si="25"/>
        <v>4006.8635364540391</v>
      </c>
      <c r="CZ24" s="3">
        <f t="shared" si="25"/>
        <v>3966.7949010894986</v>
      </c>
      <c r="DA24" s="3">
        <f t="shared" si="25"/>
        <v>3927.1269520786036</v>
      </c>
      <c r="DB24" s="3">
        <f t="shared" si="25"/>
        <v>3887.8556825578175</v>
      </c>
      <c r="DC24" s="3">
        <f t="shared" si="25"/>
        <v>3848.9771257322395</v>
      </c>
      <c r="DD24" s="3">
        <f t="shared" si="25"/>
        <v>3810.4873544749171</v>
      </c>
      <c r="DE24" s="3">
        <f t="shared" si="25"/>
        <v>3772.3824809301677</v>
      </c>
      <c r="DF24" s="3">
        <f t="shared" si="25"/>
        <v>3734.658656120866</v>
      </c>
      <c r="DG24" s="3">
        <f t="shared" si="25"/>
        <v>3697.3120695596572</v>
      </c>
      <c r="DH24" s="3">
        <f t="shared" si="25"/>
        <v>3660.3389488640605</v>
      </c>
      <c r="DI24" s="3">
        <f t="shared" si="25"/>
        <v>3623.7355593754201</v>
      </c>
      <c r="DJ24" s="3">
        <f t="shared" si="25"/>
        <v>3587.4982037816658</v>
      </c>
      <c r="DK24" s="3">
        <f t="shared" si="25"/>
        <v>3551.6232217438492</v>
      </c>
      <c r="DL24" s="3">
        <f t="shared" si="25"/>
        <v>3516.1069895264109</v>
      </c>
      <c r="DM24" s="3">
        <f t="shared" si="25"/>
        <v>3480.9459196311468</v>
      </c>
      <c r="DN24" s="3">
        <f t="shared" si="25"/>
        <v>3446.1364604348355</v>
      </c>
      <c r="DO24" s="3">
        <f t="shared" si="25"/>
        <v>3411.675095830487</v>
      </c>
      <c r="DP24" s="3">
        <f t="shared" si="25"/>
        <v>3377.5583448721823</v>
      </c>
      <c r="DQ24" s="3">
        <f t="shared" si="25"/>
        <v>3343.7827614234602</v>
      </c>
      <c r="DR24" s="3">
        <f t="shared" si="25"/>
        <v>3310.3449338092255</v>
      </c>
      <c r="DS24" s="3">
        <f t="shared" si="25"/>
        <v>3277.2414844711334</v>
      </c>
      <c r="DT24" s="3">
        <f t="shared" si="25"/>
        <v>3244.469069626422</v>
      </c>
      <c r="DU24" s="3">
        <f t="shared" si="25"/>
        <v>3212.0243789301576</v>
      </c>
      <c r="DV24" s="3">
        <f t="shared" si="25"/>
        <v>3179.9041351408559</v>
      </c>
      <c r="DW24" s="3">
        <f t="shared" si="25"/>
        <v>3148.1050937894474</v>
      </c>
      <c r="DX24" s="3">
        <f t="shared" si="25"/>
        <v>3116.624042851553</v>
      </c>
      <c r="DY24" s="3">
        <f t="shared" si="25"/>
        <v>3085.4578024230373</v>
      </c>
      <c r="DZ24" s="3">
        <f t="shared" si="25"/>
        <v>3054.603224398807</v>
      </c>
      <c r="EA24" s="3">
        <f t="shared" si="25"/>
        <v>3024.0571921548189</v>
      </c>
      <c r="EB24" s="3">
        <f t="shared" si="25"/>
        <v>2993.8166202332709</v>
      </c>
      <c r="EC24" s="3">
        <f t="shared" si="25"/>
        <v>2963.878454030938</v>
      </c>
      <c r="ED24" s="3">
        <f t="shared" si="25"/>
        <v>2934.2396694906288</v>
      </c>
      <c r="EE24" s="3">
        <f t="shared" si="25"/>
        <v>2904.8972727957225</v>
      </c>
      <c r="EF24" s="3">
        <f t="shared" si="25"/>
        <v>2875.8483000677652</v>
      </c>
      <c r="EG24" s="3">
        <f t="shared" si="25"/>
        <v>2847.0898170670876</v>
      </c>
      <c r="EH24" s="3">
        <f t="shared" si="25"/>
        <v>2818.6189188964167</v>
      </c>
      <c r="EI24" s="3">
        <f t="shared" si="25"/>
        <v>2790.4327297074524</v>
      </c>
      <c r="EJ24" s="3">
        <f t="shared" si="25"/>
        <v>2762.528402410378</v>
      </c>
      <c r="EK24" s="3">
        <f t="shared" si="25"/>
        <v>2734.9031183862744</v>
      </c>
      <c r="EL24" s="3">
        <f t="shared" si="25"/>
        <v>2707.5540872024117</v>
      </c>
      <c r="EM24" s="3">
        <f t="shared" si="25"/>
        <v>2680.4785463303874</v>
      </c>
      <c r="EN24" s="3">
        <f t="shared" si="25"/>
        <v>2653.6737608670837</v>
      </c>
      <c r="EO24" s="3">
        <f t="shared" si="25"/>
        <v>2627.1370232584127</v>
      </c>
      <c r="EP24" s="3">
        <f t="shared" si="25"/>
        <v>2600.8656530258286</v>
      </c>
      <c r="EQ24" s="3">
        <f t="shared" si="25"/>
        <v>2574.8569964955705</v>
      </c>
      <c r="ER24" s="3">
        <f t="shared" si="25"/>
        <v>2549.1084265306149</v>
      </c>
      <c r="ES24" s="3">
        <f t="shared" si="25"/>
        <v>2523.6173422653087</v>
      </c>
      <c r="ET24" s="3">
        <f t="shared" si="25"/>
        <v>2498.3811688426558</v>
      </c>
      <c r="EU24" s="3">
        <f t="shared" si="25"/>
        <v>2473.3973571542292</v>
      </c>
      <c r="EV24" s="3">
        <f t="shared" si="25"/>
        <v>2448.6633835826869</v>
      </c>
      <c r="EW24" s="3">
        <f t="shared" si="25"/>
        <v>2424.17674974686</v>
      </c>
      <c r="EX24" s="3">
        <f t="shared" si="25"/>
        <v>2399.9349822493914</v>
      </c>
      <c r="EY24" s="3">
        <f t="shared" si="25"/>
        <v>2375.9356324268974</v>
      </c>
      <c r="EZ24" s="3">
        <f t="shared" si="25"/>
        <v>2352.1762761026284</v>
      </c>
      <c r="FA24" s="3">
        <f t="shared" si="25"/>
        <v>2328.6545133416021</v>
      </c>
      <c r="FB24" s="3">
        <f t="shared" si="25"/>
        <v>2305.3679682081861</v>
      </c>
      <c r="FC24" s="3">
        <f t="shared" si="25"/>
        <v>2282.3142885261041</v>
      </c>
      <c r="FD24" s="3">
        <f t="shared" si="25"/>
        <v>2259.4911456408431</v>
      </c>
      <c r="FE24" s="3">
        <f t="shared" si="25"/>
        <v>2236.8962341844349</v>
      </c>
      <c r="FF24" s="3">
        <f t="shared" si="25"/>
        <v>2214.5272718425904</v>
      </c>
      <c r="FG24" s="3">
        <f t="shared" si="25"/>
        <v>2192.3819991241644</v>
      </c>
      <c r="FH24" s="3">
        <f t="shared" si="25"/>
        <v>2170.4581791329229</v>
      </c>
      <c r="FI24" s="3">
        <f t="shared" ref="FI24:FU24" si="26">FH24*(1+$AL$27)</f>
        <v>2148.7535973415934</v>
      </c>
      <c r="FJ24" s="3">
        <f t="shared" si="26"/>
        <v>2127.2660613681774</v>
      </c>
      <c r="FK24" s="3">
        <f t="shared" si="26"/>
        <v>2105.9934007544957</v>
      </c>
      <c r="FL24" s="3">
        <f t="shared" si="26"/>
        <v>2084.9334667469507</v>
      </c>
      <c r="FM24" s="3">
        <f t="shared" si="26"/>
        <v>2064.0841320794812</v>
      </c>
      <c r="FN24" s="3">
        <f t="shared" si="26"/>
        <v>2043.4432907586863</v>
      </c>
      <c r="FO24" s="3">
        <f t="shared" si="26"/>
        <v>2023.0088578510995</v>
      </c>
      <c r="FP24" s="3">
        <f t="shared" si="26"/>
        <v>2002.7787692725885</v>
      </c>
      <c r="FQ24" s="3">
        <f t="shared" si="26"/>
        <v>1982.7509815798626</v>
      </c>
      <c r="FR24" s="3">
        <f t="shared" si="26"/>
        <v>1962.9234717640638</v>
      </c>
      <c r="FS24" s="3">
        <f t="shared" si="26"/>
        <v>1943.2942370464232</v>
      </c>
      <c r="FT24" s="3">
        <f t="shared" si="26"/>
        <v>1923.861294675959</v>
      </c>
      <c r="FU24" s="3">
        <f t="shared" si="26"/>
        <v>1904.6226817291995</v>
      </c>
    </row>
    <row r="25" spans="2:177" ht="15.75" thickTop="1" x14ac:dyDescent="0.25">
      <c r="B25" s="1" t="s">
        <v>30</v>
      </c>
      <c r="C25" s="17">
        <f t="shared" ref="C25:H25" si="27">C24/C26</f>
        <v>0.72811262648482178</v>
      </c>
      <c r="D25" s="17">
        <f t="shared" si="27"/>
        <v>1.6086526847479961</v>
      </c>
      <c r="E25" s="17">
        <f t="shared" si="27"/>
        <v>-3.5560225638756773</v>
      </c>
      <c r="F25" s="17">
        <f t="shared" si="27"/>
        <v>2.9892496781832114</v>
      </c>
      <c r="G25" s="17">
        <f t="shared" si="27"/>
        <v>1.0122030943560689</v>
      </c>
      <c r="H25" s="17">
        <f t="shared" si="27"/>
        <v>1.7215878194671017</v>
      </c>
      <c r="I25" s="17">
        <f t="shared" ref="I25:K25" si="28">I24/I26</f>
        <v>1.8656879929886065</v>
      </c>
      <c r="J25" s="17">
        <f t="shared" si="28"/>
        <v>3.5637059639003219</v>
      </c>
      <c r="K25" s="17" t="e">
        <f t="shared" si="28"/>
        <v>#DIV/0!</v>
      </c>
      <c r="L25" s="17" t="e">
        <f>L24/L26</f>
        <v>#DIV/0!</v>
      </c>
      <c r="M25" s="17" t="e">
        <f>M24/M26</f>
        <v>#DIV/0!</v>
      </c>
      <c r="N25" s="17" t="e">
        <f>N24/N26</f>
        <v>#DIV/0!</v>
      </c>
      <c r="O25" s="17"/>
      <c r="P25" s="17">
        <f t="shared" ref="P25:AT25" si="29">P24/P26</f>
        <v>13.14948253697788</v>
      </c>
      <c r="Q25" s="17">
        <f t="shared" si="29"/>
        <v>12.384296879698432</v>
      </c>
      <c r="R25" s="17">
        <f t="shared" si="29"/>
        <v>6.1362152849314286</v>
      </c>
      <c r="S25" s="17">
        <f t="shared" si="29"/>
        <v>9.526192628406676</v>
      </c>
      <c r="T25" s="17">
        <f t="shared" si="29"/>
        <v>10.56547790789371</v>
      </c>
      <c r="U25" s="17">
        <f t="shared" si="29"/>
        <v>6.2349148313032083</v>
      </c>
      <c r="V25" s="17">
        <f t="shared" si="29"/>
        <v>6.3483746521013593</v>
      </c>
      <c r="W25" s="17">
        <f t="shared" si="29"/>
        <v>1.8029468909525925</v>
      </c>
      <c r="X25" s="17">
        <f t="shared" si="29"/>
        <v>8.1706371771461797</v>
      </c>
      <c r="Y25" s="17">
        <f t="shared" si="29"/>
        <v>6.571223926108261</v>
      </c>
      <c r="Z25" s="17">
        <f t="shared" si="29"/>
        <v>6.9895157769943426</v>
      </c>
      <c r="AA25" s="17">
        <f t="shared" si="29"/>
        <v>7.0768826075779305</v>
      </c>
      <c r="AB25" s="17">
        <f t="shared" si="29"/>
        <v>7.106844563610597</v>
      </c>
      <c r="AC25" s="17">
        <f t="shared" si="29"/>
        <v>7.5324185092898395</v>
      </c>
      <c r="AD25" s="17">
        <f t="shared" si="29"/>
        <v>7.1962130558246464</v>
      </c>
      <c r="AE25" s="17">
        <f t="shared" si="29"/>
        <v>7.4227531730547609</v>
      </c>
      <c r="AF25" s="17">
        <f t="shared" si="29"/>
        <v>7.6450844096162394</v>
      </c>
      <c r="AG25" s="17">
        <f t="shared" si="29"/>
        <v>7.8616465288893247</v>
      </c>
      <c r="AH25" s="17">
        <f t="shared" si="29"/>
        <v>8.0706831521704991</v>
      </c>
      <c r="AI25" s="17">
        <f t="shared" si="29"/>
        <v>8.2702212798673695</v>
      </c>
      <c r="AJ25" s="17" t="e">
        <f t="shared" si="29"/>
        <v>#DIV/0!</v>
      </c>
      <c r="AK25" s="17" t="e">
        <f t="shared" si="29"/>
        <v>#DIV/0!</v>
      </c>
      <c r="AL25" s="17" t="e">
        <f t="shared" si="29"/>
        <v>#DIV/0!</v>
      </c>
      <c r="AM25" s="17" t="e">
        <f t="shared" si="29"/>
        <v>#DIV/0!</v>
      </c>
      <c r="AN25" s="17" t="e">
        <f t="shared" si="29"/>
        <v>#DIV/0!</v>
      </c>
      <c r="AO25" s="17" t="e">
        <f t="shared" si="29"/>
        <v>#DIV/0!</v>
      </c>
      <c r="AP25" s="17" t="e">
        <f t="shared" si="29"/>
        <v>#DIV/0!</v>
      </c>
      <c r="AQ25" s="17" t="e">
        <f t="shared" si="29"/>
        <v>#DIV/0!</v>
      </c>
      <c r="AR25" s="17" t="e">
        <f t="shared" si="29"/>
        <v>#DIV/0!</v>
      </c>
      <c r="AS25" s="17" t="e">
        <f t="shared" si="29"/>
        <v>#DIV/0!</v>
      </c>
      <c r="AT25" s="17" t="e">
        <f t="shared" si="29"/>
        <v>#DIV/0!</v>
      </c>
    </row>
    <row r="26" spans="2:177" x14ac:dyDescent="0.25">
      <c r="B26" s="1" t="s">
        <v>31</v>
      </c>
      <c r="C26">
        <v>909.2</v>
      </c>
      <c r="D26">
        <v>910.7</v>
      </c>
      <c r="E26">
        <v>904.1</v>
      </c>
      <c r="F26">
        <v>912.26906199999996</v>
      </c>
      <c r="G26">
        <v>917.8</v>
      </c>
      <c r="H26">
        <v>919.5</v>
      </c>
      <c r="I26">
        <v>912.8</v>
      </c>
      <c r="J26">
        <v>922.07382800000005</v>
      </c>
      <c r="P26">
        <v>982.70026700000005</v>
      </c>
      <c r="Q26">
        <v>958.71409700000004</v>
      </c>
      <c r="R26">
        <v>937.385625</v>
      </c>
      <c r="S26">
        <v>916.31571399999996</v>
      </c>
      <c r="T26">
        <v>892.81337599999995</v>
      </c>
      <c r="U26">
        <v>896.56397100000004</v>
      </c>
      <c r="V26">
        <v>904.64100099999996</v>
      </c>
      <c r="W26">
        <f>AVERAGE(C26:F26)</f>
        <v>909.06726549999996</v>
      </c>
      <c r="X26">
        <f>AVERAGE(G26:J26)</f>
        <v>918.04345699999999</v>
      </c>
      <c r="Y26">
        <f>AVERAGE(H26:K26)</f>
        <v>918.1246093333333</v>
      </c>
      <c r="Z26">
        <f>AVERAGE(I26:L26)</f>
        <v>917.436914</v>
      </c>
      <c r="AA26">
        <f>AVERAGE(J26:M26)</f>
        <v>922.07382800000005</v>
      </c>
      <c r="AB26">
        <f>AA26*1.005</f>
        <v>926.68419713999992</v>
      </c>
      <c r="AC26">
        <f t="shared" ref="AC26:AI26" si="30">AB26*1.005</f>
        <v>931.31761812569982</v>
      </c>
      <c r="AD26">
        <f t="shared" si="30"/>
        <v>935.97420621632818</v>
      </c>
      <c r="AE26">
        <f t="shared" si="30"/>
        <v>940.65407724740976</v>
      </c>
      <c r="AF26">
        <f t="shared" si="30"/>
        <v>945.35734763364667</v>
      </c>
      <c r="AG26">
        <f t="shared" si="30"/>
        <v>950.0841343718148</v>
      </c>
      <c r="AH26">
        <f t="shared" si="30"/>
        <v>954.83455504367373</v>
      </c>
      <c r="AI26">
        <f t="shared" si="30"/>
        <v>959.60872781889202</v>
      </c>
    </row>
    <row r="27" spans="2:177" x14ac:dyDescent="0.25">
      <c r="AK27" t="s">
        <v>49</v>
      </c>
      <c r="AL27" s="4">
        <v>-0.01</v>
      </c>
    </row>
    <row r="28" spans="2:177" x14ac:dyDescent="0.25">
      <c r="B28" s="1" t="s">
        <v>45</v>
      </c>
      <c r="F28" s="4"/>
      <c r="G28" s="18">
        <f>G6/C6-1</f>
        <v>3.8740578995561936E-3</v>
      </c>
      <c r="H28" s="4"/>
      <c r="I28" s="4"/>
      <c r="J28" s="4">
        <f>J6/F6-1</f>
        <v>4.1277258566978281E-2</v>
      </c>
      <c r="Q28" s="4">
        <f>Q6/P6-1</f>
        <v>-2.2277681946636374E-2</v>
      </c>
      <c r="R28" s="4">
        <f>R6/Q6-1</f>
        <v>-9.7722722722722866E-3</v>
      </c>
      <c r="S28" s="4">
        <f t="shared" ref="S28:Y28" si="31">S6/R6-1</f>
        <v>5.7114696925661956E-3</v>
      </c>
      <c r="T28" s="4">
        <f t="shared" si="31"/>
        <v>-3.0706989483735625E-2</v>
      </c>
      <c r="U28" s="4">
        <f t="shared" si="31"/>
        <v>-4.5704952882160033E-2</v>
      </c>
      <c r="V28" s="4">
        <f t="shared" si="31"/>
        <v>-0.22099672647749957</v>
      </c>
      <c r="W28" s="4">
        <f t="shared" si="31"/>
        <v>5.5430594061132377E-2</v>
      </c>
      <c r="X28" s="4">
        <f>X6/W6-1</f>
        <v>2.197257558235588E-2</v>
      </c>
      <c r="Y28" s="18">
        <f t="shared" si="31"/>
        <v>5.0000000000000044E-2</v>
      </c>
      <c r="Z28" s="18">
        <f t="shared" ref="Z28:AI28" si="32">Z6/Y6-1</f>
        <v>5.600000000000005E-2</v>
      </c>
      <c r="AA28" s="18">
        <f t="shared" si="32"/>
        <v>5.4999999999999938E-2</v>
      </c>
      <c r="AB28" s="18">
        <f t="shared" si="32"/>
        <v>5.4000000000000048E-2</v>
      </c>
      <c r="AC28" s="18">
        <f t="shared" si="32"/>
        <v>4.4999999999999929E-2</v>
      </c>
      <c r="AD28" s="18">
        <f t="shared" si="32"/>
        <v>4.4999999999999929E-2</v>
      </c>
      <c r="AE28" s="18">
        <f t="shared" si="32"/>
        <v>4.0000000000000036E-2</v>
      </c>
      <c r="AF28" s="18">
        <f t="shared" si="32"/>
        <v>4.0000000000000036E-2</v>
      </c>
      <c r="AG28" s="18">
        <f t="shared" si="32"/>
        <v>4.0000000000000036E-2</v>
      </c>
      <c r="AH28" s="18">
        <f t="shared" si="32"/>
        <v>4.0000000000000036E-2</v>
      </c>
      <c r="AI28" s="18">
        <f t="shared" si="32"/>
        <v>4.0000000000000036E-2</v>
      </c>
      <c r="AK28" t="s">
        <v>50</v>
      </c>
      <c r="AL28" s="20">
        <v>4.4999999999999998E-2</v>
      </c>
    </row>
    <row r="29" spans="2:177" x14ac:dyDescent="0.25">
      <c r="B29" s="1" t="s">
        <v>46</v>
      </c>
      <c r="D29" s="4">
        <f t="shared" ref="D29:I29" si="33">D6/C6-1</f>
        <v>9.424526308375003E-2</v>
      </c>
      <c r="E29" s="4">
        <f t="shared" si="33"/>
        <v>-9.198583842935304E-2</v>
      </c>
      <c r="F29" s="4">
        <f t="shared" si="33"/>
        <v>0.18332624415142496</v>
      </c>
      <c r="G29" s="4">
        <f t="shared" si="33"/>
        <v>-0.14617780972921157</v>
      </c>
      <c r="H29" s="4">
        <f t="shared" si="33"/>
        <v>8.5812517541397737E-2</v>
      </c>
      <c r="I29" s="4">
        <f t="shared" si="33"/>
        <v>-4.6720516962843295E-2</v>
      </c>
      <c r="J29" s="4">
        <f>J6/I6-1</f>
        <v>0.17821312364425168</v>
      </c>
      <c r="AK29" t="s">
        <v>51</v>
      </c>
      <c r="AL29" s="1">
        <f>NPV(AL28,Y24:FU24)</f>
        <v>146763.05359247825</v>
      </c>
    </row>
    <row r="30" spans="2:177" x14ac:dyDescent="0.25">
      <c r="B30" s="1" t="s">
        <v>47</v>
      </c>
      <c r="D30" s="4">
        <f>D14/C14-1</f>
        <v>5.6123558842723575E-2</v>
      </c>
      <c r="E30" s="4">
        <f t="shared" ref="E30:J31" si="34">E14/D14-1</f>
        <v>-9.5571575695159616E-2</v>
      </c>
      <c r="F30" s="4">
        <f t="shared" si="34"/>
        <v>8.5401958551582835E-2</v>
      </c>
      <c r="G30" s="4">
        <f t="shared" si="34"/>
        <v>1.8254301300881348E-2</v>
      </c>
      <c r="H30" s="4">
        <f t="shared" si="34"/>
        <v>9.6847310941685638E-3</v>
      </c>
      <c r="I30" s="4">
        <f t="shared" si="34"/>
        <v>-9.0204081632653033E-2</v>
      </c>
      <c r="J30" s="4">
        <f t="shared" si="34"/>
        <v>7.492148945715571E-2</v>
      </c>
      <c r="Q30" s="4">
        <f t="shared" ref="Q30:X31" si="35">Q14/P14-1</f>
        <v>3.1277533039647532E-2</v>
      </c>
      <c r="R30" s="4">
        <f t="shared" si="35"/>
        <v>-6.5926242346575514E-2</v>
      </c>
      <c r="S30" s="4">
        <f t="shared" si="35"/>
        <v>-1.5955284552845561E-2</v>
      </c>
      <c r="T30" s="4">
        <f t="shared" si="35"/>
        <v>6.3926469069503167E-2</v>
      </c>
      <c r="U30" s="4">
        <f t="shared" si="35"/>
        <v>0.12026790914385566</v>
      </c>
      <c r="V30" s="4">
        <f t="shared" si="35"/>
        <v>-0.18789532969413392</v>
      </c>
      <c r="W30" s="4">
        <f t="shared" si="35"/>
        <v>-7.2552680714856876E-3</v>
      </c>
      <c r="X30" s="4">
        <f t="shared" si="35"/>
        <v>2.1172550916223276E-2</v>
      </c>
      <c r="AK30" t="s">
        <v>33</v>
      </c>
      <c r="AL30" s="1">
        <f>IBM!L8</f>
        <v>-33459</v>
      </c>
    </row>
    <row r="31" spans="2:177" x14ac:dyDescent="0.25">
      <c r="B31" s="1" t="s">
        <v>48</v>
      </c>
      <c r="D31" s="4">
        <f>D15/C15-1</f>
        <v>-3.5735556879095132E-3</v>
      </c>
      <c r="E31" s="4">
        <f>E15/D15-1</f>
        <v>-3.7059175134488975E-2</v>
      </c>
      <c r="F31" s="4">
        <f>F15/E15-1</f>
        <v>-4.345127250155234E-3</v>
      </c>
      <c r="G31" s="4">
        <f>G15/F15-1</f>
        <v>3.1795511221945238E-2</v>
      </c>
      <c r="H31" s="4">
        <f t="shared" si="34"/>
        <v>1.9335347432024141E-2</v>
      </c>
      <c r="I31" s="4">
        <f t="shared" si="34"/>
        <v>-1.1855364552459946E-3</v>
      </c>
      <c r="J31" s="4">
        <f t="shared" si="34"/>
        <v>3.7388724035608334E-2</v>
      </c>
      <c r="Q31" s="4">
        <f t="shared" si="35"/>
        <v>9.6054888507718594E-2</v>
      </c>
      <c r="R31" s="4">
        <f t="shared" si="35"/>
        <v>-2.7995131281516206E-2</v>
      </c>
      <c r="S31" s="4">
        <f t="shared" si="35"/>
        <v>-3.7745974955277317E-2</v>
      </c>
      <c r="T31" s="4">
        <f t="shared" si="35"/>
        <v>0.11340397843465322</v>
      </c>
      <c r="U31" s="4">
        <f t="shared" si="35"/>
        <v>5.743863750208722E-2</v>
      </c>
      <c r="V31" s="4">
        <f t="shared" si="35"/>
        <v>2.4474972366966607E-2</v>
      </c>
      <c r="W31" s="4">
        <f t="shared" si="35"/>
        <v>1.2176325524044351E-2</v>
      </c>
      <c r="X31" s="4">
        <f t="shared" si="35"/>
        <v>3.1673519110705151E-2</v>
      </c>
      <c r="AK31" t="s">
        <v>52</v>
      </c>
      <c r="AL31" s="1">
        <f>AL29+AL30</f>
        <v>113304.05359247825</v>
      </c>
    </row>
    <row r="32" spans="2:177" x14ac:dyDescent="0.25">
      <c r="D32" s="4"/>
      <c r="E32" s="4"/>
      <c r="F32" s="4"/>
      <c r="G32" s="4"/>
      <c r="H32" s="4"/>
      <c r="I32" s="4"/>
      <c r="J32" s="4"/>
      <c r="Q32" s="4">
        <f t="shared" ref="Q32:X32" si="36">Q18/P18-1</f>
        <v>0.34615384615384626</v>
      </c>
      <c r="R32" s="4">
        <f t="shared" si="36"/>
        <v>-2.3809523809523836E-2</v>
      </c>
      <c r="S32" s="4">
        <f t="shared" si="36"/>
        <v>0.17560975609756091</v>
      </c>
      <c r="T32" s="4">
        <f t="shared" si="36"/>
        <v>0.8589211618257262</v>
      </c>
      <c r="U32" s="4">
        <f t="shared" si="36"/>
        <v>-4.166666666666663E-2</v>
      </c>
      <c r="V32" s="4">
        <f t="shared" si="36"/>
        <v>-0.10326086956521741</v>
      </c>
      <c r="W32" s="4">
        <f t="shared" si="36"/>
        <v>5.2813852813852868E-2</v>
      </c>
      <c r="X32" s="4">
        <f t="shared" si="36"/>
        <v>0.32154605263157898</v>
      </c>
      <c r="AK32" t="s">
        <v>53</v>
      </c>
      <c r="AL32" s="17">
        <f>AL31/IBM!L3</f>
        <v>123.6842546652602</v>
      </c>
    </row>
    <row r="35" spans="2:46" x14ac:dyDescent="0.25">
      <c r="B35" t="s">
        <v>24</v>
      </c>
      <c r="C35" s="4">
        <f>C12/C6</f>
        <v>0.51665844896809188</v>
      </c>
      <c r="D35" s="4">
        <f>D12/D6</f>
        <v>0.53363373028645</v>
      </c>
      <c r="E35" s="4">
        <f>E12/E6</f>
        <v>0.52665532397561321</v>
      </c>
      <c r="F35" s="4">
        <f t="shared" ref="F35:K35" si="37">F12/F6</f>
        <v>0.57716271267673136</v>
      </c>
      <c r="G35" s="4">
        <f t="shared" si="37"/>
        <v>0.52694358686500142</v>
      </c>
      <c r="H35" s="4">
        <f t="shared" si="37"/>
        <v>0.54933764135702745</v>
      </c>
      <c r="I35" s="4">
        <f t="shared" si="37"/>
        <v>0.54379067245119306</v>
      </c>
      <c r="J35" s="4">
        <f t="shared" si="37"/>
        <v>0.59070249122605145</v>
      </c>
      <c r="K35" s="4" t="e">
        <f t="shared" si="37"/>
        <v>#DIV/0!</v>
      </c>
      <c r="L35" s="4" t="e">
        <f t="shared" ref="L35:AT35" si="38">L12/L6</f>
        <v>#DIV/0!</v>
      </c>
      <c r="M35" s="4" t="e">
        <f t="shared" si="38"/>
        <v>#DIV/0!</v>
      </c>
      <c r="N35" s="4" t="e">
        <f t="shared" si="38"/>
        <v>#DIV/0!</v>
      </c>
      <c r="O35" s="4"/>
      <c r="P35" s="4">
        <f>P12/P6</f>
        <v>0.49076962601387308</v>
      </c>
      <c r="Q35" s="4">
        <f>Q12/Q6</f>
        <v>0.47916666666666669</v>
      </c>
      <c r="R35" s="4">
        <f t="shared" si="38"/>
        <v>0.46681155940813002</v>
      </c>
      <c r="S35" s="4">
        <f t="shared" si="38"/>
        <v>0.46408513525398598</v>
      </c>
      <c r="T35" s="4">
        <f t="shared" si="38"/>
        <v>0.47298015476946609</v>
      </c>
      <c r="U35" s="4">
        <f t="shared" si="38"/>
        <v>0.48321810353024275</v>
      </c>
      <c r="V35" s="4">
        <f t="shared" si="38"/>
        <v>0.54900524838276576</v>
      </c>
      <c r="W35" s="4">
        <f t="shared" si="38"/>
        <v>0.54002973732033699</v>
      </c>
      <c r="X35" s="4">
        <f t="shared" si="38"/>
        <v>0.55447785321694143</v>
      </c>
      <c r="Y35" s="4">
        <f t="shared" si="38"/>
        <v>0.55000000000000004</v>
      </c>
      <c r="Z35" s="4">
        <f t="shared" si="38"/>
        <v>0.53</v>
      </c>
      <c r="AA35" s="4">
        <f t="shared" si="38"/>
        <v>0.52</v>
      </c>
      <c r="AB35" s="4">
        <f t="shared" si="38"/>
        <v>0.51</v>
      </c>
      <c r="AC35" s="4">
        <f t="shared" si="38"/>
        <v>0.51</v>
      </c>
      <c r="AD35" s="4">
        <f t="shared" si="38"/>
        <v>0.5</v>
      </c>
      <c r="AE35" s="4">
        <f t="shared" si="38"/>
        <v>0.5</v>
      </c>
      <c r="AF35" s="4">
        <f t="shared" si="38"/>
        <v>0.5</v>
      </c>
      <c r="AG35" s="4">
        <f t="shared" si="38"/>
        <v>0.5</v>
      </c>
      <c r="AH35" s="4">
        <f t="shared" si="38"/>
        <v>0.5</v>
      </c>
      <c r="AI35" s="4">
        <f t="shared" si="38"/>
        <v>0.5</v>
      </c>
      <c r="AJ35" s="4" t="e">
        <f t="shared" si="38"/>
        <v>#DIV/0!</v>
      </c>
      <c r="AK35" s="4" t="e">
        <f t="shared" si="38"/>
        <v>#DIV/0!</v>
      </c>
      <c r="AL35" s="4" t="e">
        <f t="shared" si="38"/>
        <v>#DIV/0!</v>
      </c>
      <c r="AM35" s="4" t="e">
        <f t="shared" si="38"/>
        <v>#DIV/0!</v>
      </c>
      <c r="AN35" s="4" t="e">
        <f t="shared" si="38"/>
        <v>#DIV/0!</v>
      </c>
      <c r="AO35" s="4" t="e">
        <f t="shared" si="38"/>
        <v>#DIV/0!</v>
      </c>
      <c r="AP35" s="4" t="e">
        <f t="shared" si="38"/>
        <v>#DIV/0!</v>
      </c>
      <c r="AQ35" s="4" t="e">
        <f t="shared" si="38"/>
        <v>#DIV/0!</v>
      </c>
      <c r="AR35" s="4" t="e">
        <f t="shared" si="38"/>
        <v>#DIV/0!</v>
      </c>
      <c r="AS35" s="4" t="e">
        <f t="shared" si="38"/>
        <v>#DIV/0!</v>
      </c>
      <c r="AT35" s="4" t="e">
        <f t="shared" si="38"/>
        <v>#DIV/0!</v>
      </c>
    </row>
    <row r="36" spans="2:46" x14ac:dyDescent="0.25">
      <c r="B36" t="s">
        <v>25</v>
      </c>
      <c r="C36" s="4">
        <f t="shared" ref="C36:K36" si="39">C20/C6</f>
        <v>4.388251038951891E-2</v>
      </c>
      <c r="D36" s="4">
        <f t="shared" si="39"/>
        <v>0.11084647570003218</v>
      </c>
      <c r="E36" s="4">
        <f t="shared" si="39"/>
        <v>-0.31915496951651778</v>
      </c>
      <c r="F36" s="4">
        <f t="shared" si="39"/>
        <v>0.19847831296429427</v>
      </c>
      <c r="G36" s="4">
        <f t="shared" si="39"/>
        <v>7.4375526241930959E-2</v>
      </c>
      <c r="H36" s="4">
        <f t="shared" si="39"/>
        <v>0.12924071082390953</v>
      </c>
      <c r="I36" s="4">
        <f t="shared" si="39"/>
        <v>0.12689804772234273</v>
      </c>
      <c r="J36" s="4">
        <f t="shared" si="39"/>
        <v>0.2161555721765146</v>
      </c>
      <c r="K36" s="4" t="e">
        <f t="shared" si="39"/>
        <v>#DIV/0!</v>
      </c>
      <c r="L36" s="4" t="e">
        <f t="shared" ref="L36:AT36" si="40">L20/L6</f>
        <v>#DIV/0!</v>
      </c>
      <c r="M36" s="4" t="e">
        <f t="shared" si="40"/>
        <v>#DIV/0!</v>
      </c>
      <c r="N36" s="4" t="e">
        <f t="shared" si="40"/>
        <v>#DIV/0!</v>
      </c>
      <c r="O36" s="4"/>
      <c r="P36" s="4">
        <f>P20/P6</f>
        <v>0.19178869844998225</v>
      </c>
      <c r="Q36" s="4">
        <f>Q20/Q6</f>
        <v>0.15429179179179178</v>
      </c>
      <c r="R36" s="4">
        <f t="shared" si="40"/>
        <v>0.14403770580876685</v>
      </c>
      <c r="S36" s="4">
        <f t="shared" si="40"/>
        <v>0.14251611363093816</v>
      </c>
      <c r="T36" s="4">
        <f t="shared" si="40"/>
        <v>0.13180032924157778</v>
      </c>
      <c r="U36" s="4">
        <f t="shared" si="40"/>
        <v>6.2984746200133113E-2</v>
      </c>
      <c r="V36" s="4">
        <f t="shared" si="40"/>
        <v>8.434029049188331E-2</v>
      </c>
      <c r="W36" s="4">
        <f t="shared" si="40"/>
        <v>1.9097967949776969E-2</v>
      </c>
      <c r="X36" s="4">
        <f t="shared" si="40"/>
        <v>0.14046233430326543</v>
      </c>
      <c r="Y36" s="4">
        <f t="shared" si="40"/>
        <v>0.10508398380367343</v>
      </c>
      <c r="Z36" s="4">
        <f t="shared" si="40"/>
        <v>0.10586654149457256</v>
      </c>
      <c r="AA36" s="4">
        <f t="shared" si="40"/>
        <v>0.10214184538044187</v>
      </c>
      <c r="AB36" s="4">
        <f t="shared" si="40"/>
        <v>9.7818907518497866E-2</v>
      </c>
      <c r="AC36" s="4">
        <f t="shared" si="40"/>
        <v>9.9797346992141378E-2</v>
      </c>
      <c r="AD36" s="4">
        <f t="shared" si="40"/>
        <v>9.164120035821724E-2</v>
      </c>
      <c r="AE36" s="4">
        <f t="shared" si="40"/>
        <v>9.1391126883538371E-2</v>
      </c>
      <c r="AF36" s="4">
        <f t="shared" si="40"/>
        <v>9.1003296110448231E-2</v>
      </c>
      <c r="AG36" s="4">
        <f t="shared" si="40"/>
        <v>9.0470786783542201E-2</v>
      </c>
      <c r="AH36" s="4">
        <f t="shared" si="40"/>
        <v>8.9786256742928491E-2</v>
      </c>
      <c r="AI36" s="4">
        <f t="shared" si="40"/>
        <v>8.8941919386177223E-2</v>
      </c>
      <c r="AJ36" s="4" t="e">
        <f t="shared" si="40"/>
        <v>#DIV/0!</v>
      </c>
      <c r="AK36" s="4" t="e">
        <f t="shared" si="40"/>
        <v>#DIV/0!</v>
      </c>
      <c r="AL36" s="4" t="e">
        <f t="shared" si="40"/>
        <v>#DIV/0!</v>
      </c>
      <c r="AM36" s="4" t="e">
        <f t="shared" si="40"/>
        <v>#DIV/0!</v>
      </c>
      <c r="AN36" s="4" t="e">
        <f t="shared" si="40"/>
        <v>#DIV/0!</v>
      </c>
      <c r="AO36" s="4" t="e">
        <f t="shared" si="40"/>
        <v>#DIV/0!</v>
      </c>
      <c r="AP36" s="4" t="e">
        <f t="shared" si="40"/>
        <v>#DIV/0!</v>
      </c>
      <c r="AQ36" s="4" t="e">
        <f t="shared" si="40"/>
        <v>#DIV/0!</v>
      </c>
      <c r="AR36" s="4" t="e">
        <f t="shared" si="40"/>
        <v>#DIV/0!</v>
      </c>
      <c r="AS36" s="4" t="e">
        <f t="shared" si="40"/>
        <v>#DIV/0!</v>
      </c>
      <c r="AT36" s="4" t="e">
        <f t="shared" si="40"/>
        <v>#DIV/0!</v>
      </c>
    </row>
    <row r="37" spans="2:46" x14ac:dyDescent="0.25">
      <c r="B37" t="s">
        <v>26</v>
      </c>
      <c r="C37" s="4">
        <f>C24/C6</f>
        <v>4.6629569627386069E-2</v>
      </c>
      <c r="D37" s="4">
        <f>D24/D6</f>
        <v>9.430318635339556E-2</v>
      </c>
      <c r="E37" s="4">
        <f>E24/E6</f>
        <v>-0.2279171983553098</v>
      </c>
      <c r="F37" s="4">
        <f t="shared" ref="F37:K37" si="41">F24/F6</f>
        <v>0.16337167505391806</v>
      </c>
      <c r="G37" s="4">
        <f t="shared" si="41"/>
        <v>6.5183833847880998E-2</v>
      </c>
      <c r="H37" s="4">
        <f t="shared" si="41"/>
        <v>0.10229402261712439</v>
      </c>
      <c r="I37" s="4">
        <f t="shared" si="41"/>
        <v>0.11544197396963124</v>
      </c>
      <c r="J37" s="4">
        <f t="shared" si="41"/>
        <v>0.18905701628214716</v>
      </c>
      <c r="K37" s="4" t="e">
        <f t="shared" si="41"/>
        <v>#DIV/0!</v>
      </c>
      <c r="L37" s="4" t="e">
        <f t="shared" ref="L37:AT37" si="42">L24/L6</f>
        <v>#DIV/0!</v>
      </c>
      <c r="M37" s="4" t="e">
        <f t="shared" si="42"/>
        <v>#DIV/0!</v>
      </c>
      <c r="N37" s="4" t="e">
        <f t="shared" si="42"/>
        <v>#DIV/0!</v>
      </c>
      <c r="O37" s="4"/>
      <c r="P37" s="4">
        <f>P24/P6</f>
        <v>0.15808468210567525</v>
      </c>
      <c r="Q37" s="4">
        <f>Q24/Q6</f>
        <v>0.14856106106106107</v>
      </c>
      <c r="R37" s="4">
        <f t="shared" si="42"/>
        <v>7.2682242636373975E-2</v>
      </c>
      <c r="S37" s="4">
        <f t="shared" si="42"/>
        <v>0.1096732042567627</v>
      </c>
      <c r="T37" s="4">
        <f t="shared" si="42"/>
        <v>0.12227306311327725</v>
      </c>
      <c r="U37" s="4">
        <f t="shared" si="42"/>
        <v>7.5929422311568712E-2</v>
      </c>
      <c r="V37" s="4">
        <f t="shared" si="42"/>
        <v>0.10013774825199212</v>
      </c>
      <c r="W37" s="4">
        <f t="shared" si="42"/>
        <v>2.7077482240211465E-2</v>
      </c>
      <c r="X37" s="4">
        <f t="shared" si="42"/>
        <v>0.12125767862916262</v>
      </c>
      <c r="Y37" s="4">
        <f t="shared" si="42"/>
        <v>9.2885661940172129E-2</v>
      </c>
      <c r="Z37" s="4">
        <f t="shared" si="42"/>
        <v>9.3488925220520783E-2</v>
      </c>
      <c r="AA37" s="4">
        <f t="shared" si="42"/>
        <v>9.0176234030977451E-2</v>
      </c>
      <c r="AB37" s="4">
        <f t="shared" si="42"/>
        <v>8.6348017425337015E-2</v>
      </c>
      <c r="AC37" s="4">
        <f t="shared" si="42"/>
        <v>8.8015622872870042E-2</v>
      </c>
      <c r="AD37" s="4">
        <f t="shared" si="42"/>
        <v>8.0868448129550491E-2</v>
      </c>
      <c r="AE37" s="4">
        <f t="shared" si="42"/>
        <v>8.0607014828968288E-2</v>
      </c>
      <c r="AF37" s="4">
        <f t="shared" si="42"/>
        <v>8.0227419962522542E-2</v>
      </c>
      <c r="AG37" s="4">
        <f t="shared" si="42"/>
        <v>7.972357714248228E-2</v>
      </c>
      <c r="AH37" s="4">
        <f t="shared" si="42"/>
        <v>7.9089036290194481E-2</v>
      </c>
      <c r="AI37" s="4">
        <f t="shared" si="42"/>
        <v>7.8316963061980632E-2</v>
      </c>
      <c r="AJ37" s="4" t="e">
        <f t="shared" si="42"/>
        <v>#DIV/0!</v>
      </c>
      <c r="AK37" s="4" t="e">
        <f t="shared" si="42"/>
        <v>#DIV/0!</v>
      </c>
      <c r="AL37" s="4" t="e">
        <f t="shared" si="42"/>
        <v>#DIV/0!</v>
      </c>
      <c r="AM37" s="4" t="e">
        <f t="shared" si="42"/>
        <v>#DIV/0!</v>
      </c>
      <c r="AN37" s="4" t="e">
        <f t="shared" si="42"/>
        <v>#DIV/0!</v>
      </c>
      <c r="AO37" s="4" t="e">
        <f t="shared" si="42"/>
        <v>#DIV/0!</v>
      </c>
      <c r="AP37" s="4" t="e">
        <f t="shared" si="42"/>
        <v>#DIV/0!</v>
      </c>
      <c r="AQ37" s="4" t="e">
        <f t="shared" si="42"/>
        <v>#DIV/0!</v>
      </c>
      <c r="AR37" s="4" t="e">
        <f t="shared" si="42"/>
        <v>#DIV/0!</v>
      </c>
      <c r="AS37" s="4" t="e">
        <f t="shared" si="42"/>
        <v>#DIV/0!</v>
      </c>
      <c r="AT37" s="4" t="e">
        <f t="shared" si="42"/>
        <v>#DIV/0!</v>
      </c>
    </row>
    <row r="38" spans="2:46" x14ac:dyDescent="0.25">
      <c r="B38" t="s">
        <v>27</v>
      </c>
      <c r="C38" s="4">
        <f>C21/C20</f>
        <v>-6.2600321027287326E-2</v>
      </c>
      <c r="D38" s="4">
        <f>D21/D20</f>
        <v>0.14924506387921022</v>
      </c>
      <c r="E38" s="4">
        <f>E21/E20</f>
        <v>0.28587294535761881</v>
      </c>
      <c r="F38" s="4">
        <f t="shared" ref="F38:K38" si="43">F21/F20</f>
        <v>0.13371566555991549</v>
      </c>
      <c r="G38" s="4">
        <f t="shared" si="43"/>
        <v>0.1169811320754717</v>
      </c>
      <c r="H38" s="4">
        <f t="shared" si="43"/>
        <v>0.20949999999999999</v>
      </c>
      <c r="I38" s="4">
        <f t="shared" si="43"/>
        <v>8.4935897435897439E-2</v>
      </c>
      <c r="J38" s="4">
        <f t="shared" si="43"/>
        <v>0.12616449294649987</v>
      </c>
      <c r="K38" s="4" t="e">
        <f t="shared" si="43"/>
        <v>#DIV/0!</v>
      </c>
      <c r="L38" s="4" t="e">
        <f t="shared" ref="L38:AT38" si="44">L21/L20</f>
        <v>#DIV/0!</v>
      </c>
      <c r="M38" s="4" t="e">
        <f t="shared" si="44"/>
        <v>#DIV/0!</v>
      </c>
      <c r="N38" s="4" t="e">
        <f t="shared" si="44"/>
        <v>#DIV/0!</v>
      </c>
      <c r="O38" s="4"/>
      <c r="P38" s="4">
        <f>P21/P20</f>
        <v>0.1646360910888563</v>
      </c>
      <c r="Q38" s="4">
        <f>Q21/Q20</f>
        <v>3.6412294217824992E-2</v>
      </c>
      <c r="R38" s="4">
        <f t="shared" si="44"/>
        <v>0.49495569786823407</v>
      </c>
      <c r="S38" s="4">
        <f t="shared" si="44"/>
        <v>0.23089129859825444</v>
      </c>
      <c r="T38" s="4">
        <f t="shared" si="44"/>
        <v>7.1892210857592453E-2</v>
      </c>
      <c r="U38" s="4">
        <f t="shared" si="44"/>
        <v>-0.18632736683200346</v>
      </c>
      <c r="V38" s="4">
        <f t="shared" si="44"/>
        <v>2.5635724622700022E-2</v>
      </c>
      <c r="W38" s="4">
        <f t="shared" si="44"/>
        <v>-0.54152249134948094</v>
      </c>
      <c r="X38" s="4">
        <f t="shared" si="44"/>
        <v>0.13534353780642192</v>
      </c>
      <c r="Y38" s="4">
        <f t="shared" si="44"/>
        <v>0.13</v>
      </c>
      <c r="Z38" s="4">
        <f t="shared" si="44"/>
        <v>0.13</v>
      </c>
      <c r="AA38" s="4">
        <f t="shared" si="44"/>
        <v>0.13</v>
      </c>
      <c r="AB38" s="4">
        <f t="shared" si="44"/>
        <v>0.13</v>
      </c>
      <c r="AC38" s="4">
        <f t="shared" si="44"/>
        <v>0.13</v>
      </c>
      <c r="AD38" s="4">
        <f t="shared" si="44"/>
        <v>0.13</v>
      </c>
      <c r="AE38" s="4">
        <f t="shared" si="44"/>
        <v>0.13</v>
      </c>
      <c r="AF38" s="4">
        <f t="shared" si="44"/>
        <v>0.13</v>
      </c>
      <c r="AG38" s="4">
        <f t="shared" si="44"/>
        <v>0.13</v>
      </c>
      <c r="AH38" s="4">
        <f t="shared" si="44"/>
        <v>0.13</v>
      </c>
      <c r="AI38" s="4">
        <f t="shared" si="44"/>
        <v>0.13</v>
      </c>
      <c r="AJ38" s="4" t="e">
        <f t="shared" si="44"/>
        <v>#DIV/0!</v>
      </c>
      <c r="AK38" s="4" t="e">
        <f t="shared" si="44"/>
        <v>#DIV/0!</v>
      </c>
      <c r="AL38" s="4" t="e">
        <f t="shared" si="44"/>
        <v>#DIV/0!</v>
      </c>
      <c r="AM38" s="4" t="e">
        <f t="shared" si="44"/>
        <v>#DIV/0!</v>
      </c>
      <c r="AN38" s="4" t="e">
        <f t="shared" si="44"/>
        <v>#DIV/0!</v>
      </c>
      <c r="AO38" s="4" t="e">
        <f t="shared" si="44"/>
        <v>#DIV/0!</v>
      </c>
      <c r="AP38" s="4" t="e">
        <f t="shared" si="44"/>
        <v>#DIV/0!</v>
      </c>
      <c r="AQ38" s="4" t="e">
        <f t="shared" si="44"/>
        <v>#DIV/0!</v>
      </c>
      <c r="AR38" s="4" t="e">
        <f t="shared" si="44"/>
        <v>#DIV/0!</v>
      </c>
      <c r="AS38" s="4" t="e">
        <f t="shared" si="44"/>
        <v>#DIV/0!</v>
      </c>
      <c r="AT38" s="4" t="e">
        <f t="shared" si="44"/>
        <v>#DIV/0!</v>
      </c>
    </row>
  </sheetData>
  <phoneticPr fontId="3" type="noConversion"/>
  <hyperlinks>
    <hyperlink ref="A1" location="IBM!A1" display="Main" xr:uid="{17F4EEE1-2665-4C09-B6C3-A8FA22CCDB4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1D9-2E93-4363-887E-5354C82BFFDC}">
  <dimension ref="A1:H33"/>
  <sheetViews>
    <sheetView workbookViewId="0">
      <selection activeCell="C28" sqref="C28"/>
    </sheetView>
  </sheetViews>
  <sheetFormatPr defaultRowHeight="15" x14ac:dyDescent="0.25"/>
  <cols>
    <col min="2" max="2" width="26.42578125" bestFit="1" customWidth="1"/>
    <col min="3" max="4" width="33.85546875" customWidth="1"/>
    <col min="5" max="5" width="14" customWidth="1"/>
    <col min="6" max="6" width="16.140625" bestFit="1" customWidth="1"/>
    <col min="7" max="7" width="21.140625" bestFit="1" customWidth="1"/>
    <col min="8" max="8" width="21.140625" customWidth="1"/>
  </cols>
  <sheetData>
    <row r="1" spans="1:8" ht="21.75" customHeight="1" x14ac:dyDescent="0.25">
      <c r="A1" s="48" t="s">
        <v>99</v>
      </c>
    </row>
    <row r="2" spans="1:8" ht="27.75" customHeight="1" thickBot="1" x14ac:dyDescent="0.3">
      <c r="B2" s="39" t="s">
        <v>70</v>
      </c>
      <c r="C2" s="40" t="s">
        <v>54</v>
      </c>
      <c r="D2" s="40" t="s">
        <v>75</v>
      </c>
      <c r="E2" s="40"/>
      <c r="F2" s="40" t="s">
        <v>55</v>
      </c>
      <c r="G2" s="41" t="s">
        <v>56</v>
      </c>
      <c r="H2" s="42" t="s">
        <v>75</v>
      </c>
    </row>
    <row r="3" spans="1:8" ht="16.5" thickBot="1" x14ac:dyDescent="0.3">
      <c r="B3" s="35" t="s">
        <v>57</v>
      </c>
      <c r="C3" s="32"/>
      <c r="D3" s="32"/>
      <c r="E3" s="32"/>
      <c r="F3" s="36">
        <f>26308/61627</f>
        <v>0.42689081084589547</v>
      </c>
      <c r="G3" s="33" t="s">
        <v>63</v>
      </c>
      <c r="H3" s="28" t="s">
        <v>76</v>
      </c>
    </row>
    <row r="4" spans="1:8" ht="15.75" x14ac:dyDescent="0.25">
      <c r="B4" s="21" t="s">
        <v>57</v>
      </c>
      <c r="C4" t="s">
        <v>80</v>
      </c>
      <c r="D4" t="s">
        <v>98</v>
      </c>
      <c r="E4" s="30">
        <v>22483</v>
      </c>
      <c r="F4" s="37"/>
      <c r="G4" s="29"/>
      <c r="H4" s="28" t="s">
        <v>77</v>
      </c>
    </row>
    <row r="5" spans="1:8" ht="15.75" x14ac:dyDescent="0.25">
      <c r="B5" s="21" t="s">
        <v>0</v>
      </c>
      <c r="C5" t="s">
        <v>82</v>
      </c>
      <c r="E5" s="30">
        <v>3764</v>
      </c>
      <c r="F5" s="37"/>
      <c r="G5" s="29"/>
      <c r="H5" s="28" t="s">
        <v>78</v>
      </c>
    </row>
    <row r="6" spans="1:8" ht="16.5" thickBot="1" x14ac:dyDescent="0.3">
      <c r="B6" s="21" t="s">
        <v>65</v>
      </c>
      <c r="E6" s="30">
        <v>62</v>
      </c>
      <c r="F6" s="37"/>
      <c r="G6" s="29"/>
      <c r="H6" s="28" t="s">
        <v>79</v>
      </c>
    </row>
    <row r="7" spans="1:8" ht="16.5" thickBot="1" x14ac:dyDescent="0.3">
      <c r="B7" s="35" t="s">
        <v>58</v>
      </c>
      <c r="C7" s="32"/>
      <c r="D7" s="32"/>
      <c r="E7" s="32"/>
      <c r="F7" s="36">
        <f>19985/61627</f>
        <v>0.32428967822545313</v>
      </c>
      <c r="G7" s="33" t="s">
        <v>60</v>
      </c>
      <c r="H7" s="28"/>
    </row>
    <row r="8" spans="1:8" ht="15.75" x14ac:dyDescent="0.25">
      <c r="B8" s="21" t="s">
        <v>0</v>
      </c>
      <c r="D8" t="s">
        <v>96</v>
      </c>
      <c r="E8" s="30">
        <v>19691</v>
      </c>
      <c r="F8" s="37"/>
      <c r="G8" s="29"/>
      <c r="H8" s="28"/>
    </row>
    <row r="9" spans="1:8" ht="15.75" x14ac:dyDescent="0.25">
      <c r="B9" s="21" t="s">
        <v>57</v>
      </c>
      <c r="D9" t="s">
        <v>96</v>
      </c>
      <c r="E9" s="30">
        <v>212</v>
      </c>
      <c r="F9" s="37"/>
      <c r="G9" s="29"/>
      <c r="H9" s="28"/>
    </row>
    <row r="10" spans="1:8" ht="16.5" thickBot="1" x14ac:dyDescent="0.3">
      <c r="B10" s="21" t="s">
        <v>65</v>
      </c>
      <c r="C10" t="s">
        <v>81</v>
      </c>
      <c r="D10" t="s">
        <v>96</v>
      </c>
      <c r="E10" s="30">
        <v>82</v>
      </c>
      <c r="F10" s="37"/>
      <c r="G10" s="29"/>
      <c r="H10" s="28"/>
    </row>
    <row r="11" spans="1:8" ht="16.5" thickBot="1" x14ac:dyDescent="0.3">
      <c r="B11" s="35" t="s">
        <v>59</v>
      </c>
      <c r="C11" s="32"/>
      <c r="D11" s="32"/>
      <c r="E11" s="32"/>
      <c r="F11" s="36">
        <f>14593/61627</f>
        <v>0.2367955603874925</v>
      </c>
      <c r="G11" s="33" t="s">
        <v>61</v>
      </c>
      <c r="H11" s="28"/>
    </row>
    <row r="12" spans="1:8" ht="15.75" x14ac:dyDescent="0.25">
      <c r="B12" s="21" t="s">
        <v>66</v>
      </c>
      <c r="C12" t="s">
        <v>82</v>
      </c>
      <c r="E12" s="30">
        <v>4138</v>
      </c>
      <c r="F12" s="37"/>
      <c r="G12" s="29"/>
      <c r="H12" s="28"/>
    </row>
    <row r="13" spans="1:8" ht="15.75" x14ac:dyDescent="0.25">
      <c r="B13" s="21" t="s">
        <v>67</v>
      </c>
      <c r="C13" t="s">
        <v>84</v>
      </c>
      <c r="E13" s="30">
        <v>4253</v>
      </c>
      <c r="F13" s="37"/>
      <c r="G13" s="29"/>
      <c r="H13" s="28"/>
    </row>
    <row r="14" spans="1:8" ht="15.75" x14ac:dyDescent="0.25">
      <c r="B14" s="21" t="s">
        <v>0</v>
      </c>
      <c r="C14" t="s">
        <v>82</v>
      </c>
      <c r="E14" s="30">
        <v>2463</v>
      </c>
      <c r="F14" s="37"/>
      <c r="G14" s="29"/>
      <c r="H14" s="28"/>
    </row>
    <row r="15" spans="1:8" ht="28.5" customHeight="1" x14ac:dyDescent="0.25">
      <c r="B15" s="21" t="s">
        <v>68</v>
      </c>
      <c r="C15" s="43" t="s">
        <v>83</v>
      </c>
      <c r="D15" s="43"/>
      <c r="E15" s="30">
        <v>2081</v>
      </c>
      <c r="F15" s="37"/>
      <c r="G15" s="29"/>
      <c r="H15" s="28"/>
    </row>
    <row r="16" spans="1:8" ht="16.5" thickBot="1" x14ac:dyDescent="0.3">
      <c r="B16" s="21" t="s">
        <v>57</v>
      </c>
      <c r="D16" t="s">
        <v>97</v>
      </c>
      <c r="E16" s="30">
        <v>1658</v>
      </c>
      <c r="F16" s="37"/>
      <c r="G16" s="29"/>
      <c r="H16" s="28"/>
    </row>
    <row r="17" spans="2:8" ht="16.5" thickBot="1" x14ac:dyDescent="0.3">
      <c r="B17" s="35" t="s">
        <v>2</v>
      </c>
      <c r="C17" s="32"/>
      <c r="D17" s="32"/>
      <c r="E17" s="32"/>
      <c r="F17" s="38">
        <f>741/61627</f>
        <v>1.2023950541158908E-2</v>
      </c>
      <c r="G17" s="33" t="s">
        <v>62</v>
      </c>
      <c r="H17" s="28"/>
    </row>
    <row r="18" spans="2:8" x14ac:dyDescent="0.25">
      <c r="B18" s="21" t="s">
        <v>2</v>
      </c>
      <c r="E18" s="30">
        <v>680</v>
      </c>
      <c r="G18" s="23"/>
    </row>
    <row r="19" spans="2:8" x14ac:dyDescent="0.25">
      <c r="B19" s="21" t="s">
        <v>69</v>
      </c>
      <c r="E19" s="30">
        <v>60</v>
      </c>
      <c r="G19" s="23"/>
    </row>
    <row r="20" spans="2:8" x14ac:dyDescent="0.25">
      <c r="B20" s="21"/>
      <c r="E20" s="30"/>
      <c r="G20" s="23"/>
    </row>
    <row r="21" spans="2:8" x14ac:dyDescent="0.25">
      <c r="B21" s="24"/>
      <c r="C21" s="25"/>
      <c r="D21" s="25"/>
      <c r="E21" s="31"/>
      <c r="F21" s="25"/>
      <c r="G21" s="26"/>
    </row>
    <row r="22" spans="2:8" ht="15.75" thickBot="1" x14ac:dyDescent="0.3"/>
    <row r="23" spans="2:8" ht="16.5" thickBot="1" x14ac:dyDescent="0.3">
      <c r="B23" s="35" t="s">
        <v>71</v>
      </c>
      <c r="C23" s="32"/>
      <c r="D23" s="32"/>
      <c r="E23" s="32"/>
      <c r="F23" s="38"/>
      <c r="G23" s="33"/>
      <c r="H23" s="28"/>
    </row>
    <row r="24" spans="2:8" x14ac:dyDescent="0.25">
      <c r="B24" s="21" t="s">
        <v>64</v>
      </c>
      <c r="E24" s="30"/>
      <c r="F24" s="4">
        <f>25309/61860</f>
        <v>0.40913352731975428</v>
      </c>
      <c r="G24" s="23"/>
    </row>
    <row r="25" spans="2:8" x14ac:dyDescent="0.25">
      <c r="B25" s="21" t="s">
        <v>72</v>
      </c>
      <c r="E25" s="30"/>
      <c r="F25" s="4">
        <f>36551/61860</f>
        <v>0.59086647268024572</v>
      </c>
      <c r="G25" s="23"/>
    </row>
    <row r="26" spans="2:8" x14ac:dyDescent="0.25">
      <c r="B26" s="21"/>
      <c r="E26" s="30"/>
      <c r="G26" s="23"/>
    </row>
    <row r="27" spans="2:8" x14ac:dyDescent="0.25">
      <c r="B27" s="24"/>
      <c r="C27" s="25"/>
      <c r="D27" s="25"/>
      <c r="E27" s="31"/>
      <c r="F27" s="25"/>
      <c r="G27" s="26"/>
    </row>
    <row r="29" spans="2:8" x14ac:dyDescent="0.25">
      <c r="B29" t="s">
        <v>73</v>
      </c>
      <c r="C29" t="s">
        <v>74</v>
      </c>
    </row>
    <row r="30" spans="2:8" x14ac:dyDescent="0.25">
      <c r="B30" t="s">
        <v>85</v>
      </c>
    </row>
    <row r="33" spans="6:6" x14ac:dyDescent="0.25">
      <c r="F33" s="19"/>
    </row>
  </sheetData>
  <hyperlinks>
    <hyperlink ref="A1" location="IBM!A1" display="Main" xr:uid="{34660686-07DC-4878-BEA8-88C14F6BDD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81ED-CE30-42D0-95C2-12D450B093CA}">
  <dimension ref="A1:F10"/>
  <sheetViews>
    <sheetView workbookViewId="0"/>
  </sheetViews>
  <sheetFormatPr defaultRowHeight="15" x14ac:dyDescent="0.25"/>
  <cols>
    <col min="2" max="2" width="23.42578125" bestFit="1" customWidth="1"/>
  </cols>
  <sheetData>
    <row r="1" spans="1:6" x14ac:dyDescent="0.25">
      <c r="A1" s="48" t="s">
        <v>99</v>
      </c>
    </row>
    <row r="3" spans="1:6" x14ac:dyDescent="0.25">
      <c r="C3" t="s">
        <v>37</v>
      </c>
      <c r="D3" t="s">
        <v>92</v>
      </c>
      <c r="E3" t="s">
        <v>93</v>
      </c>
      <c r="F3" t="s">
        <v>94</v>
      </c>
    </row>
    <row r="4" spans="1:6" x14ac:dyDescent="0.25">
      <c r="B4" s="7" t="s">
        <v>86</v>
      </c>
      <c r="C4" s="44"/>
    </row>
    <row r="5" spans="1:6" x14ac:dyDescent="0.25">
      <c r="B5" t="s">
        <v>91</v>
      </c>
      <c r="C5" s="44">
        <v>0.16900000000000001</v>
      </c>
    </row>
    <row r="6" spans="1:6" x14ac:dyDescent="0.25">
      <c r="B6" t="s">
        <v>90</v>
      </c>
      <c r="C6" s="44">
        <v>0.06</v>
      </c>
    </row>
    <row r="7" spans="1:6" x14ac:dyDescent="0.25">
      <c r="B7" t="s">
        <v>88</v>
      </c>
      <c r="C7" s="44">
        <v>0.05</v>
      </c>
    </row>
    <row r="8" spans="1:6" x14ac:dyDescent="0.25">
      <c r="B8" t="s">
        <v>89</v>
      </c>
      <c r="C8" s="44">
        <v>5.6000000000000001E-2</v>
      </c>
    </row>
    <row r="9" spans="1:6" x14ac:dyDescent="0.25">
      <c r="B9" t="s">
        <v>87</v>
      </c>
      <c r="C9" s="44">
        <v>5.0999999999999997E-2</v>
      </c>
    </row>
    <row r="10" spans="1:6" x14ac:dyDescent="0.25">
      <c r="B10" t="s">
        <v>95</v>
      </c>
      <c r="C10" s="44">
        <v>-6.1500000000000006E-2</v>
      </c>
    </row>
  </sheetData>
  <hyperlinks>
    <hyperlink ref="A1" location="IBM!A1" display="Main" xr:uid="{5C618D50-155F-491E-93CE-C59C744048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IBM</vt:lpstr>
      <vt:lpstr>MODEL</vt:lpstr>
      <vt:lpstr>Segments</vt:lpstr>
      <vt:lpstr>Analysts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2024-04-08T15:50:04Z</dcterms:created>
  <dcterms:modified xsi:type="dcterms:W3CDTF">2024-04-11T02:44:37Z</dcterms:modified>
</cp:coreProperties>
</file>