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877" documentId="8_{A3C53D33-0D3E-4DE0-A731-47871641A24F}" xr6:coauthVersionLast="47" xr6:coauthVersionMax="47" xr10:uidLastSave="{E2A8A34C-123A-4EFD-8E68-0ADA8DE51606}"/>
  <bookViews>
    <workbookView xWindow="-108" yWindow="-108" windowWidth="30936" windowHeight="17496" activeTab="1" xr2:uid="{8AE3CAB9-1DDD-4C7A-BCF0-E281925CF4F9}"/>
  </bookViews>
  <sheets>
    <sheet name="Main" sheetId="2" r:id="rId1"/>
    <sheet name="Model" sheetId="1" r:id="rId2"/>
    <sheet name="Seg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Y26" i="1"/>
  <c r="Y25" i="1"/>
  <c r="Y24" i="1"/>
  <c r="X27" i="1"/>
  <c r="X26" i="1"/>
  <c r="X25" i="1"/>
  <c r="X24" i="1"/>
  <c r="Y21" i="1"/>
  <c r="Y19" i="1"/>
  <c r="X19" i="1"/>
  <c r="Y18" i="1"/>
  <c r="X18" i="1"/>
  <c r="Y16" i="1"/>
  <c r="X16" i="1"/>
  <c r="Y14" i="1"/>
  <c r="X14" i="1"/>
  <c r="Y12" i="1"/>
  <c r="X12" i="1"/>
  <c r="Y11" i="1"/>
  <c r="X11" i="1"/>
  <c r="Y8" i="1"/>
  <c r="X8" i="1"/>
  <c r="Y7" i="1"/>
  <c r="X7" i="1"/>
  <c r="Y6" i="1"/>
  <c r="X6" i="1"/>
  <c r="Y17" i="1"/>
  <c r="X17" i="1"/>
  <c r="Y15" i="1"/>
  <c r="X15" i="1"/>
  <c r="Y13" i="1"/>
  <c r="X13" i="1"/>
  <c r="Y10" i="1"/>
  <c r="X10" i="1"/>
  <c r="Y9" i="1"/>
  <c r="X9" i="1"/>
  <c r="Y5" i="1"/>
  <c r="X5" i="1"/>
  <c r="X4" i="1"/>
  <c r="X3" i="1"/>
  <c r="Y4" i="1"/>
  <c r="Y3" i="1"/>
  <c r="L35" i="1" l="1"/>
  <c r="L34" i="1"/>
  <c r="L103" i="1"/>
  <c r="L100" i="1"/>
  <c r="L92" i="1"/>
  <c r="J52" i="1"/>
  <c r="J39" i="1"/>
  <c r="I39" i="1"/>
  <c r="H39" i="1"/>
  <c r="J38" i="1"/>
  <c r="I38" i="1"/>
  <c r="H38" i="1"/>
  <c r="H68" i="1"/>
  <c r="H60" i="1"/>
  <c r="H65" i="1" s="1"/>
  <c r="H49" i="1"/>
  <c r="H54" i="1" s="1"/>
  <c r="I68" i="1"/>
  <c r="I60" i="1"/>
  <c r="I65" i="1" s="1"/>
  <c r="I49" i="1"/>
  <c r="I54" i="1" s="1"/>
  <c r="J68" i="1"/>
  <c r="J60" i="1"/>
  <c r="J65" i="1" s="1"/>
  <c r="J49" i="1"/>
  <c r="K52" i="1"/>
  <c r="K46" i="1"/>
  <c r="L52" i="1"/>
  <c r="Y68" i="1"/>
  <c r="S68" i="1"/>
  <c r="R68" i="1"/>
  <c r="Q68" i="1"/>
  <c r="L68" i="1"/>
  <c r="K68" i="1"/>
  <c r="O68" i="1"/>
  <c r="N68" i="1"/>
  <c r="M68" i="1"/>
  <c r="P68" i="1"/>
  <c r="M52" i="1"/>
  <c r="N52" i="1"/>
  <c r="K22" i="1"/>
  <c r="J22" i="1"/>
  <c r="I22" i="1"/>
  <c r="H9" i="1"/>
  <c r="H5" i="1"/>
  <c r="H24" i="1" s="1"/>
  <c r="I9" i="1"/>
  <c r="I5" i="1"/>
  <c r="I24" i="1" s="1"/>
  <c r="M9" i="1"/>
  <c r="M5" i="1"/>
  <c r="J9" i="1"/>
  <c r="J5" i="1"/>
  <c r="J24" i="1" s="1"/>
  <c r="N9" i="1"/>
  <c r="N5" i="1"/>
  <c r="P52" i="1"/>
  <c r="Y60" i="1"/>
  <c r="Y65" i="1" s="1"/>
  <c r="Y52" i="1"/>
  <c r="Y46" i="1"/>
  <c r="Y49" i="1" s="1"/>
  <c r="Y39" i="1"/>
  <c r="Y38" i="1"/>
  <c r="S39" i="1"/>
  <c r="R39" i="1"/>
  <c r="Q39" i="1"/>
  <c r="S38" i="1"/>
  <c r="R38" i="1"/>
  <c r="Q38" i="1"/>
  <c r="P39" i="1"/>
  <c r="P38" i="1"/>
  <c r="N39" i="1"/>
  <c r="M39" i="1"/>
  <c r="L39" i="1"/>
  <c r="K39" i="1"/>
  <c r="N38" i="1"/>
  <c r="M38" i="1"/>
  <c r="L38" i="1"/>
  <c r="K38" i="1"/>
  <c r="O39" i="1"/>
  <c r="O38" i="1"/>
  <c r="S60" i="1"/>
  <c r="S65" i="1" s="1"/>
  <c r="S69" i="1" s="1"/>
  <c r="S49" i="1"/>
  <c r="S54" i="1" s="1"/>
  <c r="R60" i="1"/>
  <c r="R65" i="1" s="1"/>
  <c r="R49" i="1"/>
  <c r="R54" i="1" s="1"/>
  <c r="Q60" i="1"/>
  <c r="Q65" i="1" s="1"/>
  <c r="Q49" i="1"/>
  <c r="Q54" i="1" s="1"/>
  <c r="P60" i="1"/>
  <c r="P65" i="1" s="1"/>
  <c r="P49" i="1"/>
  <c r="N49" i="1"/>
  <c r="M49" i="1"/>
  <c r="M54" i="1" s="1"/>
  <c r="L49" i="1"/>
  <c r="K49" i="1"/>
  <c r="N60" i="1"/>
  <c r="N65" i="1" s="1"/>
  <c r="M60" i="1"/>
  <c r="M65" i="1" s="1"/>
  <c r="L60" i="1"/>
  <c r="L65" i="1" s="1"/>
  <c r="K60" i="1"/>
  <c r="K65" i="1" s="1"/>
  <c r="O60" i="1"/>
  <c r="O65" i="1" s="1"/>
  <c r="O52" i="1"/>
  <c r="O46" i="1"/>
  <c r="O49" i="1" s="1"/>
  <c r="K9" i="1"/>
  <c r="K5" i="1"/>
  <c r="K24" i="1" s="1"/>
  <c r="J42" i="3"/>
  <c r="J40" i="3"/>
  <c r="J39" i="3"/>
  <c r="J38" i="3"/>
  <c r="J37" i="3"/>
  <c r="J35" i="3"/>
  <c r="J32" i="3"/>
  <c r="J31" i="3"/>
  <c r="J28" i="3"/>
  <c r="J27" i="3"/>
  <c r="J26" i="3"/>
  <c r="J20" i="3"/>
  <c r="I20" i="3"/>
  <c r="H20" i="3"/>
  <c r="G20" i="3"/>
  <c r="F20" i="3"/>
  <c r="I8" i="3"/>
  <c r="I11" i="3" s="1"/>
  <c r="H8" i="3"/>
  <c r="H11" i="3" s="1"/>
  <c r="G8" i="3"/>
  <c r="G11" i="3" s="1"/>
  <c r="G21" i="3" s="1"/>
  <c r="G23" i="3" s="1"/>
  <c r="F8" i="3"/>
  <c r="F11" i="3" s="1"/>
  <c r="F21" i="3" s="1"/>
  <c r="F23" i="3" s="1"/>
  <c r="J8" i="3"/>
  <c r="J11" i="3" s="1"/>
  <c r="J33" i="3" s="1"/>
  <c r="O22" i="1"/>
  <c r="N22" i="1"/>
  <c r="M22" i="1"/>
  <c r="L22" i="1"/>
  <c r="O21" i="1"/>
  <c r="N21" i="1"/>
  <c r="M21" i="1"/>
  <c r="L21" i="1"/>
  <c r="P22" i="1"/>
  <c r="P21" i="1"/>
  <c r="O9" i="1"/>
  <c r="O5" i="1"/>
  <c r="L9" i="1"/>
  <c r="L5" i="1"/>
  <c r="L24" i="1" s="1"/>
  <c r="P9" i="1"/>
  <c r="P5" i="1"/>
  <c r="P24" i="1" s="1"/>
  <c r="L6" i="2"/>
  <c r="L8" i="2" s="1"/>
  <c r="L5" i="2"/>
  <c r="L4" i="2"/>
  <c r="J54" i="1" l="1"/>
  <c r="H37" i="1"/>
  <c r="J37" i="1"/>
  <c r="S37" i="1"/>
  <c r="I37" i="1"/>
  <c r="K54" i="1"/>
  <c r="Y54" i="1"/>
  <c r="R37" i="1"/>
  <c r="O54" i="1"/>
  <c r="L54" i="1"/>
  <c r="H69" i="1"/>
  <c r="I69" i="1"/>
  <c r="J69" i="1"/>
  <c r="Q69" i="1"/>
  <c r="R69" i="1"/>
  <c r="K69" i="1"/>
  <c r="P69" i="1"/>
  <c r="L69" i="1"/>
  <c r="M69" i="1"/>
  <c r="Y69" i="1"/>
  <c r="O69" i="1"/>
  <c r="O37" i="1"/>
  <c r="N69" i="1"/>
  <c r="L37" i="1"/>
  <c r="K37" i="1"/>
  <c r="M37" i="1"/>
  <c r="Y37" i="1"/>
  <c r="Q37" i="1"/>
  <c r="N37" i="1"/>
  <c r="N54" i="1"/>
  <c r="H10" i="1"/>
  <c r="I10" i="1"/>
  <c r="M10" i="1"/>
  <c r="M13" i="1" s="1"/>
  <c r="M24" i="1"/>
  <c r="J10" i="1"/>
  <c r="N10" i="1"/>
  <c r="N13" i="1" s="1"/>
  <c r="N24" i="1"/>
  <c r="P37" i="1"/>
  <c r="P54" i="1"/>
  <c r="K10" i="1"/>
  <c r="H21" i="3"/>
  <c r="H23" i="3" s="1"/>
  <c r="I21" i="3"/>
  <c r="I23" i="3" s="1"/>
  <c r="J21" i="3"/>
  <c r="J23" i="3" s="1"/>
  <c r="J29" i="3"/>
  <c r="O10" i="1"/>
  <c r="O13" i="1" s="1"/>
  <c r="O15" i="1" s="1"/>
  <c r="O71" i="1" s="1"/>
  <c r="P10" i="1"/>
  <c r="O24" i="1"/>
  <c r="L10" i="1"/>
  <c r="L7" i="2"/>
  <c r="I13" i="1" l="1"/>
  <c r="I25" i="1"/>
  <c r="O17" i="1"/>
  <c r="O18" i="1" s="1"/>
  <c r="J13" i="1"/>
  <c r="J25" i="1"/>
  <c r="H13" i="1"/>
  <c r="H25" i="1"/>
  <c r="M25" i="1"/>
  <c r="M15" i="1"/>
  <c r="M71" i="1" s="1"/>
  <c r="M27" i="1"/>
  <c r="N25" i="1"/>
  <c r="N27" i="1"/>
  <c r="N15" i="1"/>
  <c r="N71" i="1" s="1"/>
  <c r="K13" i="1"/>
  <c r="K25" i="1"/>
  <c r="O25" i="1"/>
  <c r="O27" i="1"/>
  <c r="O26" i="1"/>
  <c r="P25" i="1"/>
  <c r="P13" i="1"/>
  <c r="L13" i="1"/>
  <c r="L25" i="1"/>
  <c r="J15" i="1" l="1"/>
  <c r="J27" i="1"/>
  <c r="H15" i="1"/>
  <c r="H27" i="1"/>
  <c r="I15" i="1"/>
  <c r="I27" i="1"/>
  <c r="M17" i="1"/>
  <c r="M18" i="1" s="1"/>
  <c r="M26" i="1"/>
  <c r="N26" i="1"/>
  <c r="N17" i="1"/>
  <c r="N18" i="1" s="1"/>
  <c r="K15" i="1"/>
  <c r="K27" i="1"/>
  <c r="P27" i="1"/>
  <c r="P15" i="1"/>
  <c r="P71" i="1" s="1"/>
  <c r="L15" i="1"/>
  <c r="L27" i="1"/>
  <c r="O29" i="1" l="1"/>
  <c r="L71" i="1"/>
  <c r="L85" i="1" s="1"/>
  <c r="L29" i="1"/>
  <c r="L31" i="1"/>
  <c r="L30" i="1"/>
  <c r="K31" i="1"/>
  <c r="K30" i="1"/>
  <c r="K29" i="1"/>
  <c r="M29" i="1"/>
  <c r="O30" i="1"/>
  <c r="P31" i="1"/>
  <c r="P30" i="1"/>
  <c r="M30" i="1"/>
  <c r="M31" i="1"/>
  <c r="N29" i="1"/>
  <c r="N31" i="1"/>
  <c r="N30" i="1"/>
  <c r="O31" i="1"/>
  <c r="P29" i="1"/>
  <c r="H17" i="1"/>
  <c r="H18" i="1" s="1"/>
  <c r="H26" i="1"/>
  <c r="J17" i="1"/>
  <c r="J18" i="1" s="1"/>
  <c r="J26" i="1"/>
  <c r="I17" i="1"/>
  <c r="I18" i="1" s="1"/>
  <c r="I26" i="1"/>
  <c r="K17" i="1"/>
  <c r="K18" i="1" s="1"/>
  <c r="K26" i="1"/>
  <c r="L17" i="1"/>
  <c r="L18" i="1" s="1"/>
  <c r="L26" i="1"/>
  <c r="P26" i="1"/>
  <c r="P17" i="1"/>
  <c r="P18" i="1" s="1"/>
</calcChain>
</file>

<file path=xl/sharedStrings.xml><?xml version="1.0" encoding="utf-8"?>
<sst xmlns="http://schemas.openxmlformats.org/spreadsheetml/2006/main" count="198" uniqueCount="167">
  <si>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</si>
  <si>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</si>
  <si>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</si>
  <si>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</si>
  <si>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</si>
  <si>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</si>
  <si>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</si>
  <si>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</si>
  <si>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</si>
  <si>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</si>
  <si>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</si>
  <si>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</si>
  <si>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</si>
  <si>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</si>
  <si>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</si>
  <si>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</si>
  <si>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</si>
  <si>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>Model</t>
  </si>
  <si>
    <t>Q121</t>
  </si>
  <si>
    <t>Q221</t>
  </si>
  <si>
    <t>Q321</t>
  </si>
  <si>
    <t>Q421</t>
  </si>
  <si>
    <t>Q420</t>
  </si>
  <si>
    <t>Q124</t>
  </si>
  <si>
    <t>Q224</t>
  </si>
  <si>
    <t>Q324</t>
  </si>
  <si>
    <t>Q424</t>
  </si>
  <si>
    <t>INTC</t>
  </si>
  <si>
    <t>INTEL CORPORATION</t>
  </si>
  <si>
    <t>Intel engages in the design, manufacture, and sale of computer products and technologies.</t>
  </si>
  <si>
    <t>It delivers computer, networking, data storage, and communications platforms. The firm</t>
  </si>
  <si>
    <t>operates through the following segments:</t>
  </si>
  <si>
    <t>Client Computing Group (CCG)</t>
  </si>
  <si>
    <t>Data Center and AI (DCAI)</t>
  </si>
  <si>
    <t>Network and Edge (NEX)</t>
  </si>
  <si>
    <t>Mobiley</t>
  </si>
  <si>
    <t>Mobileye</t>
  </si>
  <si>
    <t>Accelerated Computing Systems and Graphics (AXG)</t>
  </si>
  <si>
    <t>Intel Foundry Services (IFS)</t>
  </si>
  <si>
    <t>All Other</t>
  </si>
  <si>
    <t>The company was founded by Robert Norton Noyce and Gordon Earle Moore</t>
  </si>
  <si>
    <t>on July 18, 1968, and is headquarterd in Santa Clara, CA.</t>
  </si>
  <si>
    <t>Patrick Gelsinger</t>
  </si>
  <si>
    <t>Executives</t>
  </si>
  <si>
    <t>Name</t>
  </si>
  <si>
    <t>Title</t>
  </si>
  <si>
    <t>Age</t>
  </si>
  <si>
    <t>Michelle Johnston</t>
  </si>
  <si>
    <t>GM</t>
  </si>
  <si>
    <t>April Miller</t>
  </si>
  <si>
    <t>Legal</t>
  </si>
  <si>
    <t>Christoph Schell</t>
  </si>
  <si>
    <t>CCO</t>
  </si>
  <si>
    <t>David Zinsner</t>
  </si>
  <si>
    <t>CFO</t>
  </si>
  <si>
    <t>Revenue</t>
  </si>
  <si>
    <t>Cost of sales</t>
  </si>
  <si>
    <t>Gross Profit</t>
  </si>
  <si>
    <t>R&amp;D</t>
  </si>
  <si>
    <t>Marketing, G&amp;A</t>
  </si>
  <si>
    <t>Restructuring and other</t>
  </si>
  <si>
    <t>Operating expenses</t>
  </si>
  <si>
    <t>Operating income</t>
  </si>
  <si>
    <t>Interest and other, net</t>
  </si>
  <si>
    <t>Gains (loss) on equity investments, net</t>
  </si>
  <si>
    <t>Pretax</t>
  </si>
  <si>
    <t>Taxes</t>
  </si>
  <si>
    <t>Net income</t>
  </si>
  <si>
    <t>Non-controlling interest</t>
  </si>
  <si>
    <t>Net income to Intel</t>
  </si>
  <si>
    <t>EPS</t>
  </si>
  <si>
    <t>Shares (basic)</t>
  </si>
  <si>
    <t>Revenue Y/Y</t>
  </si>
  <si>
    <t>Revenue Q/Q</t>
  </si>
  <si>
    <t>Gross Margin %</t>
  </si>
  <si>
    <t>Operating Margin %</t>
  </si>
  <si>
    <t>Net Margin %</t>
  </si>
  <si>
    <t>Tax Rate %</t>
  </si>
  <si>
    <t>ROA</t>
  </si>
  <si>
    <t>ROE</t>
  </si>
  <si>
    <t>ROIC</t>
  </si>
  <si>
    <t>Cash Flow</t>
  </si>
  <si>
    <t>Free Cash Flow</t>
  </si>
  <si>
    <t>Desktop</t>
  </si>
  <si>
    <t>Notebook</t>
  </si>
  <si>
    <t>Other</t>
  </si>
  <si>
    <t>Client Computing Group</t>
  </si>
  <si>
    <t>Intel Foundry</t>
  </si>
  <si>
    <t>Altera</t>
  </si>
  <si>
    <t>Total CCG</t>
  </si>
  <si>
    <t>Total All Other</t>
  </si>
  <si>
    <t>Intel Products:</t>
  </si>
  <si>
    <t>Total Intel Products revenue</t>
  </si>
  <si>
    <t>Intersegment eliminations</t>
  </si>
  <si>
    <t>Total net revenue</t>
  </si>
  <si>
    <t>Total operating segment revenue</t>
  </si>
  <si>
    <t>Operating segment revenue</t>
  </si>
  <si>
    <t>Desktop Y/Y</t>
  </si>
  <si>
    <t>Notebook Y/Y</t>
  </si>
  <si>
    <t>Other Y/Y</t>
  </si>
  <si>
    <t>CCG Y/Y</t>
  </si>
  <si>
    <t>DCAI Y/Y</t>
  </si>
  <si>
    <t>NEX Y/Y</t>
  </si>
  <si>
    <t>Intel Products Y/Y</t>
  </si>
  <si>
    <t>Intel Foundry Y/Y</t>
  </si>
  <si>
    <t>Altera Y/Y</t>
  </si>
  <si>
    <t>Mobileye Y/Y</t>
  </si>
  <si>
    <t>All Other Y/Y</t>
  </si>
  <si>
    <t>Net revenue Y/Y</t>
  </si>
  <si>
    <t>Net cash</t>
  </si>
  <si>
    <t>Cash and equivalents</t>
  </si>
  <si>
    <t>Short-term investments</t>
  </si>
  <si>
    <t>A/R</t>
  </si>
  <si>
    <t>Inventories</t>
  </si>
  <si>
    <t>Raw materials</t>
  </si>
  <si>
    <t>Work in progress</t>
  </si>
  <si>
    <t>Finished goods</t>
  </si>
  <si>
    <t>Current assets</t>
  </si>
  <si>
    <t>PP&amp;E</t>
  </si>
  <si>
    <t>Equity investments</t>
  </si>
  <si>
    <t>Goodwill + Intangibles</t>
  </si>
  <si>
    <t>Other long-term assets</t>
  </si>
  <si>
    <t>Assets</t>
  </si>
  <si>
    <t>Short-term debt</t>
  </si>
  <si>
    <t>A/P</t>
  </si>
  <si>
    <t>Accrued comp and benefits</t>
  </si>
  <si>
    <t>Income taxes payable</t>
  </si>
  <si>
    <t>Other accrued liabilities</t>
  </si>
  <si>
    <t>Current liabilities</t>
  </si>
  <si>
    <t>Other long-term liabilities</t>
  </si>
  <si>
    <t>SE</t>
  </si>
  <si>
    <t>L+SE</t>
  </si>
  <si>
    <t>Liabilities</t>
  </si>
  <si>
    <t>Equity</t>
  </si>
  <si>
    <t>ROTA</t>
  </si>
  <si>
    <t>Long-term income taxes payable</t>
  </si>
  <si>
    <t>Assets held for sale</t>
  </si>
  <si>
    <t>DT</t>
  </si>
  <si>
    <t>Reported NI</t>
  </si>
  <si>
    <t>Depreciation</t>
  </si>
  <si>
    <t>SBC</t>
  </si>
  <si>
    <t>Restructuring</t>
  </si>
  <si>
    <t>Amortization of intangibles</t>
  </si>
  <si>
    <t>(Gains) loss on equity investments</t>
  </si>
  <si>
    <t>(Gains) loss on divestitures</t>
  </si>
  <si>
    <t>Income taxes</t>
  </si>
  <si>
    <t>Other assets and liabilities</t>
  </si>
  <si>
    <t>Adjustments</t>
  </si>
  <si>
    <t>CFFO</t>
  </si>
  <si>
    <t>CapEx</t>
  </si>
  <si>
    <t>Purchases of short-term investments</t>
  </si>
  <si>
    <t>Maturities and sales of ST investments</t>
  </si>
  <si>
    <t>Sales of equity investments</t>
  </si>
  <si>
    <t>Proceeds from divestitures</t>
  </si>
  <si>
    <t>Other investing</t>
  </si>
  <si>
    <t>CFFI</t>
  </si>
  <si>
    <t>Repayment of commercial paper</t>
  </si>
  <si>
    <t>Payments on finance leases</t>
  </si>
  <si>
    <t>Partner contributions</t>
  </si>
  <si>
    <t>Issuance of long-term debt, net iss. cost</t>
  </si>
  <si>
    <t>Sales of stock through equity incentive</t>
  </si>
  <si>
    <t>Dividends</t>
  </si>
  <si>
    <t>Other financing</t>
  </si>
  <si>
    <t>CFFF</t>
  </si>
  <si>
    <t>Increase (decrease) in cash</t>
  </si>
  <si>
    <t>Cash end of period</t>
  </si>
  <si>
    <t>Cash beginning of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</si>
</sst>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1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0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3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5" fillId="0" borderId="1" xfId="0" applyFont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/>
    <xf numFmtId="3" fontId="2" fillId="0" borderId="1" xfId="0" applyNumberFormat="1" applyFont="1" applyBorder="1"/>
    <xf numFmtId="0" fontId="6" fillId="0" borderId="0" xfId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1" fillId="2" borderId="0" xfId="0" applyNumberFormat="1" applyFont="1" applyFill="1"/>
    <xf numFmtId="3" fontId="1" fillId="0" borderId="0" xfId="0" applyNumberFormat="1" applyFont="1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right"/>
    </xf>
    <xf numFmtId="0" fontId="6" fillId="2" borderId="0" xfId="1" applyFont="1" applyFill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5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7" xfId="0" applyFont="1" applyBorder="1"/>
    <xf numFmtId="0" fontId="1" fillId="0" borderId="8" xfId="0" applyFont="1" applyBorder="1"/>
    <xf numFmtId="0" fontId="2" fillId="0" borderId="9" xfId="0" applyFont="1" applyBorder="1"/>
    <xf numFmtId="0" fontId="1" fillId="0" borderId="1" xfId="0" applyFont="1" applyBorder="1"/>
    <xf numFmtId="3" fontId="5" fillId="2" borderId="0" xfId="0" applyNumberFormat="1" applyFont="1" applyFill="1"/>
    <xf numFmtId="3" fontId="5" fillId="0" borderId="0" xfId="0" applyNumberFormat="1" applyFont="1"/>
    <xf numFmtId="0" fontId="10" fillId="2" borderId="0" xfId="0" applyFont="1" applyFill="1"/>
    <xf numFmtId="14" fontId="10" fillId="2" borderId="0" xfId="0" applyNumberFormat="1" applyFont="1" applyFill="1"/>
    <xf numFmtId="2" fontId="1" fillId="0" borderId="0" xfId="0" applyNumberFormat="1" applyFont="1"/>
    <xf numFmtId="0" fontId="11" fillId="2" borderId="2" xfId="0" applyFont="1" applyFill="1" applyBorder="1"/>
    <xf numFmtId="0" fontId="11" fillId="0" borderId="2" xfId="0" applyFont="1" applyBorder="1"/>
    <xf numFmtId="0" fontId="11" fillId="2" borderId="3" xfId="0" applyFont="1" applyFill="1" applyBorder="1"/>
    <xf numFmtId="0" fontId="11" fillId="0" borderId="3" xfId="0" applyFont="1" applyBorder="1"/>
    <xf numFmtId="0" fontId="11" fillId="2" borderId="0" xfId="0" applyFont="1" applyFill="1" applyBorder="1"/>
    <xf numFmtId="0" fontId="11" fillId="0" borderId="0" xfId="0" applyFont="1" applyBorder="1"/>
    <xf numFmtId="9" fontId="11" fillId="0" borderId="2" xfId="0" applyNumberFormat="1" applyFont="1" applyBorder="1"/>
    <xf numFmtId="9" fontId="11" fillId="0" borderId="3" xfId="0" applyNumberFormat="1" applyFont="1" applyBorder="1"/>
    <xf numFmtId="9" fontId="11" fillId="0" borderId="0" xfId="0" applyNumberFormat="1" applyFont="1" applyBorder="1"/>
    <xf numFmtId="0" fontId="8" fillId="0" borderId="0" xfId="0" applyFont="1"/>
    <xf numFmtId="0" fontId="5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3" fontId="1" fillId="2" borderId="0" xfId="0" applyNumberFormat="1" applyFont="1" applyFill="1" applyAlignment="1">
      <alignment horizontal="left" indent="1"/>
    </xf>
    <xf numFmtId="3" fontId="5" fillId="2" borderId="0" xfId="0" applyNumberFormat="1" applyFont="1" applyFill="1" applyAlignment="1">
      <alignment horizontal="left" indent="1"/>
    </xf>
    <xf numFmtId="0" fontId="13" fillId="2" borderId="0" xfId="0" applyFont="1" applyFill="1" applyAlignment="1">
      <alignment horizontal="left"/>
    </xf>
    <xf numFmtId="9" fontId="1" fillId="0" borderId="0" xfId="0" applyNumberFormat="1" applyFont="1"/>
    <xf numFmtId="9" fontId="5" fillId="0" borderId="0" xfId="0" applyNumberFormat="1" applyFont="1"/>
    <xf numFmtId="3" fontId="12" fillId="2" borderId="0" xfId="0" applyNumberFormat="1" applyFont="1" applyFill="1" applyBorder="1"/>
    <xf numFmtId="3" fontId="12" fillId="0" borderId="0" xfId="0" applyNumberFormat="1" applyFont="1" applyBorder="1"/>
    <xf numFmtId="3" fontId="11" fillId="2" borderId="0" xfId="0" applyNumberFormat="1" applyFont="1" applyFill="1" applyBorder="1"/>
    <xf numFmtId="3" fontId="11" fillId="0" borderId="0" xfId="0" applyNumberFormat="1" applyFont="1" applyBorder="1"/>
    <xf numFmtId="3" fontId="11" fillId="2" borderId="10" xfId="0" applyNumberFormat="1" applyFont="1" applyFill="1" applyBorder="1"/>
    <xf numFmtId="3" fontId="11" fillId="0" borderId="10" xfId="0" applyNumberFormat="1" applyFont="1" applyBorder="1"/>
    <xf numFmtId="3" fontId="1" fillId="0" borderId="0" xfId="0" applyNumberFormat="1" applyFont="1" applyAlignment="1">
      <alignment horizontal="left" indent="1"/>
    </xf>
    <xf numFmtId="168" fontId="11" fillId="0" borderId="2" xfId="0" applyNumberFormat="1" applyFont="1" applyBorder="1"/>
    <xf numFmtId="168" fontId="11" fillId="0" borderId="0" xfId="0" applyNumberFormat="1" applyFont="1" applyBorder="1"/>
    <xf numFmtId="3" fontId="1" fillId="0" borderId="0" xfId="0" applyNumberFormat="1" applyFont="1" applyAlignment="1">
      <alignment horizontal="right"/>
    </xf>
    <xf numFmtId="3" fontId="1" fillId="2" borderId="0" xfId="0" applyNumberFormat="1" applyFont="1" applyFill="1" applyAlignment="1">
      <alignment horizontal="left"/>
    </xf>
    <xf numFmtId="3" fontId="11" fillId="0" borderId="2" xfId="0" applyNumberFormat="1" applyFont="1" applyBorder="1"/>
    <xf numFmtId="3" fontId="11" fillId="0" borderId="3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0</xdr:rowOff>
    </xdr:from>
    <xdr:to>
      <xdr:col>25</xdr:col>
      <xdr:colOff>0</xdr:colOff>
      <xdr:row>97</xdr:row>
      <xdr:rowOff>156309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87F4C14-02EA-478E-A306-3E5A0A7C5FA7}"/>
            </a:ext>
          </a:extLst>
        </xdr:cNvPr>
        <xdr:cNvCxnSpPr/>
      </xdr:nvCxnSpPr>
      <xdr:spPr>
        <a:xfrm>
          <a:off x="16937421" y="268014"/>
          <a:ext cx="0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</xdr:row>
      <xdr:rowOff>0</xdr:rowOff>
    </xdr:from>
    <xdr:to>
      <xdr:col>16</xdr:col>
      <xdr:colOff>493</xdr:colOff>
      <xdr:row>97</xdr:row>
      <xdr:rowOff>156309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A3066EE5-CFD0-4D4D-8F0A-11C26C42B66F}"/>
            </a:ext>
          </a:extLst>
        </xdr:cNvPr>
        <xdr:cNvCxnSpPr/>
      </xdr:nvCxnSpPr>
      <xdr:spPr>
        <a:xfrm>
          <a:off x="11514083" y="268014"/>
          <a:ext cx="493" cy="15764171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M25"/>
  <sheetViews>
    <sheetView zoomScale="190" zoomScaleNormal="190" workbookViewId="0">
      <selection activeCell="L3" sqref="L3"/>
    </sheetView>
  </sheetViews>
  <sheetFormatPr defaultRowHeight="13.2" x14ac:dyDescent="0.25"/>
  <cols>
    <col min="1" max="1" width="8.109375" style="1" customWidth="1"/>
    <col min="2" max="2" width="15.77734375" style="1" customWidth="1"/>
    <col min="3" max="10" width="8.88671875" style="1"/>
    <col min="11" max="11" width="9.77734375" style="1" customWidth="1"/>
    <col min="12" max="12" width="14.88671875" style="1" customWidth="1"/>
    <col min="13" max="13" width="9.109375" style="1" customWidth="1"/>
    <col min="14" max="16384" width="8.88671875" style="1"/>
  </cols>
  <sheetData>
    <row r="1" spans="2:13" ht="21" customHeight="1" x14ac:dyDescent="0.25">
      <c r="B1" s="6" t="s">
        <v>17</v>
      </c>
      <c r="K1" s="7" t="s">
        <v>27</v>
      </c>
      <c r="L1" s="7"/>
    </row>
    <row r="2" spans="2:13" ht="22.8" customHeight="1" x14ac:dyDescent="0.25">
      <c r="B2" s="14" t="s">
        <v>28</v>
      </c>
      <c r="C2" s="14"/>
      <c r="D2" s="14"/>
      <c r="E2" s="14"/>
      <c r="F2" s="14"/>
      <c r="G2" s="14"/>
      <c r="H2" s="14"/>
      <c r="I2" s="14"/>
      <c r="K2" s="3" t="s">
        <v>0</v>
      </c>
      <c r="L2" s="4">
        <v>30.74</v>
      </c>
    </row>
    <row r="3" spans="2:13" x14ac:dyDescent="0.25">
      <c r="K3" s="3" t="s">
        <v>1</v>
      </c>
      <c r="L3" s="5">
        <v>4257</v>
      </c>
      <c r="M3" s="11" t="s">
        <v>23</v>
      </c>
    </row>
    <row r="4" spans="2:13" x14ac:dyDescent="0.25">
      <c r="B4" s="19" t="s">
        <v>40</v>
      </c>
      <c r="C4" s="16"/>
      <c r="D4" s="16"/>
      <c r="E4" s="16"/>
      <c r="F4" s="16"/>
      <c r="G4" s="16"/>
      <c r="H4" s="16"/>
      <c r="I4" s="20"/>
      <c r="K4" s="3" t="s">
        <v>2</v>
      </c>
      <c r="L4" s="5">
        <f>L3*L2</f>
        <v>130860.18</v>
      </c>
    </row>
    <row r="5" spans="2:13" x14ac:dyDescent="0.25">
      <c r="B5" s="21" t="s">
        <v>41</v>
      </c>
      <c r="C5" s="17"/>
      <c r="D5" s="17"/>
      <c r="E5" s="17"/>
      <c r="F5" s="17"/>
      <c r="G5" s="17"/>
      <c r="H5" s="17"/>
      <c r="I5" s="22"/>
      <c r="K5" s="3" t="s">
        <v>3</v>
      </c>
      <c r="L5" s="5">
        <f>6923+14388</f>
        <v>21311</v>
      </c>
      <c r="M5" s="11" t="s">
        <v>23</v>
      </c>
    </row>
    <row r="6" spans="2:13" x14ac:dyDescent="0.25">
      <c r="K6" s="3" t="s">
        <v>4</v>
      </c>
      <c r="L6" s="5">
        <f>4581+47869</f>
        <v>52450</v>
      </c>
      <c r="M6" s="11" t="s">
        <v>23</v>
      </c>
    </row>
    <row r="7" spans="2:13" x14ac:dyDescent="0.25">
      <c r="B7" s="19" t="s">
        <v>29</v>
      </c>
      <c r="C7" s="16"/>
      <c r="D7" s="16"/>
      <c r="E7" s="16"/>
      <c r="F7" s="16"/>
      <c r="G7" s="16"/>
      <c r="H7" s="16"/>
      <c r="I7" s="20"/>
      <c r="K7" s="3" t="s">
        <v>5</v>
      </c>
      <c r="L7" s="5">
        <f>L4-L5+L6</f>
        <v>161999.18</v>
      </c>
    </row>
    <row r="8" spans="2:13" x14ac:dyDescent="0.25">
      <c r="B8" s="23" t="s">
        <v>30</v>
      </c>
      <c r="C8" s="18"/>
      <c r="D8" s="18"/>
      <c r="E8" s="18"/>
      <c r="F8" s="18"/>
      <c r="G8" s="18"/>
      <c r="H8" s="18"/>
      <c r="I8" s="24"/>
      <c r="K8" s="3" t="s">
        <v>6</v>
      </c>
      <c r="L8" s="5">
        <f>L5-L6</f>
        <v>-31139</v>
      </c>
    </row>
    <row r="9" spans="2:13" x14ac:dyDescent="0.25">
      <c r="B9" s="21" t="s">
        <v>31</v>
      </c>
      <c r="C9" s="17"/>
      <c r="D9" s="17"/>
      <c r="E9" s="17"/>
      <c r="F9" s="17"/>
      <c r="G9" s="17"/>
      <c r="H9" s="17"/>
      <c r="I9" s="22"/>
      <c r="K9" s="3"/>
      <c r="L9" s="3"/>
    </row>
    <row r="10" spans="2:13" x14ac:dyDescent="0.25">
      <c r="K10" s="3" t="s">
        <v>7</v>
      </c>
      <c r="L10" s="25" t="s">
        <v>42</v>
      </c>
    </row>
    <row r="11" spans="2:13" x14ac:dyDescent="0.25">
      <c r="B11" s="41" t="s">
        <v>32</v>
      </c>
      <c r="C11" s="42"/>
      <c r="D11" s="42"/>
      <c r="E11" s="42"/>
      <c r="F11" s="42"/>
      <c r="G11" s="42"/>
      <c r="H11" s="42"/>
      <c r="I11" s="43"/>
    </row>
    <row r="12" spans="2:13" x14ac:dyDescent="0.25">
      <c r="B12" s="44" t="s">
        <v>33</v>
      </c>
      <c r="C12" s="45"/>
      <c r="D12" s="45"/>
      <c r="E12" s="45"/>
      <c r="F12" s="45"/>
      <c r="G12" s="45"/>
      <c r="H12" s="45"/>
      <c r="I12" s="46"/>
    </row>
    <row r="13" spans="2:13" x14ac:dyDescent="0.25">
      <c r="B13" s="44" t="s">
        <v>34</v>
      </c>
      <c r="C13" s="45"/>
      <c r="D13" s="45"/>
      <c r="E13" s="45"/>
      <c r="F13" s="45"/>
      <c r="G13" s="45"/>
      <c r="H13" s="45"/>
      <c r="I13" s="46"/>
    </row>
    <row r="14" spans="2:13" x14ac:dyDescent="0.25">
      <c r="B14" s="44" t="s">
        <v>36</v>
      </c>
      <c r="C14" s="45"/>
      <c r="D14" s="45"/>
      <c r="E14" s="45"/>
      <c r="F14" s="45"/>
      <c r="G14" s="45"/>
      <c r="H14" s="45"/>
      <c r="I14" s="46"/>
    </row>
    <row r="15" spans="2:13" x14ac:dyDescent="0.25">
      <c r="B15" s="44" t="s">
        <v>37</v>
      </c>
      <c r="C15" s="45"/>
      <c r="D15" s="45"/>
      <c r="E15" s="45"/>
      <c r="F15" s="45"/>
      <c r="G15" s="45"/>
      <c r="H15" s="45"/>
      <c r="I15" s="46"/>
    </row>
    <row r="16" spans="2:13" x14ac:dyDescent="0.25">
      <c r="B16" s="44" t="s">
        <v>38</v>
      </c>
      <c r="C16" s="45"/>
      <c r="D16" s="45"/>
      <c r="E16" s="45"/>
      <c r="F16" s="45"/>
      <c r="G16" s="45"/>
      <c r="H16" s="45"/>
      <c r="I16" s="46"/>
    </row>
    <row r="17" spans="2:9" x14ac:dyDescent="0.25">
      <c r="B17" s="47" t="s">
        <v>39</v>
      </c>
      <c r="C17" s="48"/>
      <c r="D17" s="48"/>
      <c r="E17" s="48"/>
      <c r="F17" s="48"/>
      <c r="G17" s="48"/>
      <c r="H17" s="48"/>
      <c r="I17" s="49"/>
    </row>
    <row r="19" spans="2:9" ht="13.8" x14ac:dyDescent="0.25">
      <c r="B19" s="40" t="s">
        <v>43</v>
      </c>
    </row>
    <row r="20" spans="2:9" x14ac:dyDescent="0.25">
      <c r="B20" s="2" t="s">
        <v>44</v>
      </c>
      <c r="C20" s="2" t="s">
        <v>45</v>
      </c>
      <c r="D20" s="2" t="s">
        <v>46</v>
      </c>
    </row>
    <row r="21" spans="2:9" x14ac:dyDescent="0.25">
      <c r="B21" s="25" t="s">
        <v>42</v>
      </c>
      <c r="C21" s="25" t="s">
        <v>7</v>
      </c>
      <c r="D21" s="50">
        <v>62</v>
      </c>
    </row>
    <row r="22" spans="2:9" x14ac:dyDescent="0.25">
      <c r="B22" s="25" t="s">
        <v>47</v>
      </c>
      <c r="C22" s="25" t="s">
        <v>48</v>
      </c>
      <c r="D22" s="50">
        <v>50</v>
      </c>
    </row>
    <row r="23" spans="2:9" x14ac:dyDescent="0.25">
      <c r="B23" s="25" t="s">
        <v>49</v>
      </c>
      <c r="C23" s="25" t="s">
        <v>50</v>
      </c>
      <c r="D23" s="50">
        <v>55</v>
      </c>
    </row>
    <row r="24" spans="2:9" x14ac:dyDescent="0.25">
      <c r="B24" s="25" t="s">
        <v>51</v>
      </c>
      <c r="C24" s="25" t="s">
        <v>52</v>
      </c>
      <c r="D24" s="50">
        <v>52</v>
      </c>
    </row>
    <row r="25" spans="2:9" x14ac:dyDescent="0.25">
      <c r="B25" s="25" t="s">
        <v>53</v>
      </c>
      <c r="C25" s="25" t="s">
        <v>54</v>
      </c>
      <c r="D25" s="50">
        <v>55</v>
      </c>
    </row>
  </sheetData>
  <mergeCells count="9">
    <mergeCell ref="K1:L1"/>
    <mergeCell ref="B2:I2"/>
    <mergeCell ref="B17:I17"/>
    <mergeCell ref="B16:I16"/>
    <mergeCell ref="B15:I15"/>
    <mergeCell ref="B14:I14"/>
    <mergeCell ref="B13:I13"/>
    <mergeCell ref="B12:I12"/>
    <mergeCell ref="B11:I11"/>
  </mergeCells>
  <hyperlinks>
    <hyperlink ref="B1" location="Model!A1" display="Model" xr:uid="{191EB341-8C2F-4D17-8524-64F231C50EB1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AR103"/>
  <sheetViews>
    <sheetView tabSelected="1" zoomScale="190" zoomScaleNormal="190" workbookViewId="0">
      <pane xSplit="1" ySplit="2" topLeftCell="Q5" activePane="bottomRight" state="frozen"/>
      <selection pane="topRight" activeCell="C1" sqref="C1"/>
      <selection pane="bottomLeft" activeCell="A3" sqref="A3"/>
      <selection pane="bottomRight" activeCell="Y25" sqref="Y25"/>
    </sheetView>
  </sheetViews>
  <sheetFormatPr defaultRowHeight="13.2" outlineLevelRow="1" x14ac:dyDescent="0.25"/>
  <cols>
    <col min="1" max="1" width="34.5546875" style="10" customWidth="1"/>
    <col min="2" max="16384" width="8.88671875" style="11"/>
  </cols>
  <sheetData>
    <row r="1" spans="1:44" s="28" customFormat="1" x14ac:dyDescent="0.25">
      <c r="A1" s="13" t="s">
        <v>16</v>
      </c>
      <c r="H1" s="29">
        <v>44653</v>
      </c>
      <c r="I1" s="29">
        <v>44744</v>
      </c>
      <c r="J1" s="29">
        <v>44835</v>
      </c>
      <c r="K1" s="29">
        <v>44926</v>
      </c>
      <c r="L1" s="29">
        <v>45017</v>
      </c>
      <c r="M1" s="29">
        <v>45108</v>
      </c>
      <c r="N1" s="29">
        <v>45199</v>
      </c>
      <c r="O1" s="29">
        <v>45290</v>
      </c>
      <c r="P1" s="29">
        <v>45381</v>
      </c>
    </row>
    <row r="2" spans="1:44" s="12" customFormat="1" x14ac:dyDescent="0.25">
      <c r="C2" s="12" t="s">
        <v>22</v>
      </c>
      <c r="D2" s="12" t="s">
        <v>18</v>
      </c>
      <c r="E2" s="12" t="s">
        <v>19</v>
      </c>
      <c r="F2" s="12" t="s">
        <v>20</v>
      </c>
      <c r="G2" s="12" t="s">
        <v>21</v>
      </c>
      <c r="H2" s="12" t="s">
        <v>14</v>
      </c>
      <c r="I2" s="12" t="s">
        <v>15</v>
      </c>
      <c r="J2" s="12" t="s">
        <v>10</v>
      </c>
      <c r="K2" s="12" t="s">
        <v>11</v>
      </c>
      <c r="L2" s="12" t="s">
        <v>12</v>
      </c>
      <c r="M2" s="12" t="s">
        <v>13</v>
      </c>
      <c r="N2" s="12" t="s">
        <v>8</v>
      </c>
      <c r="O2" s="12" t="s">
        <v>9</v>
      </c>
      <c r="P2" s="12" t="s">
        <v>23</v>
      </c>
      <c r="Q2" s="12" t="s">
        <v>24</v>
      </c>
      <c r="R2" s="12" t="s">
        <v>25</v>
      </c>
      <c r="S2" s="12" t="s">
        <v>26</v>
      </c>
      <c r="U2" s="12">
        <v>2019</v>
      </c>
      <c r="V2" s="12">
        <v>2020</v>
      </c>
      <c r="W2" s="12">
        <v>2021</v>
      </c>
      <c r="X2" s="12">
        <v>2022</v>
      </c>
      <c r="Y2" s="12">
        <v>2023</v>
      </c>
      <c r="Z2" s="12">
        <v>2024</v>
      </c>
      <c r="AA2" s="12">
        <v>2025</v>
      </c>
      <c r="AB2" s="12">
        <v>2026</v>
      </c>
      <c r="AC2" s="12">
        <v>2027</v>
      </c>
      <c r="AD2" s="12">
        <v>2028</v>
      </c>
      <c r="AE2" s="12">
        <v>2029</v>
      </c>
      <c r="AF2" s="12">
        <v>2030</v>
      </c>
      <c r="AG2" s="12">
        <v>2031</v>
      </c>
      <c r="AH2" s="12">
        <v>2032</v>
      </c>
      <c r="AI2" s="12">
        <v>2033</v>
      </c>
      <c r="AJ2" s="12">
        <v>2034</v>
      </c>
      <c r="AR2" s="12">
        <v>2042</v>
      </c>
    </row>
    <row r="3" spans="1:44" s="27" customFormat="1" x14ac:dyDescent="0.25">
      <c r="A3" s="26" t="s">
        <v>55</v>
      </c>
      <c r="H3" s="27">
        <v>18353</v>
      </c>
      <c r="I3" s="27">
        <v>15321</v>
      </c>
      <c r="J3" s="27">
        <v>15338</v>
      </c>
      <c r="K3" s="27">
        <v>14042</v>
      </c>
      <c r="L3" s="27">
        <v>11715</v>
      </c>
      <c r="M3" s="27">
        <v>12949</v>
      </c>
      <c r="N3" s="27">
        <v>14158</v>
      </c>
      <c r="O3" s="27">
        <v>15406</v>
      </c>
      <c r="P3" s="27">
        <v>12724</v>
      </c>
      <c r="X3" s="27">
        <f>SUM(H3:K3)</f>
        <v>63054</v>
      </c>
      <c r="Y3" s="27">
        <f>SUM(L3:O3)</f>
        <v>54228</v>
      </c>
    </row>
    <row r="4" spans="1:44" s="9" customFormat="1" x14ac:dyDescent="0.25">
      <c r="A4" s="8" t="s">
        <v>56</v>
      </c>
      <c r="H4" s="9">
        <v>9109</v>
      </c>
      <c r="I4" s="9">
        <v>9734</v>
      </c>
      <c r="J4" s="9">
        <v>8803</v>
      </c>
      <c r="K4" s="9">
        <v>8542</v>
      </c>
      <c r="L4" s="9">
        <v>7707</v>
      </c>
      <c r="M4" s="9">
        <v>8311</v>
      </c>
      <c r="N4" s="9">
        <v>8140</v>
      </c>
      <c r="O4" s="9">
        <v>8359</v>
      </c>
      <c r="P4" s="9">
        <v>7507</v>
      </c>
      <c r="X4" s="9">
        <f>SUM(H4:K4)</f>
        <v>36188</v>
      </c>
      <c r="Y4" s="9">
        <f>SUM(L4:O4)</f>
        <v>32517</v>
      </c>
    </row>
    <row r="5" spans="1:44" s="27" customFormat="1" x14ac:dyDescent="0.25">
      <c r="A5" s="26" t="s">
        <v>57</v>
      </c>
      <c r="H5" s="27">
        <f>H3-H4</f>
        <v>9244</v>
      </c>
      <c r="I5" s="27">
        <f>I3-I4</f>
        <v>5587</v>
      </c>
      <c r="J5" s="27">
        <f>J3-J4</f>
        <v>6535</v>
      </c>
      <c r="K5" s="27">
        <f>K3-K4</f>
        <v>5500</v>
      </c>
      <c r="L5" s="27">
        <f>L3-L4</f>
        <v>4008</v>
      </c>
      <c r="M5" s="27">
        <f>M3-M4</f>
        <v>4638</v>
      </c>
      <c r="N5" s="27">
        <f>N3-N4</f>
        <v>6018</v>
      </c>
      <c r="O5" s="27">
        <f>O3-O4</f>
        <v>7047</v>
      </c>
      <c r="P5" s="27">
        <f>P3-P4</f>
        <v>5217</v>
      </c>
      <c r="X5" s="27">
        <f>SUM(H5:K5)</f>
        <v>26866</v>
      </c>
      <c r="Y5" s="27">
        <f>SUM(L5:O5)</f>
        <v>21711</v>
      </c>
    </row>
    <row r="6" spans="1:44" s="9" customFormat="1" x14ac:dyDescent="0.25">
      <c r="A6" s="8" t="s">
        <v>58</v>
      </c>
      <c r="H6" s="9">
        <v>4362</v>
      </c>
      <c r="I6" s="9">
        <v>4400</v>
      </c>
      <c r="J6" s="9">
        <v>4302</v>
      </c>
      <c r="K6" s="9">
        <v>4464</v>
      </c>
      <c r="L6" s="9">
        <v>4109</v>
      </c>
      <c r="M6" s="9">
        <v>4080</v>
      </c>
      <c r="N6" s="9">
        <v>3870</v>
      </c>
      <c r="O6" s="9">
        <v>3987</v>
      </c>
      <c r="P6" s="9">
        <v>4382</v>
      </c>
      <c r="X6" s="9">
        <f t="shared" ref="X6:X8" si="0">SUM(H6:K6)</f>
        <v>17528</v>
      </c>
      <c r="Y6" s="9">
        <f t="shared" ref="Y6:Y8" si="1">SUM(L6:O6)</f>
        <v>16046</v>
      </c>
    </row>
    <row r="7" spans="1:44" s="9" customFormat="1" x14ac:dyDescent="0.25">
      <c r="A7" s="8" t="s">
        <v>59</v>
      </c>
      <c r="H7" s="9">
        <v>1752</v>
      </c>
      <c r="I7" s="9">
        <v>1800</v>
      </c>
      <c r="J7" s="9">
        <v>1744</v>
      </c>
      <c r="K7" s="9">
        <v>1706</v>
      </c>
      <c r="L7" s="9">
        <v>1303</v>
      </c>
      <c r="M7" s="9">
        <v>1374</v>
      </c>
      <c r="N7" s="9">
        <v>1340</v>
      </c>
      <c r="O7" s="9">
        <v>1617</v>
      </c>
      <c r="P7" s="9">
        <v>1556</v>
      </c>
      <c r="X7" s="9">
        <f t="shared" si="0"/>
        <v>7002</v>
      </c>
      <c r="Y7" s="9">
        <f t="shared" si="1"/>
        <v>5634</v>
      </c>
    </row>
    <row r="8" spans="1:44" s="9" customFormat="1" x14ac:dyDescent="0.25">
      <c r="A8" s="8" t="s">
        <v>60</v>
      </c>
      <c r="H8" s="9">
        <v>-1211</v>
      </c>
      <c r="I8" s="9">
        <v>87</v>
      </c>
      <c r="J8" s="9">
        <v>664</v>
      </c>
      <c r="K8" s="9">
        <v>462</v>
      </c>
      <c r="L8" s="9">
        <v>64</v>
      </c>
      <c r="M8" s="9">
        <v>200</v>
      </c>
      <c r="N8" s="9">
        <v>816</v>
      </c>
      <c r="O8" s="9">
        <v>-1142</v>
      </c>
      <c r="P8" s="9">
        <v>348</v>
      </c>
      <c r="X8" s="9">
        <f t="shared" si="0"/>
        <v>2</v>
      </c>
      <c r="Y8" s="9">
        <f t="shared" si="1"/>
        <v>-62</v>
      </c>
    </row>
    <row r="9" spans="1:44" s="27" customFormat="1" x14ac:dyDescent="0.25">
      <c r="A9" s="26" t="s">
        <v>61</v>
      </c>
      <c r="H9" s="27">
        <f>SUM(H6:H8)</f>
        <v>4903</v>
      </c>
      <c r="I9" s="27">
        <f>SUM(I6:I8)</f>
        <v>6287</v>
      </c>
      <c r="J9" s="27">
        <f>SUM(J6:J8)</f>
        <v>6710</v>
      </c>
      <c r="K9" s="27">
        <f>SUM(K6:K8)</f>
        <v>6632</v>
      </c>
      <c r="L9" s="27">
        <f>SUM(L6:L8)</f>
        <v>5476</v>
      </c>
      <c r="M9" s="27">
        <f>SUM(M6:M8)</f>
        <v>5654</v>
      </c>
      <c r="N9" s="27">
        <f>SUM(N6:N8)</f>
        <v>6026</v>
      </c>
      <c r="O9" s="27">
        <f>SUM(O6:O8)</f>
        <v>4462</v>
      </c>
      <c r="P9" s="27">
        <f>SUM(P6:P8)</f>
        <v>6286</v>
      </c>
      <c r="X9" s="27">
        <f>SUM(H9:K9)</f>
        <v>24532</v>
      </c>
      <c r="Y9" s="27">
        <f>SUM(L9:O9)</f>
        <v>21618</v>
      </c>
    </row>
    <row r="10" spans="1:44" s="27" customFormat="1" x14ac:dyDescent="0.25">
      <c r="A10" s="26" t="s">
        <v>62</v>
      </c>
      <c r="H10" s="27">
        <f>H5-H9</f>
        <v>4341</v>
      </c>
      <c r="I10" s="27">
        <f>I5-I9</f>
        <v>-700</v>
      </c>
      <c r="J10" s="27">
        <f>J5-J9</f>
        <v>-175</v>
      </c>
      <c r="K10" s="27">
        <f>K5-K9</f>
        <v>-1132</v>
      </c>
      <c r="L10" s="27">
        <f>L5-L9</f>
        <v>-1468</v>
      </c>
      <c r="M10" s="27">
        <f>M5-M9</f>
        <v>-1016</v>
      </c>
      <c r="N10" s="27">
        <f>N5-N9</f>
        <v>-8</v>
      </c>
      <c r="O10" s="27">
        <f>O5-O9</f>
        <v>2585</v>
      </c>
      <c r="P10" s="27">
        <f>P5-P9</f>
        <v>-1069</v>
      </c>
      <c r="X10" s="27">
        <f>SUM(H10:K10)</f>
        <v>2334</v>
      </c>
      <c r="Y10" s="27">
        <f>SUM(L10:O10)</f>
        <v>93</v>
      </c>
    </row>
    <row r="11" spans="1:44" s="9" customFormat="1" x14ac:dyDescent="0.25">
      <c r="A11" s="8" t="s">
        <v>64</v>
      </c>
      <c r="H11" s="9">
        <v>4323</v>
      </c>
      <c r="I11" s="9">
        <v>-90</v>
      </c>
      <c r="J11" s="9">
        <v>-151</v>
      </c>
      <c r="K11" s="9">
        <v>186</v>
      </c>
      <c r="L11" s="9">
        <v>169</v>
      </c>
      <c r="M11" s="9">
        <v>-24</v>
      </c>
      <c r="N11" s="9">
        <v>-191</v>
      </c>
      <c r="O11" s="9">
        <v>86</v>
      </c>
      <c r="P11" s="9">
        <v>205</v>
      </c>
      <c r="X11" s="9">
        <f t="shared" ref="X11:X12" si="2">SUM(H11:K11)</f>
        <v>4268</v>
      </c>
      <c r="Y11" s="9">
        <f t="shared" ref="Y11:Y12" si="3">SUM(L11:O11)</f>
        <v>40</v>
      </c>
    </row>
    <row r="12" spans="1:44" s="9" customFormat="1" x14ac:dyDescent="0.25">
      <c r="A12" s="8" t="s">
        <v>63</v>
      </c>
      <c r="H12" s="9">
        <v>997</v>
      </c>
      <c r="I12" s="9">
        <v>-119</v>
      </c>
      <c r="J12" s="9">
        <v>138</v>
      </c>
      <c r="K12" s="9">
        <v>150</v>
      </c>
      <c r="L12" s="9">
        <v>141</v>
      </c>
      <c r="M12" s="9">
        <v>224</v>
      </c>
      <c r="N12" s="9">
        <v>147</v>
      </c>
      <c r="O12" s="9">
        <v>117</v>
      </c>
      <c r="P12" s="9">
        <v>145</v>
      </c>
      <c r="X12" s="9">
        <f t="shared" si="2"/>
        <v>1166</v>
      </c>
      <c r="Y12" s="9">
        <f t="shared" si="3"/>
        <v>629</v>
      </c>
    </row>
    <row r="13" spans="1:44" s="27" customFormat="1" x14ac:dyDescent="0.25">
      <c r="A13" s="26" t="s">
        <v>65</v>
      </c>
      <c r="H13" s="27">
        <f>H10+H11+H12</f>
        <v>9661</v>
      </c>
      <c r="I13" s="27">
        <f>I10+I11+I12</f>
        <v>-909</v>
      </c>
      <c r="J13" s="27">
        <f>J10+J11+J12</f>
        <v>-188</v>
      </c>
      <c r="K13" s="27">
        <f>K10+K11+K12</f>
        <v>-796</v>
      </c>
      <c r="L13" s="27">
        <f>L10+L11+L12</f>
        <v>-1158</v>
      </c>
      <c r="M13" s="27">
        <f>M10+M11+M12</f>
        <v>-816</v>
      </c>
      <c r="N13" s="27">
        <f>N10+N11+N12</f>
        <v>-52</v>
      </c>
      <c r="O13" s="27">
        <f>O10+O11+O12</f>
        <v>2788</v>
      </c>
      <c r="P13" s="27">
        <f>P10+P11+P12</f>
        <v>-719</v>
      </c>
      <c r="X13" s="27">
        <f>SUM(H13:K13)</f>
        <v>7768</v>
      </c>
      <c r="Y13" s="27">
        <f>SUM(L13:O13)</f>
        <v>762</v>
      </c>
    </row>
    <row r="14" spans="1:44" s="9" customFormat="1" x14ac:dyDescent="0.25">
      <c r="A14" s="8" t="s">
        <v>66</v>
      </c>
      <c r="H14" s="9">
        <v>1548</v>
      </c>
      <c r="I14" s="9">
        <v>-455</v>
      </c>
      <c r="J14" s="9">
        <v>-1207</v>
      </c>
      <c r="K14" s="9">
        <v>-135</v>
      </c>
      <c r="L14" s="9">
        <v>1610</v>
      </c>
      <c r="M14" s="9">
        <v>-2289</v>
      </c>
      <c r="N14" s="9">
        <v>-362</v>
      </c>
      <c r="O14" s="9">
        <v>128</v>
      </c>
      <c r="P14" s="9">
        <v>-282</v>
      </c>
      <c r="X14" s="9">
        <f>SUM(H14:K14)</f>
        <v>-249</v>
      </c>
      <c r="Y14" s="9">
        <f>SUM(L14:O14)</f>
        <v>-913</v>
      </c>
    </row>
    <row r="15" spans="1:44" s="27" customFormat="1" x14ac:dyDescent="0.25">
      <c r="A15" s="26" t="s">
        <v>67</v>
      </c>
      <c r="H15" s="27">
        <f>H13-H14</f>
        <v>8113</v>
      </c>
      <c r="I15" s="27">
        <f>I13-I14</f>
        <v>-454</v>
      </c>
      <c r="J15" s="27">
        <f>J13-J14</f>
        <v>1019</v>
      </c>
      <c r="K15" s="27">
        <f>K13-K14</f>
        <v>-661</v>
      </c>
      <c r="L15" s="27">
        <f>L13-L14</f>
        <v>-2768</v>
      </c>
      <c r="M15" s="27">
        <f>M13-M14</f>
        <v>1473</v>
      </c>
      <c r="N15" s="27">
        <f>N13-N14</f>
        <v>310</v>
      </c>
      <c r="O15" s="27">
        <f>O13-O14</f>
        <v>2660</v>
      </c>
      <c r="P15" s="27">
        <f>P13-P14</f>
        <v>-437</v>
      </c>
      <c r="X15" s="27">
        <f>SUM(H15:K15)</f>
        <v>8017</v>
      </c>
      <c r="Y15" s="27">
        <f>SUM(L15:O15)</f>
        <v>1675</v>
      </c>
    </row>
    <row r="16" spans="1:44" s="9" customFormat="1" x14ac:dyDescent="0.25">
      <c r="A16" s="8" t="s">
        <v>68</v>
      </c>
      <c r="H16" s="9">
        <v>0</v>
      </c>
      <c r="I16" s="9">
        <v>0</v>
      </c>
      <c r="J16" s="9">
        <v>0</v>
      </c>
      <c r="K16" s="9">
        <v>3</v>
      </c>
      <c r="L16" s="9">
        <v>-10</v>
      </c>
      <c r="M16" s="9">
        <v>-8</v>
      </c>
      <c r="N16" s="9">
        <v>13</v>
      </c>
      <c r="O16" s="9">
        <v>-9</v>
      </c>
      <c r="P16" s="9">
        <v>-56</v>
      </c>
      <c r="X16" s="9">
        <f>SUM(H16:K16)</f>
        <v>3</v>
      </c>
      <c r="Y16" s="9">
        <f>SUM(L16:O16)</f>
        <v>-14</v>
      </c>
    </row>
    <row r="17" spans="1:25" s="27" customFormat="1" x14ac:dyDescent="0.25">
      <c r="A17" s="26" t="s">
        <v>69</v>
      </c>
      <c r="H17" s="27">
        <f>H15-H16</f>
        <v>8113</v>
      </c>
      <c r="I17" s="27">
        <f>I15-I16</f>
        <v>-454</v>
      </c>
      <c r="J17" s="27">
        <f>J15-J16</f>
        <v>1019</v>
      </c>
      <c r="K17" s="27">
        <f>K15-K16</f>
        <v>-664</v>
      </c>
      <c r="L17" s="27">
        <f>L15-L16</f>
        <v>-2758</v>
      </c>
      <c r="M17" s="27">
        <f>M15-M16</f>
        <v>1481</v>
      </c>
      <c r="N17" s="27">
        <f>N15-N16</f>
        <v>297</v>
      </c>
      <c r="O17" s="27">
        <f>O15-O16</f>
        <v>2669</v>
      </c>
      <c r="P17" s="27">
        <f>P15-P16</f>
        <v>-381</v>
      </c>
      <c r="X17" s="27">
        <f>SUM(H17:K17)</f>
        <v>8014</v>
      </c>
      <c r="Y17" s="27">
        <f>SUM(L17:O17)</f>
        <v>1689</v>
      </c>
    </row>
    <row r="18" spans="1:25" x14ac:dyDescent="0.25">
      <c r="A18" s="10" t="s">
        <v>70</v>
      </c>
      <c r="H18" s="30">
        <f>H17/H19</f>
        <v>1.988967884285364</v>
      </c>
      <c r="I18" s="30">
        <f>I17/I19</f>
        <v>-0.11073170731707317</v>
      </c>
      <c r="J18" s="30">
        <f>J17/J19</f>
        <v>0.24745021855269547</v>
      </c>
      <c r="K18" s="30">
        <f>K17/K19</f>
        <v>-0.16065811759012824</v>
      </c>
      <c r="L18" s="30">
        <f>L17/L19</f>
        <v>-0.66393837265286471</v>
      </c>
      <c r="M18" s="30">
        <f>M17/M19</f>
        <v>0.35413677666188426</v>
      </c>
      <c r="N18" s="30">
        <f>N17/N19</f>
        <v>7.0680628272251314E-2</v>
      </c>
      <c r="O18" s="30">
        <f>O17/O19</f>
        <v>0.6321648507816201</v>
      </c>
      <c r="P18" s="30">
        <f>P17/P19</f>
        <v>-8.9816124469589823E-2</v>
      </c>
      <c r="X18" s="9">
        <f>SUM(H18:K18)</f>
        <v>1.9650282779308579</v>
      </c>
      <c r="Y18" s="9">
        <f>SUM(L18:O18)</f>
        <v>0.39304388306289095</v>
      </c>
    </row>
    <row r="19" spans="1:25" s="9" customFormat="1" x14ac:dyDescent="0.25">
      <c r="A19" s="8" t="s">
        <v>71</v>
      </c>
      <c r="H19" s="9">
        <v>4079</v>
      </c>
      <c r="I19" s="9">
        <v>4100</v>
      </c>
      <c r="J19" s="9">
        <v>4118</v>
      </c>
      <c r="K19" s="9">
        <v>4133</v>
      </c>
      <c r="L19" s="9">
        <v>4154</v>
      </c>
      <c r="M19" s="9">
        <v>4182</v>
      </c>
      <c r="N19" s="9">
        <v>4202</v>
      </c>
      <c r="O19" s="9">
        <v>4222</v>
      </c>
      <c r="P19" s="9">
        <v>4242</v>
      </c>
      <c r="X19" s="9">
        <f>AVERAGE(H19:K19)</f>
        <v>4107.5</v>
      </c>
      <c r="Y19" s="9">
        <f>AVERAGE(L19:O19)</f>
        <v>4190</v>
      </c>
    </row>
    <row r="21" spans="1:25" s="32" customFormat="1" x14ac:dyDescent="0.25">
      <c r="A21" s="31" t="s">
        <v>72</v>
      </c>
      <c r="L21" s="37">
        <f t="shared" ref="L21:O21" si="4">L3/H3-1</f>
        <v>-0.36168473818994173</v>
      </c>
      <c r="M21" s="37">
        <f t="shared" si="4"/>
        <v>-0.15482018145029697</v>
      </c>
      <c r="N21" s="37">
        <f t="shared" si="4"/>
        <v>-7.6933107315164895E-2</v>
      </c>
      <c r="O21" s="37">
        <f t="shared" si="4"/>
        <v>9.7137159948725182E-2</v>
      </c>
      <c r="P21" s="37">
        <f>P3/L3-1</f>
        <v>8.6128894579598825E-2</v>
      </c>
      <c r="Y21" s="37">
        <f>Y3/X3-1</f>
        <v>-0.13997525930155108</v>
      </c>
    </row>
    <row r="22" spans="1:25" s="34" customFormat="1" x14ac:dyDescent="0.25">
      <c r="A22" s="33" t="s">
        <v>73</v>
      </c>
      <c r="I22" s="38">
        <f t="shared" ref="I22:K22" si="5">I3/H3-1</f>
        <v>-0.16520459870320925</v>
      </c>
      <c r="J22" s="38">
        <f t="shared" si="5"/>
        <v>1.1095881469878055E-3</v>
      </c>
      <c r="K22" s="38">
        <f t="shared" si="5"/>
        <v>-8.4496022949537064E-2</v>
      </c>
      <c r="L22" s="38">
        <f t="shared" ref="L22:O22" si="6">L3/K3-1</f>
        <v>-0.16571713431135171</v>
      </c>
      <c r="M22" s="38">
        <f t="shared" si="6"/>
        <v>0.10533504054630805</v>
      </c>
      <c r="N22" s="38">
        <f t="shared" si="6"/>
        <v>9.3366283110664972E-2</v>
      </c>
      <c r="O22" s="38">
        <f t="shared" si="6"/>
        <v>8.8148043508970098E-2</v>
      </c>
      <c r="P22" s="38">
        <f>P3/O3-1</f>
        <v>-0.17408801765545889</v>
      </c>
    </row>
    <row r="24" spans="1:25" s="32" customFormat="1" x14ac:dyDescent="0.25">
      <c r="A24" s="31" t="s">
        <v>74</v>
      </c>
      <c r="H24" s="37">
        <f t="shared" ref="H24:J24" si="7">H5/H3</f>
        <v>0.50367787282733067</v>
      </c>
      <c r="I24" s="37">
        <f t="shared" si="7"/>
        <v>0.36466288101298872</v>
      </c>
      <c r="J24" s="37">
        <f t="shared" si="7"/>
        <v>0.42606597991915501</v>
      </c>
      <c r="K24" s="37">
        <f t="shared" ref="K24" si="8">K5/K3</f>
        <v>0.39168209656744052</v>
      </c>
      <c r="L24" s="37">
        <f t="shared" ref="L24:O24" si="9">L5/L3</f>
        <v>0.34212548015364919</v>
      </c>
      <c r="M24" s="37">
        <f t="shared" si="9"/>
        <v>0.35817437639972199</v>
      </c>
      <c r="N24" s="37">
        <f t="shared" si="9"/>
        <v>0.42506003672835146</v>
      </c>
      <c r="O24" s="37">
        <f t="shared" si="9"/>
        <v>0.45741918732961184</v>
      </c>
      <c r="P24" s="37">
        <f>P5/P3</f>
        <v>0.41001257466205598</v>
      </c>
      <c r="X24" s="37">
        <f>X5/X3</f>
        <v>0.42607923367272499</v>
      </c>
      <c r="Y24" s="37">
        <f>Y5/Y3</f>
        <v>0.40036512502766097</v>
      </c>
    </row>
    <row r="25" spans="1:25" s="36" customFormat="1" x14ac:dyDescent="0.25">
      <c r="A25" s="35" t="s">
        <v>75</v>
      </c>
      <c r="H25" s="39">
        <f t="shared" ref="H25:J25" si="10">H10/H3</f>
        <v>0.23652808805099984</v>
      </c>
      <c r="I25" s="39">
        <f t="shared" si="10"/>
        <v>-4.5688923699497425E-2</v>
      </c>
      <c r="J25" s="39">
        <f t="shared" si="10"/>
        <v>-1.1409571000130394E-2</v>
      </c>
      <c r="K25" s="39">
        <f t="shared" ref="K25" si="11">K10/K3</f>
        <v>-8.0615296966244129E-2</v>
      </c>
      <c r="L25" s="39">
        <f t="shared" ref="L25:O25" si="12">L10/L3</f>
        <v>-0.12530943235168587</v>
      </c>
      <c r="M25" s="39">
        <f t="shared" si="12"/>
        <v>-7.8461657270831722E-2</v>
      </c>
      <c r="N25" s="39">
        <f t="shared" si="12"/>
        <v>-5.6505156095493713E-4</v>
      </c>
      <c r="O25" s="39">
        <f t="shared" si="12"/>
        <v>0.16779176944047774</v>
      </c>
      <c r="P25" s="39">
        <f>P10/P3</f>
        <v>-8.4014460861364354E-2</v>
      </c>
      <c r="X25" s="39">
        <f>X10/X3</f>
        <v>3.7015891140926828E-2</v>
      </c>
      <c r="Y25" s="66">
        <f>Y10/Y3</f>
        <v>1.714981190528878E-3</v>
      </c>
    </row>
    <row r="26" spans="1:25" s="36" customFormat="1" x14ac:dyDescent="0.25">
      <c r="A26" s="35" t="s">
        <v>76</v>
      </c>
      <c r="H26" s="39">
        <f t="shared" ref="H26:J26" si="13">H15/H3</f>
        <v>0.44205307034272329</v>
      </c>
      <c r="I26" s="39">
        <f t="shared" si="13"/>
        <v>-2.9632530513674041E-2</v>
      </c>
      <c r="J26" s="39">
        <f t="shared" si="13"/>
        <v>6.643630199504498E-2</v>
      </c>
      <c r="K26" s="39">
        <f t="shared" ref="K26" si="14">K15/K3</f>
        <v>-4.7073066514741489E-2</v>
      </c>
      <c r="L26" s="39">
        <f t="shared" ref="L26:O26" si="15">L15/L3</f>
        <v>-0.23627827571489543</v>
      </c>
      <c r="M26" s="39">
        <f t="shared" si="15"/>
        <v>0.11375395783458182</v>
      </c>
      <c r="N26" s="39">
        <f t="shared" si="15"/>
        <v>2.1895747987003816E-2</v>
      </c>
      <c r="O26" s="39">
        <f t="shared" si="15"/>
        <v>0.17266000259639103</v>
      </c>
      <c r="P26" s="39">
        <f>P15/P3</f>
        <v>-3.4344545740333229E-2</v>
      </c>
      <c r="X26" s="39">
        <f>X15/X3</f>
        <v>0.12714498683667966</v>
      </c>
      <c r="Y26" s="39">
        <f>Y15/Y3</f>
        <v>3.088810208748248E-2</v>
      </c>
    </row>
    <row r="27" spans="1:25" s="34" customFormat="1" x14ac:dyDescent="0.25">
      <c r="A27" s="33" t="s">
        <v>77</v>
      </c>
      <c r="H27" s="38">
        <f t="shared" ref="H27:J27" si="16">H14/H13</f>
        <v>0.16023186005589485</v>
      </c>
      <c r="I27" s="38">
        <f t="shared" si="16"/>
        <v>0.50055005500550054</v>
      </c>
      <c r="J27" s="38">
        <f t="shared" si="16"/>
        <v>6.4202127659574471</v>
      </c>
      <c r="K27" s="38">
        <f t="shared" ref="K27" si="17">K14/K13</f>
        <v>0.16959798994974876</v>
      </c>
      <c r="L27" s="38">
        <f t="shared" ref="L27:O27" si="18">L14/L13</f>
        <v>-1.390328151986183</v>
      </c>
      <c r="M27" s="38">
        <f t="shared" si="18"/>
        <v>2.8051470588235294</v>
      </c>
      <c r="N27" s="38">
        <f t="shared" si="18"/>
        <v>6.9615384615384617</v>
      </c>
      <c r="O27" s="38">
        <f t="shared" si="18"/>
        <v>4.5911047345767578E-2</v>
      </c>
      <c r="P27" s="38">
        <f>P14/P13</f>
        <v>0.39221140472878996</v>
      </c>
      <c r="X27" s="38">
        <f>X14/X13</f>
        <v>-3.2054582904222452E-2</v>
      </c>
      <c r="Y27" s="38">
        <f>Y14/Y13</f>
        <v>-1.1981627296587927</v>
      </c>
    </row>
    <row r="29" spans="1:25" s="32" customFormat="1" x14ac:dyDescent="0.25">
      <c r="A29" s="31" t="s">
        <v>78</v>
      </c>
      <c r="K29" s="65">
        <f>(K15+J15+I15+H15)/K54</f>
        <v>4.4024535565037368E-2</v>
      </c>
      <c r="L29" s="65">
        <f>(L15+K15+J15+I15)/L54</f>
        <v>-1.545576704100851E-2</v>
      </c>
      <c r="M29" s="65">
        <f>(M15+L15+K15+J15)/M54</f>
        <v>-5.0477026757672558E-3</v>
      </c>
      <c r="N29" s="65">
        <f>(N15+M15+L15+K15)/N54</f>
        <v>-8.7165121242129464E-3</v>
      </c>
      <c r="O29" s="65">
        <f>(O15+N15+M15+L15)/O54</f>
        <v>8.7434489382582012E-3</v>
      </c>
      <c r="P29" s="65">
        <f>(P15+O15+N15+M15)/P54</f>
        <v>2.0796021450114985E-2</v>
      </c>
    </row>
    <row r="30" spans="1:25" s="36" customFormat="1" x14ac:dyDescent="0.25">
      <c r="A30" s="35" t="s">
        <v>134</v>
      </c>
      <c r="K30" s="66">
        <f>(K15+J15+I15+H15)/(K54-K52)</f>
        <v>5.3988713348687489E-2</v>
      </c>
      <c r="L30" s="66">
        <f>(L15+K15+J15+I15)/(L54-L52)</f>
        <v>-1.8824148016694599E-2</v>
      </c>
      <c r="M30" s="66">
        <f>(M15+L15+K15+J15)/(M54-M52)</f>
        <v>-6.1295914695973569E-3</v>
      </c>
      <c r="N30" s="66">
        <f>(N15+M15+L15+K15)/(N54-N52)</f>
        <v>-1.0532647367478052E-2</v>
      </c>
      <c r="O30" s="66">
        <f>(O15+N15+M15+L15)/(O54-O52)</f>
        <v>1.0508682995382454E-2</v>
      </c>
      <c r="P30" s="66">
        <f>(P15+O15+N15+M15)/(P54-P52)</f>
        <v>2.4956702675089398E-2</v>
      </c>
    </row>
    <row r="31" spans="1:25" s="36" customFormat="1" x14ac:dyDescent="0.25">
      <c r="A31" s="35" t="s">
        <v>79</v>
      </c>
      <c r="K31" s="66">
        <f>(K15+J15+I15+H15)/K68</f>
        <v>7.7619425672404777E-2</v>
      </c>
      <c r="L31" s="66">
        <f>(L15+K15+J15+I15)/L68</f>
        <v>-2.8525044072388275E-2</v>
      </c>
      <c r="M31" s="66">
        <f>(M15+L15+K15+J15)/M68</f>
        <v>-8.9689961807582971E-3</v>
      </c>
      <c r="N31" s="66">
        <f>(N15+M15+L15+K15)/N68</f>
        <v>-1.5574437484624264E-2</v>
      </c>
      <c r="O31" s="66">
        <f>(O15+N15+M15+L15)/O68</f>
        <v>1.5232119310689764E-2</v>
      </c>
      <c r="P31" s="66">
        <f>(P15+O15+N15+M15)/P68</f>
        <v>3.6169598035320882E-2</v>
      </c>
    </row>
    <row r="32" spans="1:25" s="34" customFormat="1" x14ac:dyDescent="0.25">
      <c r="A32" s="33" t="s">
        <v>80</v>
      </c>
    </row>
    <row r="34" spans="1:25" s="32" customFormat="1" x14ac:dyDescent="0.25">
      <c r="A34" s="31" t="s">
        <v>81</v>
      </c>
      <c r="L34" s="69">
        <f>L85+L92+L100</f>
        <v>-2912</v>
      </c>
    </row>
    <row r="35" spans="1:25" s="34" customFormat="1" x14ac:dyDescent="0.25">
      <c r="A35" s="33" t="s">
        <v>82</v>
      </c>
      <c r="L35" s="70">
        <f>L85+L86</f>
        <v>-9198</v>
      </c>
    </row>
    <row r="37" spans="1:25" s="59" customFormat="1" x14ac:dyDescent="0.25">
      <c r="A37" s="58" t="s">
        <v>109</v>
      </c>
      <c r="H37" s="59">
        <f t="shared" ref="H37" si="19">H38-H39</f>
        <v>0</v>
      </c>
      <c r="I37" s="59">
        <f t="shared" ref="I37" si="20">I38-I39</f>
        <v>0</v>
      </c>
      <c r="J37" s="59">
        <f t="shared" ref="J37" si="21">J38-J39</f>
        <v>-16964</v>
      </c>
      <c r="K37" s="59">
        <f t="shared" ref="K37:N37" si="22">K38-K39</f>
        <v>-13713</v>
      </c>
      <c r="L37" s="59">
        <f t="shared" si="22"/>
        <v>-22739</v>
      </c>
      <c r="M37" s="59">
        <f t="shared" si="22"/>
        <v>-24789</v>
      </c>
      <c r="N37" s="59">
        <f t="shared" si="22"/>
        <v>-23849</v>
      </c>
      <c r="O37" s="59">
        <f>O38-O39</f>
        <v>-24232</v>
      </c>
      <c r="P37" s="59">
        <f>P38-P39</f>
        <v>-31139</v>
      </c>
      <c r="Q37" s="59">
        <f t="shared" ref="Q37:S37" si="23">Q38-Q39</f>
        <v>0</v>
      </c>
      <c r="R37" s="59">
        <f t="shared" si="23"/>
        <v>0</v>
      </c>
      <c r="S37" s="59">
        <f t="shared" si="23"/>
        <v>0</v>
      </c>
      <c r="Y37" s="59">
        <f>Y38-Y39</f>
        <v>-24232</v>
      </c>
    </row>
    <row r="38" spans="1:25" s="61" customFormat="1" x14ac:dyDescent="0.25">
      <c r="A38" s="60" t="s">
        <v>3</v>
      </c>
      <c r="H38" s="61">
        <f t="shared" ref="H38:J38" si="24">H40+H41</f>
        <v>0</v>
      </c>
      <c r="I38" s="61">
        <f t="shared" si="24"/>
        <v>0</v>
      </c>
      <c r="J38" s="61">
        <f t="shared" si="24"/>
        <v>22559</v>
      </c>
      <c r="K38" s="61">
        <f t="shared" ref="K38:N38" si="25">K40+K41</f>
        <v>28338</v>
      </c>
      <c r="L38" s="61">
        <f t="shared" si="25"/>
        <v>27534</v>
      </c>
      <c r="M38" s="61">
        <f t="shared" si="25"/>
        <v>24257</v>
      </c>
      <c r="N38" s="61">
        <f t="shared" si="25"/>
        <v>25030</v>
      </c>
      <c r="O38" s="61">
        <f>O40+O41</f>
        <v>25034</v>
      </c>
      <c r="P38" s="61">
        <f>P40+P41</f>
        <v>21311</v>
      </c>
      <c r="Q38" s="61">
        <f t="shared" ref="Q38:S38" si="26">Q40+Q41</f>
        <v>0</v>
      </c>
      <c r="R38" s="61">
        <f t="shared" si="26"/>
        <v>0</v>
      </c>
      <c r="S38" s="61">
        <f t="shared" si="26"/>
        <v>0</v>
      </c>
      <c r="Y38" s="61">
        <f>Y40+Y41</f>
        <v>25034</v>
      </c>
    </row>
    <row r="39" spans="1:25" s="63" customFormat="1" ht="13.8" thickBot="1" x14ac:dyDescent="0.3">
      <c r="A39" s="62" t="s">
        <v>4</v>
      </c>
      <c r="H39" s="63">
        <f t="shared" ref="H39:J39" si="27">H61+H55</f>
        <v>0</v>
      </c>
      <c r="I39" s="63">
        <f t="shared" si="27"/>
        <v>0</v>
      </c>
      <c r="J39" s="63">
        <f t="shared" si="27"/>
        <v>39523</v>
      </c>
      <c r="K39" s="63">
        <f t="shared" ref="K39:N39" si="28">K61+K55</f>
        <v>42051</v>
      </c>
      <c r="L39" s="63">
        <f t="shared" si="28"/>
        <v>50273</v>
      </c>
      <c r="M39" s="63">
        <f t="shared" si="28"/>
        <v>49046</v>
      </c>
      <c r="N39" s="63">
        <f t="shared" si="28"/>
        <v>48879</v>
      </c>
      <c r="O39" s="63">
        <f>O61+O55</f>
        <v>49266</v>
      </c>
      <c r="P39" s="63">
        <f>P61+P55</f>
        <v>52450</v>
      </c>
      <c r="Q39" s="63">
        <f t="shared" ref="Q39:S39" si="29">Q61+Q55</f>
        <v>0</v>
      </c>
      <c r="R39" s="63">
        <f t="shared" si="29"/>
        <v>0</v>
      </c>
      <c r="S39" s="63">
        <f t="shared" si="29"/>
        <v>0</v>
      </c>
      <c r="Y39" s="63">
        <f>Y61+Y55</f>
        <v>49266</v>
      </c>
    </row>
    <row r="40" spans="1:25" s="9" customFormat="1" x14ac:dyDescent="0.25">
      <c r="A40" s="8" t="s">
        <v>110</v>
      </c>
      <c r="J40" s="9">
        <v>4529</v>
      </c>
      <c r="K40" s="9">
        <v>11144</v>
      </c>
      <c r="L40" s="9">
        <v>8232</v>
      </c>
      <c r="M40" s="9">
        <v>8349</v>
      </c>
      <c r="N40" s="9">
        <v>7621</v>
      </c>
      <c r="O40" s="9">
        <v>7079</v>
      </c>
      <c r="P40" s="9">
        <v>6923</v>
      </c>
      <c r="Y40" s="9">
        <v>7079</v>
      </c>
    </row>
    <row r="41" spans="1:25" s="9" customFormat="1" x14ac:dyDescent="0.25">
      <c r="A41" s="8" t="s">
        <v>111</v>
      </c>
      <c r="J41" s="9">
        <v>18030</v>
      </c>
      <c r="K41" s="9">
        <v>17194</v>
      </c>
      <c r="L41" s="9">
        <v>19302</v>
      </c>
      <c r="M41" s="9">
        <v>15908</v>
      </c>
      <c r="N41" s="9">
        <v>17409</v>
      </c>
      <c r="O41" s="9">
        <v>17955</v>
      </c>
      <c r="P41" s="9">
        <v>14388</v>
      </c>
      <c r="Y41" s="9">
        <v>17955</v>
      </c>
    </row>
    <row r="42" spans="1:25" s="9" customFormat="1" x14ac:dyDescent="0.25">
      <c r="A42" s="8" t="s">
        <v>112</v>
      </c>
      <c r="J42" s="9">
        <v>7469</v>
      </c>
      <c r="K42" s="9">
        <v>4133</v>
      </c>
      <c r="L42" s="9">
        <v>3847</v>
      </c>
      <c r="M42" s="9">
        <v>2996</v>
      </c>
      <c r="N42" s="9">
        <v>2843</v>
      </c>
      <c r="O42" s="9">
        <v>3402</v>
      </c>
      <c r="P42" s="9">
        <v>3223</v>
      </c>
      <c r="Y42" s="9">
        <v>3402</v>
      </c>
    </row>
    <row r="43" spans="1:25" s="64" customFormat="1" hidden="1" outlineLevel="1" x14ac:dyDescent="0.25">
      <c r="A43" s="53" t="s">
        <v>114</v>
      </c>
      <c r="K43" s="64">
        <v>1517</v>
      </c>
      <c r="O43" s="64">
        <v>1166</v>
      </c>
      <c r="Y43" s="64">
        <v>1166</v>
      </c>
    </row>
    <row r="44" spans="1:25" s="64" customFormat="1" hidden="1" outlineLevel="1" x14ac:dyDescent="0.25">
      <c r="A44" s="53" t="s">
        <v>115</v>
      </c>
      <c r="K44" s="64">
        <v>7565</v>
      </c>
      <c r="O44" s="64">
        <v>6203</v>
      </c>
      <c r="Y44" s="64">
        <v>6203</v>
      </c>
    </row>
    <row r="45" spans="1:25" s="64" customFormat="1" hidden="1" outlineLevel="1" x14ac:dyDescent="0.25">
      <c r="A45" s="53" t="s">
        <v>116</v>
      </c>
      <c r="K45" s="64">
        <v>4142</v>
      </c>
      <c r="O45" s="64">
        <v>3758</v>
      </c>
      <c r="Y45" s="64">
        <v>3758</v>
      </c>
    </row>
    <row r="46" spans="1:25" s="64" customFormat="1" collapsed="1" x14ac:dyDescent="0.25">
      <c r="A46" s="53" t="s">
        <v>113</v>
      </c>
      <c r="J46" s="64">
        <v>12931</v>
      </c>
      <c r="K46" s="64">
        <f>SUM(K43:K45)</f>
        <v>13224</v>
      </c>
      <c r="L46" s="64">
        <v>12993</v>
      </c>
      <c r="M46" s="64">
        <v>11984</v>
      </c>
      <c r="N46" s="64">
        <v>11466</v>
      </c>
      <c r="O46" s="64">
        <f>SUM(O43:O45)</f>
        <v>11127</v>
      </c>
      <c r="P46" s="64">
        <v>11494</v>
      </c>
      <c r="Y46" s="64">
        <f>SUM(Y43:Y45)</f>
        <v>11127</v>
      </c>
    </row>
    <row r="47" spans="1:25" s="67" customFormat="1" x14ac:dyDescent="0.25">
      <c r="A47" s="68" t="s">
        <v>136</v>
      </c>
      <c r="J47" s="67">
        <v>56</v>
      </c>
    </row>
    <row r="48" spans="1:25" s="9" customFormat="1" x14ac:dyDescent="0.25">
      <c r="A48" s="8" t="s">
        <v>85</v>
      </c>
      <c r="J48" s="9">
        <v>6348</v>
      </c>
      <c r="K48" s="9">
        <v>4712</v>
      </c>
      <c r="L48" s="9">
        <v>3940</v>
      </c>
      <c r="M48" s="9">
        <v>4119</v>
      </c>
      <c r="N48" s="9">
        <v>4472</v>
      </c>
      <c r="O48" s="9">
        <v>3706</v>
      </c>
      <c r="P48" s="9">
        <v>6480</v>
      </c>
      <c r="Y48" s="9">
        <v>3706</v>
      </c>
    </row>
    <row r="49" spans="1:25" s="27" customFormat="1" x14ac:dyDescent="0.25">
      <c r="A49" s="26" t="s">
        <v>117</v>
      </c>
      <c r="H49" s="27">
        <f>SUM(H40:H42)+H48+H46</f>
        <v>0</v>
      </c>
      <c r="I49" s="27">
        <f>SUM(I40:I42)+I48+I46</f>
        <v>0</v>
      </c>
      <c r="J49" s="27">
        <f>SUM(J40:J42)+J48+J46</f>
        <v>49307</v>
      </c>
      <c r="K49" s="27">
        <f>SUM(K40:K42)+K48+K46</f>
        <v>50407</v>
      </c>
      <c r="L49" s="27">
        <f>SUM(L40:L42)+L48+L46</f>
        <v>48314</v>
      </c>
      <c r="M49" s="27">
        <f>SUM(M40:M42)+M48+M46</f>
        <v>43356</v>
      </c>
      <c r="N49" s="27">
        <f>SUM(N40:N42)+N48+N46</f>
        <v>43811</v>
      </c>
      <c r="O49" s="27">
        <f>SUM(O40:O42)+O48+O46</f>
        <v>43269</v>
      </c>
      <c r="P49" s="27">
        <f>SUM(P40:P42)+P48+P46</f>
        <v>42508</v>
      </c>
      <c r="Q49" s="27">
        <f>SUM(Q40:Q42)+Q48+Q46</f>
        <v>0</v>
      </c>
      <c r="R49" s="27">
        <f>SUM(R40:R42)+R48+R46</f>
        <v>0</v>
      </c>
      <c r="S49" s="27">
        <f>SUM(S40:S42)+S48+S46</f>
        <v>0</v>
      </c>
      <c r="Y49" s="27">
        <f>SUM(Y40:Y42)+Y48+Y46</f>
        <v>43269</v>
      </c>
    </row>
    <row r="50" spans="1:25" s="9" customFormat="1" x14ac:dyDescent="0.25">
      <c r="A50" s="8" t="s">
        <v>118</v>
      </c>
      <c r="J50" s="9">
        <v>75763</v>
      </c>
      <c r="K50" s="9">
        <v>80860</v>
      </c>
      <c r="L50" s="9">
        <v>85734</v>
      </c>
      <c r="M50" s="9">
        <v>90945</v>
      </c>
      <c r="N50" s="9">
        <v>93352</v>
      </c>
      <c r="O50" s="9">
        <v>96647</v>
      </c>
      <c r="P50" s="9">
        <v>99924</v>
      </c>
      <c r="Y50" s="9">
        <v>96647</v>
      </c>
    </row>
    <row r="51" spans="1:25" s="9" customFormat="1" x14ac:dyDescent="0.25">
      <c r="A51" s="8" t="s">
        <v>119</v>
      </c>
      <c r="J51" s="9">
        <v>5822</v>
      </c>
      <c r="K51" s="9">
        <v>5912</v>
      </c>
      <c r="L51" s="9">
        <v>6029</v>
      </c>
      <c r="M51" s="9">
        <v>5893</v>
      </c>
      <c r="N51" s="9">
        <v>5700</v>
      </c>
      <c r="O51" s="9">
        <v>5829</v>
      </c>
      <c r="P51" s="9">
        <v>6139</v>
      </c>
      <c r="Y51" s="9">
        <v>5829</v>
      </c>
    </row>
    <row r="52" spans="1:25" s="9" customFormat="1" x14ac:dyDescent="0.25">
      <c r="A52" s="8" t="s">
        <v>120</v>
      </c>
      <c r="J52" s="9">
        <f>27591+6268</f>
        <v>33859</v>
      </c>
      <c r="K52" s="9">
        <f>27591+6018</f>
        <v>33609</v>
      </c>
      <c r="L52" s="9">
        <f>27591+5567</f>
        <v>33158</v>
      </c>
      <c r="M52" s="9">
        <f>27591+5173</f>
        <v>32764</v>
      </c>
      <c r="N52" s="9">
        <f>27591+4970</f>
        <v>32561</v>
      </c>
      <c r="O52" s="9">
        <f>27591+4589</f>
        <v>32180</v>
      </c>
      <c r="P52" s="9">
        <f>27440+4675</f>
        <v>32115</v>
      </c>
      <c r="Y52" s="9">
        <f>27591+4589</f>
        <v>32180</v>
      </c>
    </row>
    <row r="53" spans="1:25" s="9" customFormat="1" x14ac:dyDescent="0.25">
      <c r="A53" s="8" t="s">
        <v>121</v>
      </c>
      <c r="J53" s="9">
        <v>10134</v>
      </c>
      <c r="K53" s="9">
        <v>11315</v>
      </c>
      <c r="L53" s="9">
        <v>12068</v>
      </c>
      <c r="M53" s="9">
        <v>12671</v>
      </c>
      <c r="N53" s="9">
        <v>13413</v>
      </c>
      <c r="O53" s="9">
        <v>13647</v>
      </c>
      <c r="P53" s="9">
        <v>11947</v>
      </c>
      <c r="Y53" s="9">
        <v>13647</v>
      </c>
    </row>
    <row r="54" spans="1:25" s="27" customFormat="1" x14ac:dyDescent="0.25">
      <c r="A54" s="26" t="s">
        <v>122</v>
      </c>
      <c r="H54" s="27">
        <f t="shared" ref="H54:S54" si="30">SUM(H50:H53)+H49</f>
        <v>0</v>
      </c>
      <c r="I54" s="27">
        <f t="shared" si="30"/>
        <v>0</v>
      </c>
      <c r="J54" s="27">
        <f t="shared" si="30"/>
        <v>174885</v>
      </c>
      <c r="K54" s="27">
        <f t="shared" si="30"/>
        <v>182103</v>
      </c>
      <c r="L54" s="27">
        <f t="shared" si="30"/>
        <v>185303</v>
      </c>
      <c r="M54" s="27">
        <f t="shared" si="30"/>
        <v>185629</v>
      </c>
      <c r="N54" s="27">
        <f t="shared" si="30"/>
        <v>188837</v>
      </c>
      <c r="O54" s="27">
        <f>SUM(O50:O53)+O49</f>
        <v>191572</v>
      </c>
      <c r="P54" s="27">
        <f t="shared" si="30"/>
        <v>192633</v>
      </c>
      <c r="Q54" s="27">
        <f t="shared" si="30"/>
        <v>0</v>
      </c>
      <c r="R54" s="27">
        <f t="shared" si="30"/>
        <v>0</v>
      </c>
      <c r="S54" s="27">
        <f t="shared" si="30"/>
        <v>0</v>
      </c>
      <c r="Y54" s="27">
        <f>SUM(Y50:Y53)+Y49</f>
        <v>191572</v>
      </c>
    </row>
    <row r="55" spans="1:25" s="9" customFormat="1" x14ac:dyDescent="0.25">
      <c r="A55" s="8" t="s">
        <v>123</v>
      </c>
      <c r="J55" s="9">
        <v>2283</v>
      </c>
      <c r="K55" s="9">
        <v>4367</v>
      </c>
      <c r="L55" s="9">
        <v>1437</v>
      </c>
      <c r="M55" s="9">
        <v>2711</v>
      </c>
      <c r="N55" s="9">
        <v>2288</v>
      </c>
      <c r="O55" s="9">
        <v>2288</v>
      </c>
      <c r="P55" s="9">
        <v>4581</v>
      </c>
      <c r="Y55" s="9">
        <v>2288</v>
      </c>
    </row>
    <row r="56" spans="1:25" s="9" customFormat="1" x14ac:dyDescent="0.25">
      <c r="A56" s="8" t="s">
        <v>124</v>
      </c>
      <c r="J56" s="9">
        <v>7133</v>
      </c>
      <c r="K56" s="9">
        <v>9595</v>
      </c>
      <c r="L56" s="9">
        <v>8083</v>
      </c>
      <c r="M56" s="9">
        <v>8757</v>
      </c>
      <c r="N56" s="9">
        <v>8669</v>
      </c>
      <c r="O56" s="9">
        <v>8578</v>
      </c>
      <c r="P56" s="9">
        <v>8559</v>
      </c>
      <c r="Y56" s="9">
        <v>8578</v>
      </c>
    </row>
    <row r="57" spans="1:25" s="9" customFormat="1" x14ac:dyDescent="0.25">
      <c r="A57" s="8" t="s">
        <v>125</v>
      </c>
      <c r="J57" s="9">
        <v>3421</v>
      </c>
      <c r="K57" s="9">
        <v>4084</v>
      </c>
      <c r="L57" s="9">
        <v>2497</v>
      </c>
      <c r="M57" s="9">
        <v>2887</v>
      </c>
      <c r="N57" s="9">
        <v>3115</v>
      </c>
      <c r="O57" s="9">
        <v>3655</v>
      </c>
      <c r="P57" s="9">
        <v>2506</v>
      </c>
      <c r="Y57" s="9">
        <v>3655</v>
      </c>
    </row>
    <row r="58" spans="1:25" s="9" customFormat="1" x14ac:dyDescent="0.25">
      <c r="A58" s="8" t="s">
        <v>126</v>
      </c>
      <c r="K58" s="9">
        <v>2251</v>
      </c>
      <c r="L58" s="9">
        <v>4046</v>
      </c>
      <c r="M58" s="9">
        <v>2169</v>
      </c>
      <c r="N58" s="9">
        <v>2112</v>
      </c>
      <c r="O58" s="9">
        <v>1107</v>
      </c>
      <c r="P58" s="9">
        <v>346</v>
      </c>
      <c r="Y58" s="9">
        <v>1107</v>
      </c>
    </row>
    <row r="59" spans="1:25" s="9" customFormat="1" x14ac:dyDescent="0.25">
      <c r="A59" s="8" t="s">
        <v>127</v>
      </c>
      <c r="J59" s="9">
        <v>14976</v>
      </c>
      <c r="K59" s="9">
        <v>11858</v>
      </c>
      <c r="L59" s="9">
        <v>11330</v>
      </c>
      <c r="M59" s="9">
        <v>10656</v>
      </c>
      <c r="N59" s="9">
        <v>12430</v>
      </c>
      <c r="O59" s="9">
        <v>12425</v>
      </c>
      <c r="P59" s="9">
        <v>11221</v>
      </c>
      <c r="Y59" s="9">
        <v>12425</v>
      </c>
    </row>
    <row r="60" spans="1:25" s="27" customFormat="1" x14ac:dyDescent="0.25">
      <c r="A60" s="26" t="s">
        <v>128</v>
      </c>
      <c r="H60" s="27">
        <f t="shared" ref="H60:S60" si="31">SUM(H55:H59)</f>
        <v>0</v>
      </c>
      <c r="I60" s="27">
        <f t="shared" si="31"/>
        <v>0</v>
      </c>
      <c r="J60" s="27">
        <f t="shared" si="31"/>
        <v>27813</v>
      </c>
      <c r="K60" s="27">
        <f t="shared" si="31"/>
        <v>32155</v>
      </c>
      <c r="L60" s="27">
        <f t="shared" si="31"/>
        <v>27393</v>
      </c>
      <c r="M60" s="27">
        <f t="shared" si="31"/>
        <v>27180</v>
      </c>
      <c r="N60" s="27">
        <f t="shared" si="31"/>
        <v>28614</v>
      </c>
      <c r="O60" s="27">
        <f>SUM(O55:O59)</f>
        <v>28053</v>
      </c>
      <c r="P60" s="27">
        <f t="shared" si="31"/>
        <v>27213</v>
      </c>
      <c r="Q60" s="27">
        <f t="shared" si="31"/>
        <v>0</v>
      </c>
      <c r="R60" s="27">
        <f t="shared" si="31"/>
        <v>0</v>
      </c>
      <c r="S60" s="27">
        <f t="shared" si="31"/>
        <v>0</v>
      </c>
      <c r="Y60" s="27">
        <f>SUM(Y55:Y59)</f>
        <v>28053</v>
      </c>
    </row>
    <row r="61" spans="1:25" s="9" customFormat="1" x14ac:dyDescent="0.25">
      <c r="A61" s="8" t="s">
        <v>4</v>
      </c>
      <c r="J61" s="9">
        <v>37240</v>
      </c>
      <c r="K61" s="9">
        <v>37684</v>
      </c>
      <c r="L61" s="9">
        <v>48836</v>
      </c>
      <c r="M61" s="9">
        <v>46335</v>
      </c>
      <c r="N61" s="9">
        <v>46591</v>
      </c>
      <c r="O61" s="9">
        <v>46978</v>
      </c>
      <c r="P61" s="9">
        <v>47869</v>
      </c>
      <c r="Y61" s="9">
        <v>46978</v>
      </c>
    </row>
    <row r="62" spans="1:25" s="9" customFormat="1" outlineLevel="1" x14ac:dyDescent="0.25">
      <c r="A62" s="8" t="s">
        <v>135</v>
      </c>
      <c r="J62" s="9">
        <v>3782</v>
      </c>
      <c r="K62" s="9">
        <v>3796</v>
      </c>
      <c r="L62" s="9">
        <v>3831</v>
      </c>
    </row>
    <row r="63" spans="1:25" s="9" customFormat="1" outlineLevel="1" x14ac:dyDescent="0.25">
      <c r="A63" s="8" t="s">
        <v>137</v>
      </c>
      <c r="J63" s="9">
        <v>361</v>
      </c>
    </row>
    <row r="64" spans="1:25" s="9" customFormat="1" x14ac:dyDescent="0.25">
      <c r="A64" s="8" t="s">
        <v>129</v>
      </c>
      <c r="J64" s="9">
        <v>5760</v>
      </c>
      <c r="K64" s="9">
        <v>5182</v>
      </c>
      <c r="L64" s="9">
        <v>4840</v>
      </c>
      <c r="M64" s="9">
        <v>7643</v>
      </c>
      <c r="N64" s="9">
        <v>7946</v>
      </c>
      <c r="O64" s="9">
        <v>6576</v>
      </c>
      <c r="P64" s="9">
        <v>6895</v>
      </c>
      <c r="Y64" s="9">
        <v>6576</v>
      </c>
    </row>
    <row r="65" spans="1:25" s="27" customFormat="1" x14ac:dyDescent="0.25">
      <c r="A65" s="26" t="s">
        <v>132</v>
      </c>
      <c r="H65" s="27">
        <f t="shared" ref="H65:S65" si="32">SUM(H61:H64)+H60</f>
        <v>0</v>
      </c>
      <c r="I65" s="27">
        <f t="shared" si="32"/>
        <v>0</v>
      </c>
      <c r="J65" s="27">
        <f t="shared" si="32"/>
        <v>74956</v>
      </c>
      <c r="K65" s="27">
        <f t="shared" si="32"/>
        <v>78817</v>
      </c>
      <c r="L65" s="27">
        <f t="shared" si="32"/>
        <v>84900</v>
      </c>
      <c r="M65" s="27">
        <f t="shared" si="32"/>
        <v>81158</v>
      </c>
      <c r="N65" s="27">
        <f t="shared" si="32"/>
        <v>83151</v>
      </c>
      <c r="O65" s="27">
        <f>SUM(O61:O64)+O60</f>
        <v>81607</v>
      </c>
      <c r="P65" s="27">
        <f t="shared" si="32"/>
        <v>81977</v>
      </c>
      <c r="Q65" s="27">
        <f t="shared" si="32"/>
        <v>0</v>
      </c>
      <c r="R65" s="27">
        <f t="shared" si="32"/>
        <v>0</v>
      </c>
      <c r="S65" s="27">
        <f t="shared" si="32"/>
        <v>0</v>
      </c>
      <c r="Y65" s="27">
        <f>SUM(Y61:Y64)+Y60</f>
        <v>81607</v>
      </c>
    </row>
    <row r="66" spans="1:25" s="9" customFormat="1" x14ac:dyDescent="0.25">
      <c r="A66" s="8" t="s">
        <v>68</v>
      </c>
      <c r="K66" s="9">
        <v>1863</v>
      </c>
      <c r="L66" s="9">
        <v>2344</v>
      </c>
      <c r="M66" s="9">
        <v>3454</v>
      </c>
      <c r="N66" s="9">
        <v>3873</v>
      </c>
      <c r="O66" s="9">
        <v>4375</v>
      </c>
      <c r="P66" s="9">
        <v>4783</v>
      </c>
      <c r="Y66" s="9">
        <v>4375</v>
      </c>
    </row>
    <row r="67" spans="1:25" s="9" customFormat="1" x14ac:dyDescent="0.25">
      <c r="A67" s="8" t="s">
        <v>130</v>
      </c>
      <c r="J67" s="9">
        <v>99885</v>
      </c>
      <c r="K67" s="9">
        <v>101423</v>
      </c>
      <c r="L67" s="9">
        <v>98059</v>
      </c>
      <c r="M67" s="9">
        <v>101017</v>
      </c>
      <c r="N67" s="9">
        <v>101813</v>
      </c>
      <c r="O67" s="9">
        <v>105590</v>
      </c>
      <c r="P67" s="9">
        <v>105973</v>
      </c>
      <c r="Y67" s="9">
        <v>105590</v>
      </c>
    </row>
    <row r="68" spans="1:25" s="27" customFormat="1" x14ac:dyDescent="0.25">
      <c r="A68" s="26" t="s">
        <v>133</v>
      </c>
      <c r="H68" s="27">
        <f t="shared" ref="H68" si="33">SUM(H66:H67)</f>
        <v>0</v>
      </c>
      <c r="I68" s="27">
        <f t="shared" ref="I68" si="34">SUM(I66:I67)</f>
        <v>0</v>
      </c>
      <c r="J68" s="27">
        <f t="shared" ref="J68" si="35">SUM(J66:J67)</f>
        <v>99885</v>
      </c>
      <c r="K68" s="27">
        <f t="shared" ref="K68" si="36">SUM(K66:K67)</f>
        <v>103286</v>
      </c>
      <c r="L68" s="27">
        <f t="shared" ref="L68" si="37">SUM(L66:L67)</f>
        <v>100403</v>
      </c>
      <c r="M68" s="27">
        <f t="shared" ref="M68:O68" si="38">SUM(M66:M67)</f>
        <v>104471</v>
      </c>
      <c r="N68" s="27">
        <f t="shared" si="38"/>
        <v>105686</v>
      </c>
      <c r="O68" s="27">
        <f t="shared" si="38"/>
        <v>109965</v>
      </c>
      <c r="P68" s="27">
        <f>SUM(P66:P67)</f>
        <v>110756</v>
      </c>
      <c r="Q68" s="27">
        <f t="shared" ref="Q68:S68" si="39">SUM(Q66:Q67)</f>
        <v>0</v>
      </c>
      <c r="R68" s="27">
        <f t="shared" si="39"/>
        <v>0</v>
      </c>
      <c r="S68" s="27">
        <f t="shared" si="39"/>
        <v>0</v>
      </c>
      <c r="Y68" s="27">
        <f>SUM(Y66:Y67)</f>
        <v>109965</v>
      </c>
    </row>
    <row r="69" spans="1:25" s="27" customFormat="1" x14ac:dyDescent="0.25">
      <c r="A69" s="26" t="s">
        <v>131</v>
      </c>
      <c r="H69" s="27">
        <f t="shared" ref="H69" si="40">H68+H65</f>
        <v>0</v>
      </c>
      <c r="I69" s="27">
        <f t="shared" ref="I69" si="41">I68+I65</f>
        <v>0</v>
      </c>
      <c r="J69" s="27">
        <f t="shared" ref="J69" si="42">J68+J65</f>
        <v>174841</v>
      </c>
      <c r="K69" s="27">
        <f t="shared" ref="K69:O69" si="43">K68+K65</f>
        <v>182103</v>
      </c>
      <c r="L69" s="27">
        <f t="shared" si="43"/>
        <v>185303</v>
      </c>
      <c r="M69" s="27">
        <f t="shared" si="43"/>
        <v>185629</v>
      </c>
      <c r="N69" s="27">
        <f t="shared" si="43"/>
        <v>188837</v>
      </c>
      <c r="O69" s="27">
        <f t="shared" si="43"/>
        <v>191572</v>
      </c>
      <c r="P69" s="27">
        <f>P68+P65</f>
        <v>192733</v>
      </c>
      <c r="Q69" s="27">
        <f t="shared" ref="Q69:S69" si="44">Q68+Q65</f>
        <v>0</v>
      </c>
      <c r="R69" s="27">
        <f t="shared" si="44"/>
        <v>0</v>
      </c>
      <c r="S69" s="27">
        <f t="shared" si="44"/>
        <v>0</v>
      </c>
      <c r="Y69" s="27">
        <f t="shared" ref="Y69" si="45">Y68+Y65</f>
        <v>191572</v>
      </c>
    </row>
    <row r="71" spans="1:25" s="27" customFormat="1" x14ac:dyDescent="0.25">
      <c r="A71" s="26" t="s">
        <v>138</v>
      </c>
      <c r="L71" s="27">
        <f>L15</f>
        <v>-2768</v>
      </c>
      <c r="M71" s="27">
        <f t="shared" ref="M71:P71" si="46">M15</f>
        <v>1473</v>
      </c>
      <c r="N71" s="27">
        <f t="shared" si="46"/>
        <v>310</v>
      </c>
      <c r="O71" s="27">
        <f t="shared" si="46"/>
        <v>2660</v>
      </c>
      <c r="P71" s="27">
        <f t="shared" si="46"/>
        <v>-437</v>
      </c>
    </row>
    <row r="72" spans="1:25" s="9" customFormat="1" x14ac:dyDescent="0.25">
      <c r="A72" s="8" t="s">
        <v>139</v>
      </c>
      <c r="L72" s="9">
        <v>1901</v>
      </c>
    </row>
    <row r="73" spans="1:25" s="9" customFormat="1" x14ac:dyDescent="0.25">
      <c r="A73" s="8" t="s">
        <v>140</v>
      </c>
      <c r="L73" s="9">
        <v>739</v>
      </c>
    </row>
    <row r="74" spans="1:25" s="9" customFormat="1" x14ac:dyDescent="0.25">
      <c r="A74" s="8" t="s">
        <v>141</v>
      </c>
      <c r="L74" s="9">
        <v>55</v>
      </c>
    </row>
    <row r="75" spans="1:25" s="9" customFormat="1" x14ac:dyDescent="0.25">
      <c r="A75" s="8" t="s">
        <v>142</v>
      </c>
      <c r="L75" s="9">
        <v>465</v>
      </c>
    </row>
    <row r="76" spans="1:25" s="9" customFormat="1" x14ac:dyDescent="0.25">
      <c r="A76" s="8" t="s">
        <v>143</v>
      </c>
      <c r="L76" s="9">
        <v>-167</v>
      </c>
    </row>
    <row r="77" spans="1:25" s="9" customFormat="1" x14ac:dyDescent="0.25">
      <c r="A77" s="8" t="s">
        <v>144</v>
      </c>
      <c r="L77" s="9">
        <v>0</v>
      </c>
    </row>
    <row r="78" spans="1:25" s="9" customFormat="1" x14ac:dyDescent="0.25">
      <c r="A78" s="8" t="s">
        <v>112</v>
      </c>
      <c r="L78" s="9">
        <v>286</v>
      </c>
    </row>
    <row r="79" spans="1:25" s="9" customFormat="1" x14ac:dyDescent="0.25">
      <c r="A79" s="8" t="s">
        <v>113</v>
      </c>
      <c r="L79" s="9">
        <v>231</v>
      </c>
    </row>
    <row r="80" spans="1:25" s="9" customFormat="1" x14ac:dyDescent="0.25">
      <c r="A80" s="8" t="s">
        <v>124</v>
      </c>
      <c r="L80" s="9">
        <v>-771</v>
      </c>
    </row>
    <row r="81" spans="1:12" s="9" customFormat="1" x14ac:dyDescent="0.25">
      <c r="A81" s="8" t="s">
        <v>125</v>
      </c>
      <c r="L81" s="9">
        <v>-1560</v>
      </c>
    </row>
    <row r="82" spans="1:12" s="9" customFormat="1" x14ac:dyDescent="0.25">
      <c r="A82" s="8" t="s">
        <v>145</v>
      </c>
      <c r="L82" s="9">
        <v>1344</v>
      </c>
    </row>
    <row r="83" spans="1:12" s="9" customFormat="1" x14ac:dyDescent="0.25">
      <c r="A83" s="8" t="s">
        <v>146</v>
      </c>
      <c r="L83" s="9">
        <v>-1540</v>
      </c>
    </row>
    <row r="84" spans="1:12" s="27" customFormat="1" x14ac:dyDescent="0.25">
      <c r="A84" s="26" t="s">
        <v>147</v>
      </c>
      <c r="L84" s="27">
        <v>983</v>
      </c>
    </row>
    <row r="85" spans="1:12" s="27" customFormat="1" x14ac:dyDescent="0.25">
      <c r="A85" s="26" t="s">
        <v>148</v>
      </c>
      <c r="L85" s="27">
        <f>SUM(L71:L83)</f>
        <v>-1785</v>
      </c>
    </row>
    <row r="86" spans="1:12" s="9" customFormat="1" x14ac:dyDescent="0.25">
      <c r="A86" s="8" t="s">
        <v>149</v>
      </c>
      <c r="L86" s="9">
        <v>-7413</v>
      </c>
    </row>
    <row r="87" spans="1:12" s="9" customFormat="1" x14ac:dyDescent="0.25">
      <c r="A87" s="8" t="s">
        <v>150</v>
      </c>
      <c r="L87" s="9">
        <v>-16132</v>
      </c>
    </row>
    <row r="88" spans="1:12" s="9" customFormat="1" x14ac:dyDescent="0.25">
      <c r="A88" s="8" t="s">
        <v>151</v>
      </c>
      <c r="L88" s="9">
        <v>14173</v>
      </c>
    </row>
    <row r="89" spans="1:12" s="9" customFormat="1" x14ac:dyDescent="0.25">
      <c r="A89" s="8" t="s">
        <v>152</v>
      </c>
      <c r="L89" s="9">
        <v>116</v>
      </c>
    </row>
    <row r="90" spans="1:12" s="9" customFormat="1" x14ac:dyDescent="0.25">
      <c r="A90" s="8" t="s">
        <v>153</v>
      </c>
      <c r="L90" s="9">
        <v>0</v>
      </c>
    </row>
    <row r="91" spans="1:12" s="9" customFormat="1" x14ac:dyDescent="0.25">
      <c r="A91" s="8" t="s">
        <v>154</v>
      </c>
      <c r="L91" s="9">
        <v>735</v>
      </c>
    </row>
    <row r="92" spans="1:12" s="27" customFormat="1" x14ac:dyDescent="0.25">
      <c r="A92" s="26" t="s">
        <v>155</v>
      </c>
      <c r="L92" s="27">
        <f>SUM(L86:L91)</f>
        <v>-8521</v>
      </c>
    </row>
    <row r="93" spans="1:12" s="9" customFormat="1" x14ac:dyDescent="0.25">
      <c r="A93" s="8" t="s">
        <v>156</v>
      </c>
      <c r="L93" s="9">
        <v>-2930</v>
      </c>
    </row>
    <row r="94" spans="1:12" s="9" customFormat="1" x14ac:dyDescent="0.25">
      <c r="A94" s="8" t="s">
        <v>157</v>
      </c>
      <c r="L94" s="9">
        <v>-15</v>
      </c>
    </row>
    <row r="95" spans="1:12" s="9" customFormat="1" x14ac:dyDescent="0.25">
      <c r="A95" s="8" t="s">
        <v>158</v>
      </c>
      <c r="L95" s="9">
        <v>449</v>
      </c>
    </row>
    <row r="96" spans="1:12" s="9" customFormat="1" x14ac:dyDescent="0.25">
      <c r="A96" s="8" t="s">
        <v>159</v>
      </c>
      <c r="L96" s="9">
        <v>10968</v>
      </c>
    </row>
    <row r="97" spans="1:12" s="9" customFormat="1" x14ac:dyDescent="0.25">
      <c r="A97" s="8" t="s">
        <v>160</v>
      </c>
      <c r="L97" s="9">
        <v>659</v>
      </c>
    </row>
    <row r="98" spans="1:12" s="9" customFormat="1" x14ac:dyDescent="0.25">
      <c r="A98" s="8" t="s">
        <v>161</v>
      </c>
      <c r="L98" s="9">
        <v>-1512</v>
      </c>
    </row>
    <row r="99" spans="1:12" s="9" customFormat="1" x14ac:dyDescent="0.25">
      <c r="A99" s="8" t="s">
        <v>162</v>
      </c>
      <c r="L99" s="9">
        <v>-225</v>
      </c>
    </row>
    <row r="100" spans="1:12" s="27" customFormat="1" x14ac:dyDescent="0.25">
      <c r="A100" s="26" t="s">
        <v>163</v>
      </c>
      <c r="L100" s="27">
        <f>SUM(L93:L99)</f>
        <v>7394</v>
      </c>
    </row>
    <row r="101" spans="1:12" s="9" customFormat="1" x14ac:dyDescent="0.25">
      <c r="A101" s="8" t="s">
        <v>164</v>
      </c>
      <c r="L101" s="9">
        <v>-2912</v>
      </c>
    </row>
    <row r="102" spans="1:12" s="9" customFormat="1" x14ac:dyDescent="0.25">
      <c r="A102" s="8" t="s">
        <v>166</v>
      </c>
      <c r="L102" s="9">
        <v>11144</v>
      </c>
    </row>
    <row r="103" spans="1:12" s="27" customFormat="1" x14ac:dyDescent="0.25">
      <c r="A103" s="26" t="s">
        <v>165</v>
      </c>
      <c r="L103" s="27">
        <f>SUM(L101:L102)</f>
        <v>8232</v>
      </c>
    </row>
  </sheetData>
  <phoneticPr fontId="3" type="noConversion"/>
  <hyperlinks>
    <hyperlink ref="A1" location="Main!A1" display="Main" xr:uid="{F11DAF57-F530-4668-9C6A-3624BEB892EC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C653-EBD7-4789-8475-A5D1B99619EE}">
  <dimension ref="A1:M42"/>
  <sheetViews>
    <sheetView zoomScale="190" zoomScaleNormal="190" workbookViewId="0">
      <pane xSplit="1" ySplit="2" topLeftCell="B23" activePane="bottomRight" state="frozen"/>
      <selection pane="topRight" activeCell="C1" sqref="C1"/>
      <selection pane="bottomLeft" activeCell="A3" sqref="A3"/>
      <selection pane="bottomRight" activeCell="F37" sqref="F37"/>
    </sheetView>
  </sheetViews>
  <sheetFormatPr defaultRowHeight="13.2" x14ac:dyDescent="0.25"/>
  <cols>
    <col min="1" max="1" width="31" style="10" customWidth="1"/>
    <col min="2" max="16384" width="8.88671875" style="11"/>
  </cols>
  <sheetData>
    <row r="1" spans="1:13" s="28" customFormat="1" ht="10.199999999999999" x14ac:dyDescent="0.2">
      <c r="F1" s="29">
        <v>45383</v>
      </c>
      <c r="J1" s="29">
        <v>45381</v>
      </c>
    </row>
    <row r="2" spans="1:13" s="10" customFormat="1" x14ac:dyDescent="0.25">
      <c r="A2" s="55" t="s">
        <v>96</v>
      </c>
      <c r="B2" s="12" t="s">
        <v>14</v>
      </c>
      <c r="C2" s="12" t="s">
        <v>15</v>
      </c>
      <c r="D2" s="12" t="s">
        <v>10</v>
      </c>
      <c r="E2" s="12" t="s">
        <v>11</v>
      </c>
      <c r="F2" s="12" t="s">
        <v>12</v>
      </c>
      <c r="G2" s="12" t="s">
        <v>13</v>
      </c>
      <c r="H2" s="12" t="s">
        <v>8</v>
      </c>
      <c r="I2" s="12" t="s">
        <v>9</v>
      </c>
      <c r="J2" s="12" t="s">
        <v>23</v>
      </c>
      <c r="K2" s="12" t="s">
        <v>24</v>
      </c>
      <c r="L2" s="12" t="s">
        <v>25</v>
      </c>
      <c r="M2" s="12" t="s">
        <v>26</v>
      </c>
    </row>
    <row r="3" spans="1:13" s="10" customFormat="1" x14ac:dyDescent="0.25">
      <c r="A3" s="52" t="s">
        <v>91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s="10" customFormat="1" x14ac:dyDescent="0.25">
      <c r="A4" s="52" t="s">
        <v>86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s="9" customFormat="1" x14ac:dyDescent="0.25">
      <c r="A5" s="53" t="s">
        <v>83</v>
      </c>
      <c r="F5" s="9">
        <v>1879</v>
      </c>
      <c r="J5" s="9">
        <v>2461</v>
      </c>
    </row>
    <row r="6" spans="1:13" s="9" customFormat="1" x14ac:dyDescent="0.25">
      <c r="A6" s="53" t="s">
        <v>84</v>
      </c>
      <c r="F6" s="9">
        <v>3407</v>
      </c>
      <c r="J6" s="9">
        <v>4681</v>
      </c>
    </row>
    <row r="7" spans="1:13" s="9" customFormat="1" x14ac:dyDescent="0.25">
      <c r="A7" s="53" t="s">
        <v>85</v>
      </c>
      <c r="F7" s="9">
        <v>481</v>
      </c>
      <c r="J7" s="9">
        <v>391</v>
      </c>
    </row>
    <row r="8" spans="1:13" s="27" customFormat="1" x14ac:dyDescent="0.25">
      <c r="A8" s="54" t="s">
        <v>89</v>
      </c>
      <c r="F8" s="27">
        <f t="shared" ref="F8:I8" si="0">SUM(F5:F7)</f>
        <v>5767</v>
      </c>
      <c r="G8" s="27">
        <f t="shared" si="0"/>
        <v>0</v>
      </c>
      <c r="H8" s="27">
        <f t="shared" si="0"/>
        <v>0</v>
      </c>
      <c r="I8" s="27">
        <f t="shared" si="0"/>
        <v>0</v>
      </c>
      <c r="J8" s="27">
        <f>SUM(J5:J7)</f>
        <v>7533</v>
      </c>
    </row>
    <row r="9" spans="1:13" s="9" customFormat="1" x14ac:dyDescent="0.25">
      <c r="A9" s="53" t="s">
        <v>33</v>
      </c>
      <c r="F9" s="9">
        <v>2901</v>
      </c>
      <c r="J9" s="9">
        <v>3036</v>
      </c>
    </row>
    <row r="10" spans="1:13" s="9" customFormat="1" x14ac:dyDescent="0.25">
      <c r="A10" s="53" t="s">
        <v>34</v>
      </c>
      <c r="F10" s="9">
        <v>1489</v>
      </c>
      <c r="J10" s="9">
        <v>1364</v>
      </c>
    </row>
    <row r="11" spans="1:13" s="27" customFormat="1" x14ac:dyDescent="0.25">
      <c r="A11" s="26" t="s">
        <v>92</v>
      </c>
      <c r="F11" s="27">
        <f>F10+F9+F8</f>
        <v>10157</v>
      </c>
      <c r="G11" s="27">
        <f>G10+G9+G8</f>
        <v>0</v>
      </c>
      <c r="H11" s="27">
        <f>H10+H9+H8</f>
        <v>0</v>
      </c>
      <c r="I11" s="27">
        <f>I10+I9+I8</f>
        <v>0</v>
      </c>
      <c r="J11" s="27">
        <f>J10+J9+J8</f>
        <v>11933</v>
      </c>
    </row>
    <row r="12" spans="1:13" s="9" customFormat="1" x14ac:dyDescent="0.25">
      <c r="A12" s="8"/>
    </row>
    <row r="13" spans="1:13" s="9" customFormat="1" x14ac:dyDescent="0.25">
      <c r="A13" s="8"/>
    </row>
    <row r="14" spans="1:13" s="9" customFormat="1" x14ac:dyDescent="0.25">
      <c r="A14" s="54" t="s">
        <v>87</v>
      </c>
      <c r="F14" s="9">
        <v>4831</v>
      </c>
      <c r="J14" s="9">
        <v>4369</v>
      </c>
    </row>
    <row r="15" spans="1:13" s="9" customFormat="1" x14ac:dyDescent="0.25">
      <c r="A15" s="8"/>
    </row>
    <row r="16" spans="1:13" s="9" customFormat="1" x14ac:dyDescent="0.25">
      <c r="A16" s="26" t="s">
        <v>39</v>
      </c>
    </row>
    <row r="17" spans="1:10" s="9" customFormat="1" x14ac:dyDescent="0.25">
      <c r="A17" s="53" t="s">
        <v>88</v>
      </c>
      <c r="F17" s="9">
        <v>816</v>
      </c>
      <c r="J17" s="9">
        <v>342</v>
      </c>
    </row>
    <row r="18" spans="1:10" s="9" customFormat="1" x14ac:dyDescent="0.25">
      <c r="A18" s="53" t="s">
        <v>35</v>
      </c>
      <c r="F18" s="9">
        <v>458</v>
      </c>
      <c r="J18" s="9">
        <v>239</v>
      </c>
    </row>
    <row r="19" spans="1:10" s="9" customFormat="1" x14ac:dyDescent="0.25">
      <c r="A19" s="53" t="s">
        <v>85</v>
      </c>
      <c r="F19" s="9">
        <v>166</v>
      </c>
      <c r="J19" s="9">
        <v>194</v>
      </c>
    </row>
    <row r="20" spans="1:10" s="27" customFormat="1" x14ac:dyDescent="0.25">
      <c r="A20" s="54" t="s">
        <v>90</v>
      </c>
      <c r="F20" s="27">
        <f>SUM(F17:F19)</f>
        <v>1440</v>
      </c>
      <c r="G20" s="27">
        <f t="shared" ref="G20:J20" si="1">SUM(G17:G19)</f>
        <v>0</v>
      </c>
      <c r="H20" s="27">
        <f t="shared" si="1"/>
        <v>0</v>
      </c>
      <c r="I20" s="27">
        <f t="shared" si="1"/>
        <v>0</v>
      </c>
      <c r="J20" s="27">
        <f t="shared" si="1"/>
        <v>775</v>
      </c>
    </row>
    <row r="21" spans="1:10" s="27" customFormat="1" x14ac:dyDescent="0.25">
      <c r="A21" s="26" t="s">
        <v>95</v>
      </c>
      <c r="F21" s="27">
        <f>F11+F14+F20</f>
        <v>16428</v>
      </c>
      <c r="G21" s="27">
        <f t="shared" ref="G21:J21" si="2">G11+G14+G20</f>
        <v>0</v>
      </c>
      <c r="H21" s="27">
        <f t="shared" si="2"/>
        <v>0</v>
      </c>
      <c r="I21" s="27">
        <f t="shared" si="2"/>
        <v>0</v>
      </c>
      <c r="J21" s="27">
        <f t="shared" si="2"/>
        <v>17077</v>
      </c>
    </row>
    <row r="22" spans="1:10" s="9" customFormat="1" x14ac:dyDescent="0.25">
      <c r="A22" s="53" t="s">
        <v>93</v>
      </c>
      <c r="F22" s="9">
        <v>-4713</v>
      </c>
      <c r="J22" s="9">
        <v>-4353</v>
      </c>
    </row>
    <row r="23" spans="1:10" s="15" customFormat="1" x14ac:dyDescent="0.25">
      <c r="A23" s="51" t="s">
        <v>94</v>
      </c>
      <c r="F23" s="27">
        <f>SUM(F21:F22)</f>
        <v>11715</v>
      </c>
      <c r="G23" s="27">
        <f t="shared" ref="G23:J23" si="3">SUM(G21:G22)</f>
        <v>0</v>
      </c>
      <c r="H23" s="27">
        <f t="shared" si="3"/>
        <v>0</v>
      </c>
      <c r="I23" s="27">
        <f t="shared" si="3"/>
        <v>0</v>
      </c>
      <c r="J23" s="27">
        <f t="shared" si="3"/>
        <v>12724</v>
      </c>
    </row>
    <row r="26" spans="1:10" x14ac:dyDescent="0.25">
      <c r="A26" s="10" t="s">
        <v>97</v>
      </c>
      <c r="J26" s="56">
        <f>J5/F5-1</f>
        <v>0.30973922299095258</v>
      </c>
    </row>
    <row r="27" spans="1:10" x14ac:dyDescent="0.25">
      <c r="A27" s="10" t="s">
        <v>98</v>
      </c>
      <c r="J27" s="56">
        <f>J6/F6-1</f>
        <v>0.37393601408864097</v>
      </c>
    </row>
    <row r="28" spans="1:10" x14ac:dyDescent="0.25">
      <c r="A28" s="10" t="s">
        <v>99</v>
      </c>
      <c r="J28" s="56">
        <f>J7/F7-1</f>
        <v>-0.18711018711018712</v>
      </c>
    </row>
    <row r="29" spans="1:10" s="15" customFormat="1" x14ac:dyDescent="0.25">
      <c r="A29" s="51" t="s">
        <v>100</v>
      </c>
      <c r="J29" s="57">
        <f>J8/F8-1</f>
        <v>0.30622507369516216</v>
      </c>
    </row>
    <row r="31" spans="1:10" x14ac:dyDescent="0.25">
      <c r="A31" s="10" t="s">
        <v>101</v>
      </c>
      <c r="J31" s="56">
        <f>J9/F9-1</f>
        <v>4.6535677352637084E-2</v>
      </c>
    </row>
    <row r="32" spans="1:10" x14ac:dyDescent="0.25">
      <c r="A32" s="10" t="s">
        <v>102</v>
      </c>
      <c r="J32" s="56">
        <f>J10/F10-1</f>
        <v>-8.3948959032907999E-2</v>
      </c>
    </row>
    <row r="33" spans="1:10" x14ac:dyDescent="0.25">
      <c r="A33" s="10" t="s">
        <v>103</v>
      </c>
      <c r="J33" s="56">
        <f>J11/F11-1</f>
        <v>0.1748547799547111</v>
      </c>
    </row>
    <row r="35" spans="1:10" x14ac:dyDescent="0.25">
      <c r="A35" s="10" t="s">
        <v>104</v>
      </c>
      <c r="J35" s="56">
        <f>J14/F14-1</f>
        <v>-9.5632374249637775E-2</v>
      </c>
    </row>
    <row r="37" spans="1:10" x14ac:dyDescent="0.25">
      <c r="A37" s="10" t="s">
        <v>105</v>
      </c>
      <c r="J37" s="56">
        <f>J17/F17-1</f>
        <v>-0.58088235294117641</v>
      </c>
    </row>
    <row r="38" spans="1:10" x14ac:dyDescent="0.25">
      <c r="A38" s="10" t="s">
        <v>106</v>
      </c>
      <c r="J38" s="56">
        <f>J18/F18-1</f>
        <v>-0.47816593886462877</v>
      </c>
    </row>
    <row r="39" spans="1:10" x14ac:dyDescent="0.25">
      <c r="A39" s="10" t="s">
        <v>99</v>
      </c>
      <c r="J39" s="56">
        <f>J19/F19-1</f>
        <v>0.16867469879518082</v>
      </c>
    </row>
    <row r="40" spans="1:10" x14ac:dyDescent="0.25">
      <c r="A40" s="10" t="s">
        <v>107</v>
      </c>
      <c r="J40" s="56">
        <f>J20/F20-1</f>
        <v>-0.46180555555555558</v>
      </c>
    </row>
    <row r="42" spans="1:10" x14ac:dyDescent="0.25">
      <c r="A42" s="10" t="s">
        <v>108</v>
      </c>
      <c r="J42" s="56">
        <f>J23/F23-1</f>
        <v>8.6128894579598825E-2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Segments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cp:lastPrinted>2024-06-08T00:53:56Z</cp:lastPrinted>
  <dcterms:created xsi:type="dcterms:W3CDTF">2024-04-17T23:07:06Z</dcterms:created>
  <dcterms:modified xsi:type="dcterms:W3CDTF">2024-06-08T03:36:01Z</dcterms:modified>
</cp:coreProperties>
</file>