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523" documentId="8_{2C8AF0CC-9803-4580-9F0D-EF1618EA7C82}" xr6:coauthVersionLast="47" xr6:coauthVersionMax="47" xr10:uidLastSave="{A49968D5-71C7-4B65-A23F-540F598729F8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AA21" i="1"/>
  <c r="AB5" i="1"/>
  <c r="AA26" i="1"/>
  <c r="Y26" i="1"/>
  <c r="X26" i="1"/>
  <c r="W26" i="1"/>
  <c r="V26" i="1"/>
  <c r="Z26" i="1"/>
  <c r="Z32" i="1"/>
  <c r="Y32" i="1"/>
  <c r="X32" i="1"/>
  <c r="W32" i="1"/>
  <c r="V32" i="1"/>
  <c r="U32" i="1"/>
  <c r="Z31" i="1"/>
  <c r="Y31" i="1"/>
  <c r="X31" i="1"/>
  <c r="W31" i="1"/>
  <c r="V31" i="1"/>
  <c r="U31" i="1"/>
  <c r="Z30" i="1"/>
  <c r="Y30" i="1"/>
  <c r="X30" i="1"/>
  <c r="W30" i="1"/>
  <c r="V30" i="1"/>
  <c r="U30" i="1"/>
  <c r="Z29" i="1"/>
  <c r="Y29" i="1"/>
  <c r="X29" i="1"/>
  <c r="W29" i="1"/>
  <c r="V29" i="1"/>
  <c r="U29" i="1"/>
  <c r="O32" i="1"/>
  <c r="N32" i="1"/>
  <c r="M32" i="1"/>
  <c r="L32" i="1"/>
  <c r="K32" i="1"/>
  <c r="J32" i="1"/>
  <c r="I32" i="1"/>
  <c r="H32" i="1"/>
  <c r="O31" i="1"/>
  <c r="N31" i="1"/>
  <c r="M31" i="1"/>
  <c r="L31" i="1"/>
  <c r="K31" i="1"/>
  <c r="J31" i="1"/>
  <c r="I31" i="1"/>
  <c r="H31" i="1"/>
  <c r="O30" i="1"/>
  <c r="N30" i="1"/>
  <c r="M30" i="1"/>
  <c r="L30" i="1"/>
  <c r="K30" i="1"/>
  <c r="J30" i="1"/>
  <c r="I30" i="1"/>
  <c r="H30" i="1"/>
  <c r="O29" i="1"/>
  <c r="N29" i="1"/>
  <c r="M29" i="1"/>
  <c r="L29" i="1"/>
  <c r="K29" i="1"/>
  <c r="J29" i="1"/>
  <c r="I29" i="1"/>
  <c r="H29" i="1"/>
  <c r="O27" i="1"/>
  <c r="N27" i="1"/>
  <c r="M27" i="1"/>
  <c r="L27" i="1"/>
  <c r="K27" i="1"/>
  <c r="J27" i="1"/>
  <c r="I27" i="1"/>
  <c r="O26" i="1"/>
  <c r="N26" i="1"/>
  <c r="M26" i="1"/>
  <c r="L26" i="1"/>
  <c r="P32" i="1"/>
  <c r="P31" i="1"/>
  <c r="P30" i="1"/>
  <c r="P29" i="1"/>
  <c r="P27" i="1"/>
  <c r="P26" i="1"/>
  <c r="U23" i="1"/>
  <c r="U8" i="1"/>
  <c r="U11" i="1" s="1"/>
  <c r="U5" i="1"/>
  <c r="Y5" i="1"/>
  <c r="Z8" i="1"/>
  <c r="Z11" i="1" s="1"/>
  <c r="Y8" i="1"/>
  <c r="Y11" i="1" s="1"/>
  <c r="Y12" i="1" s="1"/>
  <c r="Y16" i="1" s="1"/>
  <c r="Y19" i="1" s="1"/>
  <c r="X23" i="1"/>
  <c r="W23" i="1"/>
  <c r="V23" i="1"/>
  <c r="X8" i="1"/>
  <c r="X11" i="1" s="1"/>
  <c r="W8" i="1"/>
  <c r="W11" i="1" s="1"/>
  <c r="W12" i="1" s="1"/>
  <c r="W16" i="1" s="1"/>
  <c r="W19" i="1" s="1"/>
  <c r="V8" i="1"/>
  <c r="V11" i="1" s="1"/>
  <c r="X5" i="1"/>
  <c r="W5" i="1"/>
  <c r="V5" i="1"/>
  <c r="K4" i="1"/>
  <c r="K3" i="1"/>
  <c r="O3" i="1"/>
  <c r="O4" i="1"/>
  <c r="Z24" i="1"/>
  <c r="Z23" i="1" s="1"/>
  <c r="Y24" i="1"/>
  <c r="Y23" i="1" s="1"/>
  <c r="Z15" i="1"/>
  <c r="Z14" i="1"/>
  <c r="Z13" i="1"/>
  <c r="Z10" i="1"/>
  <c r="Z9" i="1"/>
  <c r="Z5" i="1"/>
  <c r="H23" i="1"/>
  <c r="H8" i="1"/>
  <c r="H11" i="1" s="1"/>
  <c r="H5" i="1"/>
  <c r="I23" i="1"/>
  <c r="I8" i="1"/>
  <c r="I11" i="1" s="1"/>
  <c r="I5" i="1"/>
  <c r="M23" i="1"/>
  <c r="M8" i="1"/>
  <c r="M11" i="1" s="1"/>
  <c r="M5" i="1"/>
  <c r="J23" i="1"/>
  <c r="J8" i="1"/>
  <c r="J11" i="1" s="1"/>
  <c r="J5" i="1"/>
  <c r="N5" i="1"/>
  <c r="K23" i="1"/>
  <c r="N23" i="1"/>
  <c r="K6" i="1"/>
  <c r="K8" i="1" s="1"/>
  <c r="K11" i="1" s="1"/>
  <c r="K12" i="1" s="1"/>
  <c r="K16" i="1" s="1"/>
  <c r="O6" i="1"/>
  <c r="P8" i="1"/>
  <c r="P11" i="1" s="1"/>
  <c r="N8" i="1"/>
  <c r="N11" i="1" s="1"/>
  <c r="L8" i="1"/>
  <c r="L11" i="1" s="1"/>
  <c r="O23" i="1"/>
  <c r="L23" i="1"/>
  <c r="L5" i="1"/>
  <c r="P23" i="1"/>
  <c r="P5" i="1"/>
  <c r="L6" i="2"/>
  <c r="L4" i="2"/>
  <c r="L7" i="2" s="1"/>
  <c r="L8" i="2"/>
  <c r="U12" i="1" l="1"/>
  <c r="U16" i="1" s="1"/>
  <c r="U19" i="1" s="1"/>
  <c r="U22" i="1" s="1"/>
  <c r="Z12" i="1"/>
  <c r="Z16" i="1" s="1"/>
  <c r="Z19" i="1" s="1"/>
  <c r="V12" i="1"/>
  <c r="V16" i="1" s="1"/>
  <c r="V19" i="1" s="1"/>
  <c r="W21" i="1"/>
  <c r="W22" i="1"/>
  <c r="Y22" i="1"/>
  <c r="Y21" i="1"/>
  <c r="X12" i="1"/>
  <c r="X16" i="1" s="1"/>
  <c r="X19" i="1" s="1"/>
  <c r="X22" i="1" s="1"/>
  <c r="H12" i="1"/>
  <c r="H16" i="1" s="1"/>
  <c r="H19" i="1" s="1"/>
  <c r="H22" i="1" s="1"/>
  <c r="I12" i="1"/>
  <c r="I16" i="1" s="1"/>
  <c r="I19" i="1" s="1"/>
  <c r="I22" i="1" s="1"/>
  <c r="M12" i="1"/>
  <c r="M16" i="1" s="1"/>
  <c r="M19" i="1" s="1"/>
  <c r="M22" i="1" s="1"/>
  <c r="J12" i="1"/>
  <c r="J16" i="1" s="1"/>
  <c r="J19" i="1" s="1"/>
  <c r="J22" i="1" s="1"/>
  <c r="N12" i="1"/>
  <c r="N16" i="1" s="1"/>
  <c r="N19" i="1" s="1"/>
  <c r="N22" i="1" s="1"/>
  <c r="K19" i="1"/>
  <c r="K22" i="1" s="1"/>
  <c r="O8" i="1"/>
  <c r="P12" i="1"/>
  <c r="P16" i="1" s="1"/>
  <c r="P19" i="1" s="1"/>
  <c r="P21" i="1" s="1"/>
  <c r="L12" i="1"/>
  <c r="L16" i="1" s="1"/>
  <c r="L19" i="1" s="1"/>
  <c r="L21" i="1" s="1"/>
  <c r="U21" i="1" l="1"/>
  <c r="O11" i="1"/>
  <c r="O12" i="1" s="1"/>
  <c r="O16" i="1" s="1"/>
  <c r="O19" i="1" s="1"/>
  <c r="Z22" i="1"/>
  <c r="Z21" i="1"/>
  <c r="V22" i="1"/>
  <c r="V21" i="1"/>
  <c r="X21" i="1"/>
  <c r="H21" i="1"/>
  <c r="I21" i="1"/>
  <c r="M21" i="1"/>
  <c r="J21" i="1"/>
  <c r="N21" i="1"/>
  <c r="K21" i="1"/>
  <c r="P22" i="1"/>
  <c r="L22" i="1"/>
  <c r="O21" i="1" l="1"/>
  <c r="O22" i="1"/>
</calcChain>
</file>

<file path=xl/sharedStrings.xml><?xml version="1.0" encoding="utf-8"?>
<sst xmlns="http://schemas.openxmlformats.org/spreadsheetml/2006/main" count="73" uniqueCount="69">
  <si>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</si>
  <si>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</si>
  <si>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</si>
  <si>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</si>
  <si>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</si>
  <si>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</si>
  <si>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</si>
  <si>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</si>
  <si>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</si>
  <si>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</si>
  <si>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</si>
  <si>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</si>
  <si>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</si>
  <si>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</si>
  <si>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</si>
  <si>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</si>
  <si>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</si>
  <si>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</si>
  <si>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</si>
  <si>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</si>
  <si>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</si>
  <si>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</si>
  <si>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</si>
  <si>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</si>
  <si>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</si>
  <si>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</si>
  <si>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</si>
  <si>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</si>
  <si>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JOHN BEAN TECHNOLOGIES</t>
  </si>
  <si>
    <t>JBT</t>
  </si>
  <si>
    <t>JBT Corp, is a technology solutions provider, which engages in the food, beverage,</t>
  </si>
  <si>
    <t>and air transportation industries. It operates through the JBT FoodTech and</t>
  </si>
  <si>
    <t xml:space="preserve">JBT AeroTech business segments. The JBT FoodTech segment designs, </t>
  </si>
  <si>
    <t>manufactures, and services technologically food processing systems for the</t>
  </si>
  <si>
    <t>preparation of meat, seafood and poultry products, ready-to-eat meals, shelf stable</t>
  </si>
  <si>
    <t>packaged foods, bakery products, juice and dairy products, and fruit and vegetable</t>
  </si>
  <si>
    <t xml:space="preserve">products. </t>
  </si>
  <si>
    <t>The JBT AeroTech segment supplies customized solutions and services used for</t>
  </si>
  <si>
    <t>applications in the air transportation industry, including airport authorities, airlines,</t>
  </si>
  <si>
    <t>airfreight, ground handling companies, the military, and defense contractors.</t>
  </si>
  <si>
    <t>Incorporated in 1994. Headquartered in Chicago, IL.</t>
  </si>
  <si>
    <t>Brian A. Deck</t>
  </si>
  <si>
    <t>Product revenue</t>
  </si>
  <si>
    <t>Service revenue</t>
  </si>
  <si>
    <t>Revenue</t>
  </si>
  <si>
    <t>Cost of products</t>
  </si>
  <si>
    <t>Cost of services</t>
  </si>
  <si>
    <t>SG&amp;A</t>
  </si>
  <si>
    <t>Restructuring</t>
  </si>
  <si>
    <t>Operating expenses</t>
  </si>
  <si>
    <t>Operating income</t>
  </si>
  <si>
    <t>Interest income</t>
  </si>
  <si>
    <t>Pension expense, other than service cost</t>
  </si>
  <si>
    <t>Interest expense</t>
  </si>
  <si>
    <t>Pretax</t>
  </si>
  <si>
    <t>Taxes</t>
  </si>
  <si>
    <t>Income from discontinued operations</t>
  </si>
  <si>
    <t>Net income</t>
  </si>
  <si>
    <t>EPS from continuing</t>
  </si>
  <si>
    <t>EPS from discontinued</t>
  </si>
  <si>
    <t>Equity in net earnings of affiliate</t>
  </si>
  <si>
    <t>Income from continuing operations</t>
  </si>
  <si>
    <t>Cost of revenue</t>
  </si>
  <si>
    <t>Revenue Y/Y</t>
  </si>
  <si>
    <t>Revenue Q/Q</t>
  </si>
  <si>
    <t>Gross Margin %</t>
  </si>
  <si>
    <t>Operating Margin %</t>
  </si>
  <si>
    <t>Net Margin %</t>
  </si>
  <si>
    <t>Tax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</si>
</sst>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#,##0.0"/>
    <numFmt numFmtId="165" formatCode="0.0"/>
    <numFmt numFmtId="166" formatCode="0.0%"/>
    <numFmt numFmtId="167" formatCode="_-* #,##0.0_-;\-* #,##0.0_-;_-* &quot;-&quot;_-;_-@_-"/>
    <numFmt numFmtId="168" formatCode="_-* #,##0.00\ _k_r_-;\-* #,##0.00\ _k_r_-;_-* &quot;-&quot;??\ _k_r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u/>
      <sz val="14"/>
      <color theme="10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u/>
      <sz val="16"/>
      <color theme="10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1" fontId="4" fillId="0" borderId="0" applyFont="0" applyFill="0" applyBorder="0" applyAlignment="0" applyProtection="0"/>
  </cellStyleXfs>
  <cellXfs count="37">
    <xf numFmtId="0" fontId="0" fillId="0" borderId="0" xfId="0"/>
    <xf numFmtId="0" fontId="6" fillId="0" borderId="0" xfId="1" applyFont="1" applyAlignment="1">
      <alignment horizontal="center"/>
    </xf>
    <xf numFmtId="0" fontId="1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/>
    <xf numFmtId="2" fontId="1" fillId="0" borderId="1" xfId="0" applyNumberFormat="1" applyFont="1" applyBorder="1"/>
    <xf numFmtId="3" fontId="1" fillId="0" borderId="1" xfId="0" applyNumberFormat="1" applyFont="1" applyBorder="1"/>
    <xf numFmtId="0" fontId="1" fillId="0" borderId="0" xfId="0" quotePrefix="1" applyFont="1"/>
    <xf numFmtId="0" fontId="9" fillId="2" borderId="0" xfId="1" applyFont="1" applyFill="1" applyAlignment="1">
      <alignment horizontal="center"/>
    </xf>
    <xf numFmtId="0" fontId="1" fillId="2" borderId="0" xfId="0" applyFont="1" applyFill="1"/>
    <xf numFmtId="0" fontId="10" fillId="2" borderId="0" xfId="0" applyFont="1" applyFill="1" applyAlignment="1">
      <alignment horizontal="right"/>
    </xf>
    <xf numFmtId="3" fontId="1" fillId="2" borderId="0" xfId="0" applyNumberFormat="1" applyFont="1" applyFill="1"/>
    <xf numFmtId="3" fontId="1" fillId="0" borderId="0" xfId="0" applyNumberFormat="1" applyFont="1"/>
    <xf numFmtId="164" fontId="1" fillId="0" borderId="0" xfId="0" applyNumberFormat="1" applyFont="1"/>
    <xf numFmtId="166" fontId="1" fillId="0" borderId="0" xfId="0" applyNumberFormat="1" applyFont="1"/>
    <xf numFmtId="167" fontId="1" fillId="0" borderId="0" xfId="2" applyNumberFormat="1" applyFont="1"/>
    <xf numFmtId="9" fontId="1" fillId="0" borderId="0" xfId="0" applyNumberFormat="1" applyFont="1"/>
    <xf numFmtId="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0" fontId="11" fillId="2" borderId="2" xfId="0" applyFont="1" applyFill="1" applyBorder="1"/>
    <xf numFmtId="0" fontId="11" fillId="0" borderId="2" xfId="0" applyFont="1" applyBorder="1"/>
    <xf numFmtId="9" fontId="11" fillId="0" borderId="2" xfId="0" applyNumberFormat="1" applyFont="1" applyBorder="1"/>
    <xf numFmtId="0" fontId="11" fillId="2" borderId="3" xfId="0" applyFont="1" applyFill="1" applyBorder="1"/>
    <xf numFmtId="0" fontId="11" fillId="0" borderId="3" xfId="0" applyFont="1" applyBorder="1"/>
    <xf numFmtId="9" fontId="11" fillId="0" borderId="3" xfId="0" applyNumberFormat="1" applyFont="1" applyBorder="1"/>
    <xf numFmtId="0" fontId="11" fillId="2" borderId="0" xfId="0" applyFont="1" applyFill="1"/>
    <xf numFmtId="0" fontId="11" fillId="0" borderId="0" xfId="0" applyFont="1"/>
    <xf numFmtId="9" fontId="11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164" fontId="5" fillId="0" borderId="0" xfId="0" applyNumberFormat="1" applyFont="1" applyBorder="1"/>
    <xf numFmtId="167" fontId="5" fillId="0" borderId="0" xfId="2" applyNumberFormat="1" applyFont="1" applyBorder="1"/>
    <xf numFmtId="0" fontId="5" fillId="2" borderId="0" xfId="0" applyFont="1" applyFill="1" applyBorder="1"/>
    <xf numFmtId="0" fontId="5" fillId="0" borderId="0" xfId="0" applyFont="1" applyBorder="1"/>
    <xf numFmtId="168" fontId="5" fillId="0" borderId="0" xfId="0" applyNumberFormat="1" applyFont="1" applyBorder="1"/>
  </cellXfs>
  <cellStyles count="3">
    <cellStyle name="Comma [0]" xfId="2" builtinId="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B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26</xdr:col>
      <xdr:colOff>0</xdr:colOff>
      <xdr:row>94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493</xdr:colOff>
      <xdr:row>94</xdr:row>
      <xdr:rowOff>156309</xdr:rowOff>
    </xdr:to>
    <xdr:cxnSp macro="">
      <xdr:nvCxnSpPr>
        <xdr:cNvPr id="7" name="Straight Connector 2">
          <a:extLst>
            <a:ext uri="{FF2B5EF4-FFF2-40B4-BE49-F238E27FC236}">
              <a16:creationId xmlns:a16="http://schemas.microsoft.com/office/drawing/2014/main" id="{166055F0-81C7-495A-9B48-5FBC02A11953}"/>
            </a:ext>
          </a:extLst>
        </xdr:cNvPr>
        <xdr:cNvCxnSpPr/>
      </xdr:nvCxnSpPr>
      <xdr:spPr>
        <a:xfrm>
          <a:off x="11514083" y="268014"/>
          <a:ext cx="493" cy="16710102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M17"/>
  <sheetViews>
    <sheetView workbookViewId="0">
      <selection activeCell="B1" sqref="B1"/>
    </sheetView>
  </sheetViews>
  <sheetFormatPr defaultRowHeight="13.8" x14ac:dyDescent="0.25"/>
  <cols>
    <col min="1" max="1" width="8.88671875" style="2"/>
    <col min="2" max="2" width="12.88671875" style="2" customWidth="1"/>
    <col min="3" max="10" width="8.88671875" style="2"/>
    <col min="11" max="11" width="9.33203125" style="2" customWidth="1"/>
    <col min="12" max="12" width="13.88671875" style="2" customWidth="1"/>
    <col min="13" max="13" width="9.109375" style="2" customWidth="1"/>
    <col min="14" max="16384" width="8.88671875" style="2"/>
  </cols>
  <sheetData>
    <row r="1" spans="2:13" ht="21" x14ac:dyDescent="0.4">
      <c r="B1" s="1" t="s">
        <v>18</v>
      </c>
      <c r="K1" s="3" t="s">
        <v>29</v>
      </c>
      <c r="L1" s="3"/>
    </row>
    <row r="2" spans="2:13" ht="22.8" x14ac:dyDescent="0.25">
      <c r="B2" s="4" t="s">
        <v>28</v>
      </c>
      <c r="C2" s="4"/>
      <c r="D2" s="4"/>
      <c r="E2" s="4"/>
      <c r="F2" s="4"/>
      <c r="G2" s="4"/>
      <c r="H2" s="4"/>
      <c r="I2" s="4"/>
      <c r="K2" s="5" t="s">
        <v>0</v>
      </c>
      <c r="L2" s="6">
        <v>93.49</v>
      </c>
    </row>
    <row r="3" spans="2:13" x14ac:dyDescent="0.25">
      <c r="K3" s="5" t="s">
        <v>1</v>
      </c>
      <c r="L3" s="7">
        <v>31.83135</v>
      </c>
      <c r="M3" s="2" t="s">
        <v>24</v>
      </c>
    </row>
    <row r="4" spans="2:13" x14ac:dyDescent="0.25">
      <c r="B4" s="2" t="s">
        <v>40</v>
      </c>
      <c r="K4" s="5" t="s">
        <v>2</v>
      </c>
      <c r="L4" s="7">
        <f>L3*L2</f>
        <v>2975.9129115000001</v>
      </c>
    </row>
    <row r="5" spans="2:13" x14ac:dyDescent="0.25">
      <c r="K5" s="5" t="s">
        <v>3</v>
      </c>
      <c r="L5" s="7">
        <v>479</v>
      </c>
      <c r="M5" s="2" t="s">
        <v>24</v>
      </c>
    </row>
    <row r="6" spans="2:13" x14ac:dyDescent="0.25">
      <c r="K6" s="5" t="s">
        <v>4</v>
      </c>
      <c r="L6" s="7">
        <f>647+23.3</f>
        <v>670.3</v>
      </c>
      <c r="M6" s="2" t="s">
        <v>24</v>
      </c>
    </row>
    <row r="7" spans="2:13" x14ac:dyDescent="0.25">
      <c r="B7" s="2" t="s">
        <v>30</v>
      </c>
      <c r="K7" s="5" t="s">
        <v>5</v>
      </c>
      <c r="L7" s="7">
        <f>L4-L5+L6</f>
        <v>3167.2129114999998</v>
      </c>
    </row>
    <row r="8" spans="2:13" x14ac:dyDescent="0.25">
      <c r="B8" s="2" t="s">
        <v>31</v>
      </c>
      <c r="K8" s="5" t="s">
        <v>6</v>
      </c>
      <c r="L8" s="7">
        <f>L5-L6</f>
        <v>-191.29999999999995</v>
      </c>
    </row>
    <row r="9" spans="2:13" x14ac:dyDescent="0.25">
      <c r="B9" s="2" t="s">
        <v>32</v>
      </c>
      <c r="K9" s="5"/>
      <c r="L9" s="5"/>
    </row>
    <row r="10" spans="2:13" x14ac:dyDescent="0.25">
      <c r="B10" s="2" t="s">
        <v>33</v>
      </c>
      <c r="K10" s="5" t="s">
        <v>7</v>
      </c>
      <c r="L10" s="5" t="s">
        <v>41</v>
      </c>
    </row>
    <row r="11" spans="2:13" x14ac:dyDescent="0.25">
      <c r="B11" s="2" t="s">
        <v>34</v>
      </c>
    </row>
    <row r="12" spans="2:13" x14ac:dyDescent="0.25">
      <c r="B12" s="2" t="s">
        <v>35</v>
      </c>
    </row>
    <row r="13" spans="2:13" x14ac:dyDescent="0.25">
      <c r="B13" s="2" t="s">
        <v>36</v>
      </c>
    </row>
    <row r="15" spans="2:13" x14ac:dyDescent="0.25">
      <c r="B15" s="2" t="s">
        <v>37</v>
      </c>
    </row>
    <row r="16" spans="2:13" x14ac:dyDescent="0.25">
      <c r="B16" s="2" t="s">
        <v>38</v>
      </c>
      <c r="F16" s="8" t="s">
        <v>17</v>
      </c>
    </row>
    <row r="17" spans="2:2" x14ac:dyDescent="0.25">
      <c r="B17" s="2" t="s">
        <v>39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AS32"/>
  <sheetViews>
    <sheetView tabSelected="1" zoomScale="145" zoomScaleNormal="14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3.8" x14ac:dyDescent="0.25"/>
  <cols>
    <col min="1" max="1" width="34.5546875" style="10" customWidth="1"/>
    <col min="2" max="7" width="8.88671875" style="2"/>
    <col min="8" max="15" width="9" style="2" bestFit="1" customWidth="1"/>
    <col min="16" max="16" width="10.109375" style="2" bestFit="1" customWidth="1"/>
    <col min="17" max="20" width="8.88671875" style="2"/>
    <col min="21" max="26" width="9.21875" style="2" bestFit="1" customWidth="1"/>
    <col min="27" max="28" width="11.21875" style="2" bestFit="1" customWidth="1"/>
    <col min="29" max="45" width="9" style="2" bestFit="1" customWidth="1"/>
    <col min="46" max="16384" width="8.88671875" style="2"/>
  </cols>
  <sheetData>
    <row r="1" spans="1:45" s="10" customFormat="1" ht="17.399999999999999" customHeight="1" x14ac:dyDescent="0.4">
      <c r="A1" s="9" t="s">
        <v>16</v>
      </c>
    </row>
    <row r="2" spans="1:45" s="11" customFormat="1" x14ac:dyDescent="0.25">
      <c r="C2" s="11" t="s">
        <v>23</v>
      </c>
      <c r="D2" s="11" t="s">
        <v>19</v>
      </c>
      <c r="E2" s="11" t="s">
        <v>20</v>
      </c>
      <c r="F2" s="11" t="s">
        <v>21</v>
      </c>
      <c r="G2" s="11" t="s">
        <v>22</v>
      </c>
      <c r="H2" s="11" t="s">
        <v>14</v>
      </c>
      <c r="I2" s="11" t="s">
        <v>15</v>
      </c>
      <c r="J2" s="11" t="s">
        <v>10</v>
      </c>
      <c r="K2" s="11" t="s">
        <v>11</v>
      </c>
      <c r="L2" s="11" t="s">
        <v>12</v>
      </c>
      <c r="M2" s="11" t="s">
        <v>13</v>
      </c>
      <c r="N2" s="11" t="s">
        <v>8</v>
      </c>
      <c r="O2" s="11" t="s">
        <v>9</v>
      </c>
      <c r="P2" s="11" t="s">
        <v>24</v>
      </c>
      <c r="Q2" s="11" t="s">
        <v>25</v>
      </c>
      <c r="R2" s="11" t="s">
        <v>26</v>
      </c>
      <c r="S2" s="11" t="s">
        <v>27</v>
      </c>
      <c r="U2" s="11">
        <v>2019</v>
      </c>
      <c r="V2" s="11">
        <v>2019</v>
      </c>
      <c r="W2" s="11">
        <v>2020</v>
      </c>
      <c r="X2" s="11">
        <v>2021</v>
      </c>
      <c r="Y2" s="11">
        <v>2022</v>
      </c>
      <c r="Z2" s="11">
        <v>2023</v>
      </c>
      <c r="AA2" s="11">
        <v>2024</v>
      </c>
      <c r="AB2" s="11">
        <v>2025</v>
      </c>
      <c r="AC2" s="11">
        <v>2026</v>
      </c>
      <c r="AD2" s="11">
        <v>2027</v>
      </c>
      <c r="AE2" s="11">
        <v>2028</v>
      </c>
      <c r="AF2" s="11">
        <v>2029</v>
      </c>
      <c r="AG2" s="11">
        <v>2030</v>
      </c>
      <c r="AH2" s="11">
        <v>2031</v>
      </c>
      <c r="AI2" s="11">
        <v>2032</v>
      </c>
      <c r="AJ2" s="11">
        <v>2033</v>
      </c>
      <c r="AK2" s="11">
        <v>2034</v>
      </c>
      <c r="AL2" s="11">
        <v>2035</v>
      </c>
      <c r="AM2" s="11">
        <v>2036</v>
      </c>
      <c r="AN2" s="11">
        <v>2037</v>
      </c>
      <c r="AO2" s="11">
        <v>2038</v>
      </c>
      <c r="AP2" s="11">
        <v>2039</v>
      </c>
      <c r="AQ2" s="11">
        <v>2040</v>
      </c>
      <c r="AR2" s="11">
        <v>2041</v>
      </c>
      <c r="AS2" s="11">
        <v>2042</v>
      </c>
    </row>
    <row r="3" spans="1:45" s="13" customFormat="1" x14ac:dyDescent="0.25">
      <c r="A3" s="12" t="s">
        <v>42</v>
      </c>
      <c r="H3" s="14">
        <v>400.9</v>
      </c>
      <c r="I3" s="14">
        <v>355.4</v>
      </c>
      <c r="J3" s="14">
        <v>365.2</v>
      </c>
      <c r="K3" s="14">
        <f>K5*0.9</f>
        <v>397.08</v>
      </c>
      <c r="L3" s="14">
        <v>346.5</v>
      </c>
      <c r="M3" s="14">
        <v>387.3</v>
      </c>
      <c r="N3" s="14">
        <v>362.1</v>
      </c>
      <c r="O3" s="14">
        <f>O5*0.9</f>
        <v>400.14000000000004</v>
      </c>
      <c r="P3" s="14">
        <v>355.4</v>
      </c>
      <c r="Q3" s="15"/>
      <c r="R3" s="15"/>
      <c r="S3" s="15"/>
      <c r="T3" s="15"/>
      <c r="U3" s="16">
        <v>1659.7</v>
      </c>
      <c r="V3" s="16">
        <v>1684.1</v>
      </c>
      <c r="W3" s="16">
        <v>1498.3</v>
      </c>
      <c r="X3" s="16">
        <v>1268</v>
      </c>
      <c r="Y3" s="16">
        <v>1443.1</v>
      </c>
      <c r="Z3" s="16">
        <v>1498</v>
      </c>
    </row>
    <row r="4" spans="1:45" s="13" customFormat="1" x14ac:dyDescent="0.25">
      <c r="A4" s="12" t="s">
        <v>43</v>
      </c>
      <c r="H4" s="14">
        <v>68.3</v>
      </c>
      <c r="I4" s="14">
        <v>38.6</v>
      </c>
      <c r="J4" s="14">
        <v>33.6</v>
      </c>
      <c r="K4" s="14">
        <f>K5*0.1</f>
        <v>44.120000000000005</v>
      </c>
      <c r="L4" s="14">
        <v>42</v>
      </c>
      <c r="M4" s="14">
        <v>40.4</v>
      </c>
      <c r="N4" s="14">
        <v>41.5</v>
      </c>
      <c r="O4" s="14">
        <f>O5*0.1</f>
        <v>44.460000000000008</v>
      </c>
      <c r="P4" s="14">
        <v>36.9</v>
      </c>
      <c r="Q4" s="15"/>
      <c r="R4" s="15"/>
      <c r="S4" s="15"/>
      <c r="T4" s="15"/>
      <c r="U4" s="16">
        <v>260</v>
      </c>
      <c r="V4" s="16">
        <v>261.60000000000002</v>
      </c>
      <c r="W4" s="16">
        <v>229.5</v>
      </c>
      <c r="X4" s="16">
        <v>132.80000000000001</v>
      </c>
      <c r="Y4" s="16">
        <v>147.19999999999999</v>
      </c>
      <c r="Z4" s="16">
        <v>166.4</v>
      </c>
    </row>
    <row r="5" spans="1:45" s="31" customFormat="1" x14ac:dyDescent="0.25">
      <c r="A5" s="30" t="s">
        <v>44</v>
      </c>
      <c r="H5" s="32">
        <f>SUM(H3:H4)</f>
        <v>469.2</v>
      </c>
      <c r="I5" s="32">
        <f>SUM(I3:I4)</f>
        <v>394</v>
      </c>
      <c r="J5" s="32">
        <f>SUM(J3:J4)</f>
        <v>398.8</v>
      </c>
      <c r="K5" s="32">
        <v>441.2</v>
      </c>
      <c r="L5" s="32">
        <f>SUM(L3:L4)</f>
        <v>388.5</v>
      </c>
      <c r="M5" s="32">
        <f>SUM(M3:M4)</f>
        <v>427.7</v>
      </c>
      <c r="N5" s="32">
        <f>SUM(N3:N4)</f>
        <v>403.6</v>
      </c>
      <c r="O5" s="32">
        <v>444.6</v>
      </c>
      <c r="P5" s="32">
        <f>SUM(P3:P4)</f>
        <v>392.29999999999995</v>
      </c>
      <c r="U5" s="33">
        <f t="shared" ref="U5:Y5" si="0">SUM(U3:U4)</f>
        <v>1919.7</v>
      </c>
      <c r="V5" s="33">
        <f t="shared" si="0"/>
        <v>1945.6999999999998</v>
      </c>
      <c r="W5" s="33">
        <f t="shared" si="0"/>
        <v>1727.8</v>
      </c>
      <c r="X5" s="33">
        <f t="shared" si="0"/>
        <v>1400.8</v>
      </c>
      <c r="Y5" s="33">
        <f t="shared" si="0"/>
        <v>1590.3</v>
      </c>
      <c r="Z5" s="33">
        <f>SUM(L5:O5)</f>
        <v>1664.4</v>
      </c>
      <c r="AA5" s="31">
        <v>1740</v>
      </c>
      <c r="AB5" s="31">
        <f>AA5*1.052</f>
        <v>1830.48</v>
      </c>
    </row>
    <row r="6" spans="1:45" s="13" customFormat="1" x14ac:dyDescent="0.25">
      <c r="A6" s="12" t="s">
        <v>45</v>
      </c>
      <c r="H6" s="14">
        <v>281.8</v>
      </c>
      <c r="I6" s="14">
        <v>242.4</v>
      </c>
      <c r="J6" s="14">
        <v>242.4</v>
      </c>
      <c r="K6" s="14">
        <f>K5*0.59</f>
        <v>260.30799999999999</v>
      </c>
      <c r="L6" s="14">
        <v>230.9</v>
      </c>
      <c r="M6" s="14">
        <v>257</v>
      </c>
      <c r="N6" s="14">
        <v>237.9</v>
      </c>
      <c r="O6" s="14">
        <f>O5*0.59</f>
        <v>262.31400000000002</v>
      </c>
      <c r="P6" s="14">
        <v>230.5</v>
      </c>
      <c r="R6" s="17"/>
      <c r="S6" s="17"/>
      <c r="U6" s="16">
        <v>1182.3</v>
      </c>
      <c r="V6" s="16">
        <v>1154.4000000000001</v>
      </c>
      <c r="W6" s="16">
        <v>1029</v>
      </c>
      <c r="X6" s="16">
        <v>839.6</v>
      </c>
      <c r="Y6" s="16">
        <v>973.9</v>
      </c>
      <c r="Z6" s="16">
        <v>984.7</v>
      </c>
    </row>
    <row r="7" spans="1:45" s="13" customFormat="1" x14ac:dyDescent="0.25">
      <c r="A7" s="12" t="s">
        <v>46</v>
      </c>
      <c r="H7" s="14">
        <v>47.9</v>
      </c>
      <c r="I7" s="14">
        <v>22.9</v>
      </c>
      <c r="J7" s="14">
        <v>20.9</v>
      </c>
      <c r="K7" s="14">
        <v>37.200000000000003</v>
      </c>
      <c r="L7" s="14">
        <v>24.7</v>
      </c>
      <c r="M7" s="14">
        <v>24.4</v>
      </c>
      <c r="N7" s="14">
        <v>21.8</v>
      </c>
      <c r="O7" s="14">
        <v>21.5</v>
      </c>
      <c r="P7" s="14">
        <v>21.5</v>
      </c>
      <c r="R7" s="18"/>
      <c r="U7" s="16">
        <v>199.8</v>
      </c>
      <c r="V7" s="16">
        <v>193.2</v>
      </c>
      <c r="W7" s="16">
        <v>165.1</v>
      </c>
      <c r="X7" s="16">
        <v>79.099999999999994</v>
      </c>
      <c r="Y7" s="16">
        <v>87</v>
      </c>
      <c r="Z7" s="16">
        <v>94</v>
      </c>
    </row>
    <row r="8" spans="1:45" s="13" customFormat="1" x14ac:dyDescent="0.25">
      <c r="A8" s="12" t="s">
        <v>62</v>
      </c>
      <c r="H8" s="14">
        <f t="shared" ref="H8:I8" si="1">SUM(H6:H7)</f>
        <v>329.7</v>
      </c>
      <c r="I8" s="14">
        <f t="shared" si="1"/>
        <v>265.3</v>
      </c>
      <c r="J8" s="14">
        <f t="shared" ref="J8" si="2">SUM(J6:J7)</f>
        <v>263.3</v>
      </c>
      <c r="K8" s="14">
        <f>SUM(K6:K7)</f>
        <v>297.50799999999998</v>
      </c>
      <c r="L8" s="14">
        <f>SUM(L6:L7)</f>
        <v>255.6</v>
      </c>
      <c r="M8" s="14">
        <f t="shared" ref="M8" si="3">SUM(M6:M7)</f>
        <v>281.39999999999998</v>
      </c>
      <c r="N8" s="14">
        <f t="shared" ref="N8:P8" si="4">SUM(N6:N7)</f>
        <v>259.7</v>
      </c>
      <c r="O8" s="14">
        <f t="shared" si="4"/>
        <v>283.81400000000002</v>
      </c>
      <c r="P8" s="14">
        <f t="shared" si="4"/>
        <v>252</v>
      </c>
      <c r="U8" s="16">
        <f t="shared" ref="U8:V8" si="5">SUM(U6:U7)</f>
        <v>1382.1</v>
      </c>
      <c r="V8" s="16">
        <f t="shared" si="5"/>
        <v>1347.6000000000001</v>
      </c>
      <c r="W8" s="16">
        <f t="shared" ref="W8" si="6">SUM(W6:W7)</f>
        <v>1194.0999999999999</v>
      </c>
      <c r="X8" s="16">
        <f t="shared" ref="X8" si="7">SUM(X6:X7)</f>
        <v>918.7</v>
      </c>
      <c r="Y8" s="16">
        <f t="shared" ref="Y8" si="8">SUM(Y6:Y7)</f>
        <v>1060.9000000000001</v>
      </c>
      <c r="Z8" s="16">
        <f t="shared" ref="Z8" si="9">SUM(Z6:Z7)</f>
        <v>1078.7</v>
      </c>
    </row>
    <row r="9" spans="1:45" s="13" customFormat="1" x14ac:dyDescent="0.25">
      <c r="A9" s="12" t="s">
        <v>47</v>
      </c>
      <c r="H9" s="14">
        <v>108.4</v>
      </c>
      <c r="I9" s="14">
        <v>95.9</v>
      </c>
      <c r="J9" s="14">
        <v>99.2</v>
      </c>
      <c r="K9" s="14">
        <v>98.4</v>
      </c>
      <c r="L9" s="14">
        <v>103.7</v>
      </c>
      <c r="M9" s="14">
        <v>100.4</v>
      </c>
      <c r="N9" s="14">
        <v>101.5</v>
      </c>
      <c r="O9" s="14">
        <v>104</v>
      </c>
      <c r="P9" s="14">
        <v>110.1</v>
      </c>
      <c r="U9" s="16">
        <v>346.8</v>
      </c>
      <c r="V9" s="16">
        <v>396.4</v>
      </c>
      <c r="W9" s="16">
        <v>358.5</v>
      </c>
      <c r="X9" s="16">
        <v>351.4</v>
      </c>
      <c r="Y9" s="16">
        <v>389.7</v>
      </c>
      <c r="Z9" s="16">
        <f>SUM(L9:O9)</f>
        <v>409.6</v>
      </c>
    </row>
    <row r="10" spans="1:45" s="13" customFormat="1" x14ac:dyDescent="0.25">
      <c r="A10" s="12" t="s">
        <v>48</v>
      </c>
      <c r="H10" s="14">
        <v>0.5</v>
      </c>
      <c r="I10" s="14">
        <v>0.8</v>
      </c>
      <c r="J10" s="14">
        <v>1.5</v>
      </c>
      <c r="K10" s="14">
        <v>4.2</v>
      </c>
      <c r="L10" s="14">
        <v>0.8</v>
      </c>
      <c r="M10" s="14">
        <v>2.5</v>
      </c>
      <c r="N10" s="14">
        <v>6.4</v>
      </c>
      <c r="O10" s="14">
        <v>1.7</v>
      </c>
      <c r="P10" s="14">
        <v>1.1000000000000001</v>
      </c>
      <c r="U10" s="16">
        <v>47</v>
      </c>
      <c r="V10" s="16">
        <v>13.5</v>
      </c>
      <c r="W10" s="16">
        <v>12.1</v>
      </c>
      <c r="X10" s="16">
        <v>5.0999999999999996</v>
      </c>
      <c r="Y10" s="16">
        <v>7.1</v>
      </c>
      <c r="Z10" s="16">
        <f>SUM(L10:O10)</f>
        <v>11.399999999999999</v>
      </c>
    </row>
    <row r="11" spans="1:45" s="31" customFormat="1" x14ac:dyDescent="0.25">
      <c r="A11" s="30" t="s">
        <v>49</v>
      </c>
      <c r="H11" s="32">
        <f t="shared" ref="H11:O11" si="10">SUM(H8:H10)</f>
        <v>438.6</v>
      </c>
      <c r="I11" s="32">
        <f t="shared" si="10"/>
        <v>362.00000000000006</v>
      </c>
      <c r="J11" s="32">
        <f t="shared" si="10"/>
        <v>364</v>
      </c>
      <c r="K11" s="32">
        <f t="shared" si="10"/>
        <v>400.108</v>
      </c>
      <c r="L11" s="32">
        <f t="shared" si="10"/>
        <v>360.1</v>
      </c>
      <c r="M11" s="32">
        <f t="shared" si="10"/>
        <v>384.29999999999995</v>
      </c>
      <c r="N11" s="32">
        <f t="shared" si="10"/>
        <v>367.59999999999997</v>
      </c>
      <c r="O11" s="32">
        <f t="shared" si="10"/>
        <v>389.51400000000001</v>
      </c>
      <c r="P11" s="32">
        <f>SUM(P8:P10)</f>
        <v>363.20000000000005</v>
      </c>
      <c r="U11" s="33">
        <f t="shared" ref="U11:X11" si="11">SUM(U8:U10)</f>
        <v>1775.8999999999999</v>
      </c>
      <c r="V11" s="33">
        <f t="shared" si="11"/>
        <v>1757.5</v>
      </c>
      <c r="W11" s="33">
        <f t="shared" si="11"/>
        <v>1564.6999999999998</v>
      </c>
      <c r="X11" s="33">
        <f t="shared" si="11"/>
        <v>1275.1999999999998</v>
      </c>
      <c r="Y11" s="33">
        <f t="shared" ref="Y11" si="12">SUM(Y8:Y10)</f>
        <v>1457.7</v>
      </c>
      <c r="Z11" s="33">
        <f t="shared" ref="Z11" si="13">SUM(Z8:Z10)</f>
        <v>1499.7000000000003</v>
      </c>
    </row>
    <row r="12" spans="1:45" s="31" customFormat="1" x14ac:dyDescent="0.25">
      <c r="A12" s="30" t="s">
        <v>50</v>
      </c>
      <c r="H12" s="32">
        <f t="shared" ref="H12:P12" si="14">H5-H11</f>
        <v>30.599999999999966</v>
      </c>
      <c r="I12" s="32">
        <f t="shared" si="14"/>
        <v>31.999999999999943</v>
      </c>
      <c r="J12" s="32">
        <f t="shared" si="14"/>
        <v>34.800000000000011</v>
      </c>
      <c r="K12" s="32">
        <f t="shared" si="14"/>
        <v>41.091999999999985</v>
      </c>
      <c r="L12" s="32">
        <f t="shared" si="14"/>
        <v>28.399999999999977</v>
      </c>
      <c r="M12" s="32">
        <f t="shared" si="14"/>
        <v>43.400000000000034</v>
      </c>
      <c r="N12" s="32">
        <f t="shared" si="14"/>
        <v>36.000000000000057</v>
      </c>
      <c r="O12" s="32">
        <f t="shared" si="14"/>
        <v>55.086000000000013</v>
      </c>
      <c r="P12" s="32">
        <f t="shared" si="14"/>
        <v>29.099999999999909</v>
      </c>
      <c r="U12" s="33">
        <f t="shared" ref="U12:X12" si="15">U5-U11</f>
        <v>143.80000000000018</v>
      </c>
      <c r="V12" s="33">
        <f t="shared" si="15"/>
        <v>188.19999999999982</v>
      </c>
      <c r="W12" s="33">
        <f t="shared" si="15"/>
        <v>163.10000000000014</v>
      </c>
      <c r="X12" s="33">
        <f t="shared" si="15"/>
        <v>125.60000000000014</v>
      </c>
      <c r="Y12" s="33">
        <f t="shared" ref="Y12" si="16">Y5-Y11</f>
        <v>132.59999999999991</v>
      </c>
      <c r="Z12" s="33">
        <f t="shared" ref="Z12" si="17">Z5-Z11</f>
        <v>164.69999999999982</v>
      </c>
    </row>
    <row r="13" spans="1:45" s="13" customFormat="1" x14ac:dyDescent="0.25">
      <c r="A13" s="12" t="s">
        <v>52</v>
      </c>
      <c r="H13" s="14">
        <v>0</v>
      </c>
      <c r="I13" s="14">
        <v>0</v>
      </c>
      <c r="J13" s="14">
        <v>0.1</v>
      </c>
      <c r="K13" s="14">
        <v>-0.1</v>
      </c>
      <c r="L13" s="14">
        <v>0.2</v>
      </c>
      <c r="M13" s="14">
        <v>0.2</v>
      </c>
      <c r="N13" s="14">
        <v>0.2</v>
      </c>
      <c r="O13" s="14">
        <v>0.1</v>
      </c>
      <c r="P13" s="14">
        <v>1</v>
      </c>
      <c r="U13" s="16">
        <v>0.9</v>
      </c>
      <c r="V13" s="16">
        <v>2.5</v>
      </c>
      <c r="W13" s="16">
        <v>3.7</v>
      </c>
      <c r="X13" s="16">
        <v>-1.3</v>
      </c>
      <c r="Y13" s="16">
        <v>0</v>
      </c>
      <c r="Z13" s="16">
        <f t="shared" ref="Z13:Z15" si="18">SUM(L13:O13)</f>
        <v>0.70000000000000007</v>
      </c>
    </row>
    <row r="14" spans="1:45" s="13" customFormat="1" x14ac:dyDescent="0.25">
      <c r="A14" s="12" t="s">
        <v>51</v>
      </c>
      <c r="H14" s="14">
        <v>0</v>
      </c>
      <c r="I14" s="14">
        <v>0</v>
      </c>
      <c r="J14" s="14">
        <v>0</v>
      </c>
      <c r="K14" s="14">
        <v>0</v>
      </c>
      <c r="L14" s="14">
        <v>1</v>
      </c>
      <c r="M14" s="14">
        <v>0</v>
      </c>
      <c r="N14" s="14">
        <v>0</v>
      </c>
      <c r="O14" s="14"/>
      <c r="P14" s="14">
        <v>5.7</v>
      </c>
      <c r="U14" s="16">
        <v>0</v>
      </c>
      <c r="V14" s="16">
        <v>0</v>
      </c>
      <c r="W14" s="16">
        <v>0</v>
      </c>
      <c r="X14" s="16">
        <v>3.8</v>
      </c>
      <c r="Y14" s="16">
        <v>3.7</v>
      </c>
      <c r="Z14" s="16">
        <f t="shared" si="18"/>
        <v>1</v>
      </c>
    </row>
    <row r="15" spans="1:45" s="13" customFormat="1" x14ac:dyDescent="0.25">
      <c r="A15" s="12" t="s">
        <v>53</v>
      </c>
      <c r="H15" s="14">
        <v>2.1</v>
      </c>
      <c r="I15" s="14">
        <v>2.1</v>
      </c>
      <c r="J15" s="14">
        <v>3.2</v>
      </c>
      <c r="K15" s="14">
        <v>5.5</v>
      </c>
      <c r="L15" s="14">
        <v>7.5</v>
      </c>
      <c r="M15" s="14">
        <v>7.1</v>
      </c>
      <c r="N15" s="14">
        <v>0.9</v>
      </c>
      <c r="O15" s="14">
        <v>-3.6</v>
      </c>
      <c r="P15" s="14">
        <v>2.9</v>
      </c>
      <c r="U15" s="16">
        <v>13.9</v>
      </c>
      <c r="V15" s="16">
        <v>18.8</v>
      </c>
      <c r="W15" s="16">
        <v>13.9</v>
      </c>
      <c r="X15" s="16">
        <v>11.2</v>
      </c>
      <c r="Y15" s="16">
        <v>16.3</v>
      </c>
      <c r="Z15" s="16">
        <f t="shared" si="18"/>
        <v>11.9</v>
      </c>
    </row>
    <row r="16" spans="1:45" s="31" customFormat="1" x14ac:dyDescent="0.25">
      <c r="A16" s="30" t="s">
        <v>54</v>
      </c>
      <c r="H16" s="32">
        <f t="shared" ref="H16:P16" si="19">H12-H13+H14-H15</f>
        <v>28.499999999999964</v>
      </c>
      <c r="I16" s="32">
        <f t="shared" si="19"/>
        <v>29.899999999999942</v>
      </c>
      <c r="J16" s="32">
        <f t="shared" si="19"/>
        <v>31.500000000000011</v>
      </c>
      <c r="K16" s="32">
        <f t="shared" si="19"/>
        <v>35.691999999999986</v>
      </c>
      <c r="L16" s="32">
        <f t="shared" si="19"/>
        <v>21.699999999999978</v>
      </c>
      <c r="M16" s="32">
        <f t="shared" si="19"/>
        <v>36.10000000000003</v>
      </c>
      <c r="N16" s="32">
        <f t="shared" si="19"/>
        <v>34.900000000000055</v>
      </c>
      <c r="O16" s="32">
        <f t="shared" si="19"/>
        <v>58.586000000000013</v>
      </c>
      <c r="P16" s="32">
        <f t="shared" si="19"/>
        <v>30.899999999999913</v>
      </c>
      <c r="U16" s="33">
        <f t="shared" ref="U16:X16" si="20">U12-U13+U14-U15</f>
        <v>129.00000000000017</v>
      </c>
      <c r="V16" s="33">
        <f t="shared" si="20"/>
        <v>166.89999999999981</v>
      </c>
      <c r="W16" s="33">
        <f t="shared" si="20"/>
        <v>145.50000000000014</v>
      </c>
      <c r="X16" s="33">
        <f t="shared" si="20"/>
        <v>119.50000000000013</v>
      </c>
      <c r="Y16" s="33">
        <f t="shared" ref="Y16" si="21">Y12-Y13+Y14-Y15</f>
        <v>119.9999999999999</v>
      </c>
      <c r="Z16" s="33">
        <f t="shared" ref="Z16" si="22">Z12-Z13+Z14-Z15</f>
        <v>153.09999999999982</v>
      </c>
    </row>
    <row r="17" spans="1:28" s="13" customFormat="1" x14ac:dyDescent="0.25">
      <c r="A17" s="12" t="s">
        <v>55</v>
      </c>
      <c r="H17" s="14">
        <v>2.9</v>
      </c>
      <c r="I17" s="14">
        <v>4.2</v>
      </c>
      <c r="J17" s="14">
        <v>5.8</v>
      </c>
      <c r="K17" s="14">
        <v>4.5</v>
      </c>
      <c r="L17" s="14">
        <v>4.5999999999999996</v>
      </c>
      <c r="M17" s="14">
        <v>8.4</v>
      </c>
      <c r="N17" s="14">
        <v>4.3</v>
      </c>
      <c r="O17" s="14">
        <v>5.7</v>
      </c>
      <c r="P17" s="14">
        <v>8.1</v>
      </c>
      <c r="U17" s="16">
        <v>24.6</v>
      </c>
      <c r="V17" s="16">
        <v>37.6</v>
      </c>
      <c r="W17" s="16">
        <v>36.700000000000003</v>
      </c>
      <c r="X17" s="16">
        <v>27</v>
      </c>
      <c r="Y17" s="16">
        <v>16.2</v>
      </c>
      <c r="Z17" s="16">
        <v>23.5</v>
      </c>
    </row>
    <row r="18" spans="1:28" s="13" customFormat="1" x14ac:dyDescent="0.25">
      <c r="A18" s="12" t="s">
        <v>60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-0.1</v>
      </c>
      <c r="O18" s="14">
        <v>-0.2</v>
      </c>
      <c r="P18" s="14">
        <v>-0.1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-0.3</v>
      </c>
    </row>
    <row r="19" spans="1:28" s="13" customFormat="1" x14ac:dyDescent="0.25">
      <c r="A19" s="12" t="s">
        <v>61</v>
      </c>
      <c r="H19" s="14">
        <f t="shared" ref="H19:P19" si="23">H16-H17+H18</f>
        <v>25.599999999999966</v>
      </c>
      <c r="I19" s="14">
        <f t="shared" si="23"/>
        <v>25.699999999999942</v>
      </c>
      <c r="J19" s="14">
        <f t="shared" si="23"/>
        <v>25.70000000000001</v>
      </c>
      <c r="K19" s="14">
        <f t="shared" si="23"/>
        <v>31.191999999999986</v>
      </c>
      <c r="L19" s="14">
        <f t="shared" si="23"/>
        <v>17.09999999999998</v>
      </c>
      <c r="M19" s="14">
        <f t="shared" si="23"/>
        <v>27.700000000000031</v>
      </c>
      <c r="N19" s="14">
        <f t="shared" si="23"/>
        <v>30.500000000000053</v>
      </c>
      <c r="O19" s="14">
        <f t="shared" si="23"/>
        <v>52.686000000000007</v>
      </c>
      <c r="P19" s="14">
        <f t="shared" si="23"/>
        <v>22.69999999999991</v>
      </c>
      <c r="U19" s="16">
        <f t="shared" ref="U19:Z19" si="24">U16-U17+U18</f>
        <v>104.40000000000018</v>
      </c>
      <c r="V19" s="16">
        <f t="shared" si="24"/>
        <v>129.29999999999981</v>
      </c>
      <c r="W19" s="16">
        <f t="shared" si="24"/>
        <v>108.80000000000014</v>
      </c>
      <c r="X19" s="16">
        <f t="shared" si="24"/>
        <v>92.500000000000128</v>
      </c>
      <c r="Y19" s="16">
        <f t="shared" si="24"/>
        <v>103.7999999999999</v>
      </c>
      <c r="Z19" s="16">
        <f t="shared" si="24"/>
        <v>129.29999999999981</v>
      </c>
    </row>
    <row r="20" spans="1:28" s="13" customFormat="1" x14ac:dyDescent="0.25">
      <c r="A20" s="12" t="s">
        <v>56</v>
      </c>
      <c r="H20" s="14">
        <v>0</v>
      </c>
      <c r="I20" s="14">
        <v>7.7</v>
      </c>
      <c r="J20" s="14">
        <v>8.5</v>
      </c>
      <c r="K20" s="14">
        <v>9.8000000000000007</v>
      </c>
      <c r="L20" s="14">
        <v>10.1</v>
      </c>
      <c r="M20" s="14">
        <v>3.3</v>
      </c>
      <c r="N20" s="14">
        <v>437.1</v>
      </c>
      <c r="O20" s="14">
        <v>28.4</v>
      </c>
      <c r="P20" s="14">
        <v>0.1</v>
      </c>
      <c r="U20" s="16">
        <v>-0.3</v>
      </c>
      <c r="V20" s="16">
        <v>-0.3</v>
      </c>
      <c r="W20" s="16">
        <v>0</v>
      </c>
      <c r="X20" s="16">
        <v>26.6</v>
      </c>
      <c r="Y20" s="16">
        <v>33.6</v>
      </c>
      <c r="Z20" s="16">
        <v>453.3</v>
      </c>
    </row>
    <row r="21" spans="1:28" s="35" customFormat="1" x14ac:dyDescent="0.25">
      <c r="A21" s="34" t="s">
        <v>57</v>
      </c>
      <c r="H21" s="32">
        <f t="shared" ref="H21:P21" si="25">H19+H20</f>
        <v>25.599999999999966</v>
      </c>
      <c r="I21" s="32">
        <f t="shared" si="25"/>
        <v>33.399999999999942</v>
      </c>
      <c r="J21" s="32">
        <f t="shared" si="25"/>
        <v>34.20000000000001</v>
      </c>
      <c r="K21" s="32">
        <f t="shared" si="25"/>
        <v>40.99199999999999</v>
      </c>
      <c r="L21" s="32">
        <f t="shared" si="25"/>
        <v>27.199999999999982</v>
      </c>
      <c r="M21" s="32">
        <f t="shared" si="25"/>
        <v>31.000000000000032</v>
      </c>
      <c r="N21" s="32">
        <f t="shared" si="25"/>
        <v>467.60000000000008</v>
      </c>
      <c r="O21" s="32">
        <f t="shared" si="25"/>
        <v>81.086000000000013</v>
      </c>
      <c r="P21" s="32">
        <f t="shared" si="25"/>
        <v>22.799999999999912</v>
      </c>
      <c r="U21" s="33">
        <f t="shared" ref="U21:X21" si="26">U19+U20</f>
        <v>104.10000000000018</v>
      </c>
      <c r="V21" s="33">
        <f t="shared" si="26"/>
        <v>128.9999999999998</v>
      </c>
      <c r="W21" s="33">
        <f t="shared" si="26"/>
        <v>108.80000000000014</v>
      </c>
      <c r="X21" s="33">
        <f t="shared" si="26"/>
        <v>119.10000000000014</v>
      </c>
      <c r="Y21" s="33">
        <f t="shared" ref="Y21" si="27">Y19+Y20</f>
        <v>137.39999999999989</v>
      </c>
      <c r="Z21" s="33">
        <f t="shared" ref="Z21" si="28">Z19+Z20</f>
        <v>582.5999999999998</v>
      </c>
      <c r="AA21" s="36">
        <f>Y21*1.05</f>
        <v>144.2699999999999</v>
      </c>
      <c r="AB21" s="36">
        <f>AA21*1.052</f>
        <v>151.77203999999989</v>
      </c>
    </row>
    <row r="22" spans="1:28" x14ac:dyDescent="0.25">
      <c r="A22" s="10" t="s">
        <v>58</v>
      </c>
      <c r="H22" s="19">
        <f t="shared" ref="H22:P22" si="29">H19/H24</f>
        <v>0.79750778816199264</v>
      </c>
      <c r="I22" s="19">
        <f t="shared" si="29"/>
        <v>0.80062305295949976</v>
      </c>
      <c r="J22" s="19">
        <f t="shared" si="29"/>
        <v>0.80062305295950187</v>
      </c>
      <c r="K22" s="19">
        <f t="shared" si="29"/>
        <v>0.9717133956386288</v>
      </c>
      <c r="L22" s="19">
        <f t="shared" si="29"/>
        <v>0.53271028037383117</v>
      </c>
      <c r="M22" s="19">
        <f t="shared" si="29"/>
        <v>0.8629283489096583</v>
      </c>
      <c r="N22" s="19">
        <f t="shared" si="29"/>
        <v>0.947204968944101</v>
      </c>
      <c r="O22" s="19">
        <f t="shared" si="29"/>
        <v>1.6413084112149534</v>
      </c>
      <c r="P22" s="19">
        <f t="shared" si="29"/>
        <v>0.70496894409937605</v>
      </c>
      <c r="U22" s="16">
        <f>U19/U24</f>
        <v>3.2422360248447255</v>
      </c>
      <c r="V22" s="16">
        <f>V19/V24</f>
        <v>4.0406249999999941</v>
      </c>
      <c r="W22" s="16">
        <f>W19/W24</f>
        <v>3.3894080996884779</v>
      </c>
      <c r="X22" s="16">
        <f>X19/X24</f>
        <v>2.8816199376947078</v>
      </c>
      <c r="Y22" s="16">
        <f t="shared" ref="Y22:Z22" si="30">Y19/Y24</f>
        <v>3.2336448598130807</v>
      </c>
      <c r="Z22" s="16">
        <f t="shared" si="30"/>
        <v>4.0249027237354031</v>
      </c>
    </row>
    <row r="23" spans="1:28" x14ac:dyDescent="0.25">
      <c r="A23" s="10" t="s">
        <v>59</v>
      </c>
      <c r="H23" s="19">
        <f t="shared" ref="H23:P23" si="31">H20/H24</f>
        <v>0</v>
      </c>
      <c r="I23" s="19">
        <f t="shared" si="31"/>
        <v>0.23987538940809969</v>
      </c>
      <c r="J23" s="19">
        <f t="shared" si="31"/>
        <v>0.26479750778816197</v>
      </c>
      <c r="K23" s="19">
        <f t="shared" si="31"/>
        <v>0.30529595015576327</v>
      </c>
      <c r="L23" s="19">
        <f t="shared" si="31"/>
        <v>0.31464174454828658</v>
      </c>
      <c r="M23" s="19">
        <f t="shared" si="31"/>
        <v>0.10280373831775699</v>
      </c>
      <c r="N23" s="19">
        <f t="shared" si="31"/>
        <v>13.574534161490682</v>
      </c>
      <c r="O23" s="19">
        <f t="shared" si="31"/>
        <v>0.88473520249221171</v>
      </c>
      <c r="P23" s="19">
        <f t="shared" si="31"/>
        <v>3.105590062111801E-3</v>
      </c>
      <c r="U23" s="19">
        <f>U20/U24</f>
        <v>-9.3167701863354022E-3</v>
      </c>
      <c r="V23" s="19">
        <f>V20/V24</f>
        <v>-9.3749999999999997E-3</v>
      </c>
      <c r="W23" s="19">
        <f>W20/W24</f>
        <v>0</v>
      </c>
      <c r="X23" s="19">
        <f>X20/X24</f>
        <v>0.82866043613707163</v>
      </c>
      <c r="Y23" s="19">
        <f t="shared" ref="Y23:Z23" si="32">Y20/Y24</f>
        <v>1.0467289719626167</v>
      </c>
      <c r="Z23" s="19">
        <f t="shared" si="32"/>
        <v>14.110505836575875</v>
      </c>
    </row>
    <row r="24" spans="1:28" x14ac:dyDescent="0.25">
      <c r="A24" s="10" t="s">
        <v>1</v>
      </c>
      <c r="H24" s="2">
        <v>32.1</v>
      </c>
      <c r="I24" s="2">
        <v>32.1</v>
      </c>
      <c r="J24" s="2">
        <v>32.1</v>
      </c>
      <c r="K24" s="2">
        <v>32.1</v>
      </c>
      <c r="L24" s="2">
        <v>32.1</v>
      </c>
      <c r="M24" s="2">
        <v>32.1</v>
      </c>
      <c r="N24" s="2">
        <v>32.200000000000003</v>
      </c>
      <c r="O24" s="2">
        <v>32.1</v>
      </c>
      <c r="P24" s="2">
        <v>32.200000000000003</v>
      </c>
      <c r="U24" s="20">
        <v>32.200000000000003</v>
      </c>
      <c r="V24" s="20">
        <v>32</v>
      </c>
      <c r="W24" s="20">
        <v>32.1</v>
      </c>
      <c r="X24" s="20">
        <v>32.1</v>
      </c>
      <c r="Y24" s="20">
        <f>AVERAGE(H24:K24)</f>
        <v>32.1</v>
      </c>
      <c r="Z24" s="20">
        <f>AVERAGE(L24:O24)</f>
        <v>32.125</v>
      </c>
    </row>
    <row r="26" spans="1:28" s="22" customFormat="1" ht="14.4" x14ac:dyDescent="0.3">
      <c r="A26" s="21" t="s">
        <v>63</v>
      </c>
      <c r="H26" s="23"/>
      <c r="I26" s="23"/>
      <c r="J26" s="23"/>
      <c r="K26" s="23"/>
      <c r="L26" s="23">
        <f t="shared" ref="L26:O26" si="33">L5/H5-1</f>
        <v>-0.17199488491048587</v>
      </c>
      <c r="M26" s="23">
        <f t="shared" si="33"/>
        <v>8.5532994923857908E-2</v>
      </c>
      <c r="N26" s="23">
        <f t="shared" si="33"/>
        <v>1.2036108324974926E-2</v>
      </c>
      <c r="O26" s="23">
        <f t="shared" si="33"/>
        <v>7.7062556663645143E-3</v>
      </c>
      <c r="P26" s="23">
        <f>P5/L5-1</f>
        <v>9.7812097812095544E-3</v>
      </c>
      <c r="V26" s="23">
        <f t="shared" ref="V26:Y26" si="34">V5/U5-1</f>
        <v>1.354378288274205E-2</v>
      </c>
      <c r="W26" s="23">
        <f t="shared" si="34"/>
        <v>-0.1119905432492162</v>
      </c>
      <c r="X26" s="23">
        <f t="shared" si="34"/>
        <v>-0.1892580159740711</v>
      </c>
      <c r="Y26" s="23">
        <f t="shared" si="34"/>
        <v>0.13527984009137639</v>
      </c>
      <c r="Z26" s="23">
        <f>Z5/Y5-1</f>
        <v>4.6594982078853153E-2</v>
      </c>
      <c r="AA26" s="23">
        <f>AA5/Z5-1</f>
        <v>4.5421773612112526E-2</v>
      </c>
    </row>
    <row r="27" spans="1:28" s="25" customFormat="1" ht="14.4" x14ac:dyDescent="0.3">
      <c r="A27" s="24" t="s">
        <v>64</v>
      </c>
      <c r="H27" s="26"/>
      <c r="I27" s="26">
        <f t="shared" ref="I27:O27" si="35">I5/H5-1</f>
        <v>-0.16027280477408357</v>
      </c>
      <c r="J27" s="26">
        <f t="shared" si="35"/>
        <v>1.2182741116751217E-2</v>
      </c>
      <c r="K27" s="26">
        <f t="shared" si="35"/>
        <v>0.10631895687061177</v>
      </c>
      <c r="L27" s="26">
        <f t="shared" si="35"/>
        <v>-0.11944696282864908</v>
      </c>
      <c r="M27" s="26">
        <f t="shared" si="35"/>
        <v>0.10090090090090098</v>
      </c>
      <c r="N27" s="26">
        <f t="shared" si="35"/>
        <v>-5.6347907411737119E-2</v>
      </c>
      <c r="O27" s="26">
        <f t="shared" si="35"/>
        <v>0.10158572844400404</v>
      </c>
      <c r="P27" s="26">
        <f>P5/O5-1</f>
        <v>-0.11763382816014412</v>
      </c>
    </row>
    <row r="29" spans="1:28" s="22" customFormat="1" ht="14.4" x14ac:dyDescent="0.3">
      <c r="A29" s="21" t="s">
        <v>65</v>
      </c>
      <c r="H29" s="23">
        <f t="shared" ref="H29:O29" si="36">(H5-H8)/H5</f>
        <v>0.29731457800511507</v>
      </c>
      <c r="I29" s="23">
        <f t="shared" si="36"/>
        <v>0.32664974619289339</v>
      </c>
      <c r="J29" s="23">
        <f t="shared" si="36"/>
        <v>0.3397693079237713</v>
      </c>
      <c r="K29" s="23">
        <f t="shared" si="36"/>
        <v>0.32568449682683592</v>
      </c>
      <c r="L29" s="23">
        <f t="shared" si="36"/>
        <v>0.34208494208494211</v>
      </c>
      <c r="M29" s="23">
        <f t="shared" si="36"/>
        <v>0.34206219312602293</v>
      </c>
      <c r="N29" s="23">
        <f t="shared" si="36"/>
        <v>0.35654112983151642</v>
      </c>
      <c r="O29" s="23">
        <f t="shared" si="36"/>
        <v>0.36164192532613582</v>
      </c>
      <c r="P29" s="23">
        <f>(P5-P8)/P5</f>
        <v>0.35763446342085131</v>
      </c>
      <c r="U29" s="23">
        <f t="shared" ref="U29:Z29" si="37">(U5-U8)/U5</f>
        <v>0.28004375683700583</v>
      </c>
      <c r="V29" s="23">
        <f t="shared" si="37"/>
        <v>0.30739579585753185</v>
      </c>
      <c r="W29" s="23">
        <f t="shared" si="37"/>
        <v>0.30888991781456193</v>
      </c>
      <c r="X29" s="23">
        <f t="shared" si="37"/>
        <v>0.34416047972587088</v>
      </c>
      <c r="Y29" s="23">
        <f t="shared" si="37"/>
        <v>0.33289316481167069</v>
      </c>
      <c r="Z29" s="23">
        <f t="shared" si="37"/>
        <v>0.35189858207161739</v>
      </c>
    </row>
    <row r="30" spans="1:28" s="28" customFormat="1" ht="14.4" x14ac:dyDescent="0.3">
      <c r="A30" s="27" t="s">
        <v>66</v>
      </c>
      <c r="H30" s="29">
        <f t="shared" ref="H30:O30" si="38">H12/H5</f>
        <v>6.5217391304347755E-2</v>
      </c>
      <c r="I30" s="29">
        <f t="shared" si="38"/>
        <v>8.1218274111674982E-2</v>
      </c>
      <c r="J30" s="29">
        <f t="shared" si="38"/>
        <v>8.7261785356068225E-2</v>
      </c>
      <c r="K30" s="29">
        <f t="shared" si="38"/>
        <v>9.3136899365367148E-2</v>
      </c>
      <c r="L30" s="29">
        <f t="shared" si="38"/>
        <v>7.3101673101673037E-2</v>
      </c>
      <c r="M30" s="29">
        <f t="shared" si="38"/>
        <v>0.10147299509001645</v>
      </c>
      <c r="N30" s="29">
        <f t="shared" si="38"/>
        <v>8.919722497522313E-2</v>
      </c>
      <c r="O30" s="29">
        <f t="shared" si="38"/>
        <v>0.12390013495276656</v>
      </c>
      <c r="P30" s="29">
        <f>P12/P5</f>
        <v>7.4177925057353836E-2</v>
      </c>
      <c r="U30" s="29">
        <f t="shared" ref="U30:Z30" si="39">U12/U5</f>
        <v>7.4907537636089067E-2</v>
      </c>
      <c r="V30" s="29">
        <f t="shared" si="39"/>
        <v>9.672611399496317E-2</v>
      </c>
      <c r="W30" s="29">
        <f t="shared" si="39"/>
        <v>9.439749971061473E-2</v>
      </c>
      <c r="X30" s="29">
        <f t="shared" si="39"/>
        <v>8.9663049685893878E-2</v>
      </c>
      <c r="Y30" s="29">
        <f t="shared" si="39"/>
        <v>8.338049424636855E-2</v>
      </c>
      <c r="Z30" s="29">
        <f t="shared" si="39"/>
        <v>9.8954578226387771E-2</v>
      </c>
    </row>
    <row r="31" spans="1:28" s="28" customFormat="1" ht="14.4" x14ac:dyDescent="0.3">
      <c r="A31" s="27" t="s">
        <v>67</v>
      </c>
      <c r="H31" s="29">
        <f t="shared" ref="H31:O31" si="40">H21/H5</f>
        <v>5.4560954816709223E-2</v>
      </c>
      <c r="I31" s="29">
        <f t="shared" si="40"/>
        <v>8.4771573604060763E-2</v>
      </c>
      <c r="J31" s="29">
        <f t="shared" si="40"/>
        <v>8.5757271815446359E-2</v>
      </c>
      <c r="K31" s="29">
        <f t="shared" si="40"/>
        <v>9.2910244786944679E-2</v>
      </c>
      <c r="L31" s="29">
        <f t="shared" si="40"/>
        <v>7.001287001286996E-2</v>
      </c>
      <c r="M31" s="29">
        <f t="shared" si="40"/>
        <v>7.2480710778583202E-2</v>
      </c>
      <c r="N31" s="29">
        <f t="shared" si="40"/>
        <v>1.1585728444003967</v>
      </c>
      <c r="O31" s="29">
        <f t="shared" si="40"/>
        <v>0.18237966711650924</v>
      </c>
      <c r="P31" s="29">
        <f>P21/P5</f>
        <v>5.8118786642875134E-2</v>
      </c>
      <c r="U31" s="29">
        <f t="shared" ref="U31:Z31" si="41">U21/U5</f>
        <v>5.4227223003594401E-2</v>
      </c>
      <c r="V31" s="29">
        <f t="shared" si="41"/>
        <v>6.6300046255846123E-2</v>
      </c>
      <c r="W31" s="29">
        <f t="shared" si="41"/>
        <v>6.2970251186480003E-2</v>
      </c>
      <c r="X31" s="29">
        <f t="shared" si="41"/>
        <v>8.5022844089092053E-2</v>
      </c>
      <c r="Y31" s="29">
        <f t="shared" si="41"/>
        <v>8.6398792680626238E-2</v>
      </c>
      <c r="Z31" s="29">
        <f t="shared" si="41"/>
        <v>0.35003604902667612</v>
      </c>
    </row>
    <row r="32" spans="1:28" s="25" customFormat="1" ht="14.4" x14ac:dyDescent="0.3">
      <c r="A32" s="24" t="s">
        <v>68</v>
      </c>
      <c r="H32" s="26">
        <f t="shared" ref="H32:O32" si="42">H17/H16</f>
        <v>0.1017543859649124</v>
      </c>
      <c r="I32" s="26">
        <f t="shared" si="42"/>
        <v>0.14046822742474943</v>
      </c>
      <c r="J32" s="26">
        <f t="shared" si="42"/>
        <v>0.18412698412698406</v>
      </c>
      <c r="K32" s="26">
        <f t="shared" si="42"/>
        <v>0.12607867309200946</v>
      </c>
      <c r="L32" s="26">
        <f t="shared" si="42"/>
        <v>0.21198156682027669</v>
      </c>
      <c r="M32" s="26">
        <f t="shared" si="42"/>
        <v>0.23268698060941809</v>
      </c>
      <c r="N32" s="26">
        <f t="shared" si="42"/>
        <v>0.12320916905444106</v>
      </c>
      <c r="O32" s="26">
        <f t="shared" si="42"/>
        <v>9.7292868603420596E-2</v>
      </c>
      <c r="P32" s="26">
        <f>P17/P16</f>
        <v>0.2621359223300978</v>
      </c>
      <c r="U32" s="26">
        <f t="shared" ref="U32:Z32" si="43">U17/U16</f>
        <v>0.19069767441860441</v>
      </c>
      <c r="V32" s="26">
        <f t="shared" si="43"/>
        <v>0.22528460155781932</v>
      </c>
      <c r="W32" s="26">
        <f t="shared" si="43"/>
        <v>0.25223367697594479</v>
      </c>
      <c r="X32" s="26">
        <f t="shared" si="43"/>
        <v>0.22594142259414202</v>
      </c>
      <c r="Y32" s="26">
        <f t="shared" si="43"/>
        <v>0.13500000000000009</v>
      </c>
      <c r="Z32" s="26">
        <f t="shared" si="43"/>
        <v>0.15349444807315499</v>
      </c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Kaupandi ehf</cp:lastModifiedBy>
  <dcterms:created xsi:type="dcterms:W3CDTF">2024-04-17T23:07:06Z</dcterms:created>
  <dcterms:modified xsi:type="dcterms:W3CDTF">2024-06-05T01:21:15Z</dcterms:modified>
</cp:coreProperties>
</file>