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57fd7477d87051/Desktop/Kaupandi ehf/Greiningar/US/"/>
    </mc:Choice>
  </mc:AlternateContent>
  <xr:revisionPtr revIDLastSave="803" documentId="8_{63B71D6D-14B7-42CA-A762-0372B3772D02}" xr6:coauthVersionLast="47" xr6:coauthVersionMax="47" xr10:uidLastSave="{16871865-ECC7-412D-9B4E-D1450A9DB9E0}"/>
  <bookViews>
    <workbookView xWindow="-108" yWindow="-108" windowWidth="30936" windowHeight="17496" activeTab="1" xr2:uid="{8AE3CAB9-1DDD-4C7A-BCF0-E281925CF4F9}"/>
  </bookViews>
  <sheets>
    <sheet name="Main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27" i="1" l="1"/>
  <c r="AL26" i="1"/>
  <c r="AL25" i="1"/>
  <c r="AL23" i="1"/>
  <c r="AK20" i="1"/>
  <c r="AL20" i="1" s="1"/>
  <c r="AM20" i="1" s="1"/>
  <c r="AN20" i="1" s="1"/>
  <c r="AO20" i="1" s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A20" i="1" s="1"/>
  <c r="BB20" i="1" s="1"/>
  <c r="BC20" i="1" s="1"/>
  <c r="BD20" i="1" s="1"/>
  <c r="BE20" i="1" s="1"/>
  <c r="BF20" i="1" s="1"/>
  <c r="BG20" i="1" s="1"/>
  <c r="BH20" i="1" s="1"/>
  <c r="BI20" i="1" s="1"/>
  <c r="BJ20" i="1" s="1"/>
  <c r="BK20" i="1" s="1"/>
  <c r="BL20" i="1" s="1"/>
  <c r="BM20" i="1" s="1"/>
  <c r="BN20" i="1" s="1"/>
  <c r="BO20" i="1" s="1"/>
  <c r="BP20" i="1" s="1"/>
  <c r="BQ20" i="1" s="1"/>
  <c r="BR20" i="1" s="1"/>
  <c r="BS20" i="1" s="1"/>
  <c r="BT20" i="1" s="1"/>
  <c r="BU20" i="1" s="1"/>
  <c r="BV20" i="1" s="1"/>
  <c r="BW20" i="1" s="1"/>
  <c r="BX20" i="1" s="1"/>
  <c r="BY20" i="1" s="1"/>
  <c r="BZ20" i="1" s="1"/>
  <c r="CA20" i="1" s="1"/>
  <c r="CB20" i="1" s="1"/>
  <c r="CC20" i="1" s="1"/>
  <c r="CD20" i="1" s="1"/>
  <c r="CE20" i="1" s="1"/>
  <c r="CF20" i="1" s="1"/>
  <c r="CG20" i="1" s="1"/>
  <c r="CH20" i="1" s="1"/>
  <c r="CI20" i="1" s="1"/>
  <c r="CJ20" i="1" s="1"/>
  <c r="CK20" i="1" s="1"/>
  <c r="CL20" i="1" s="1"/>
  <c r="CM20" i="1" s="1"/>
  <c r="CN20" i="1" s="1"/>
  <c r="CO20" i="1" s="1"/>
  <c r="CP20" i="1" s="1"/>
  <c r="CQ20" i="1" s="1"/>
  <c r="CR20" i="1" s="1"/>
  <c r="CS20" i="1" s="1"/>
  <c r="CT20" i="1" s="1"/>
  <c r="CU20" i="1" s="1"/>
  <c r="CV20" i="1" s="1"/>
  <c r="CW20" i="1" s="1"/>
  <c r="CX20" i="1" s="1"/>
  <c r="CY20" i="1" s="1"/>
  <c r="CZ20" i="1" s="1"/>
  <c r="DA20" i="1" s="1"/>
  <c r="DB20" i="1" s="1"/>
  <c r="DC20" i="1" s="1"/>
  <c r="DD20" i="1" s="1"/>
  <c r="DE20" i="1" s="1"/>
  <c r="DF20" i="1" s="1"/>
  <c r="DG20" i="1" s="1"/>
  <c r="DH20" i="1" s="1"/>
  <c r="DI20" i="1" s="1"/>
  <c r="DJ20" i="1" s="1"/>
  <c r="DK20" i="1" s="1"/>
  <c r="DL20" i="1" s="1"/>
  <c r="DM20" i="1" s="1"/>
  <c r="DN20" i="1" s="1"/>
  <c r="DO20" i="1" s="1"/>
  <c r="DP20" i="1" s="1"/>
  <c r="DQ20" i="1" s="1"/>
  <c r="DR20" i="1" s="1"/>
  <c r="DS20" i="1" s="1"/>
  <c r="DT20" i="1" s="1"/>
  <c r="DU20" i="1" s="1"/>
  <c r="DV20" i="1" s="1"/>
  <c r="DW20" i="1" s="1"/>
  <c r="DX20" i="1" s="1"/>
  <c r="DY20" i="1" s="1"/>
  <c r="DZ20" i="1" s="1"/>
  <c r="EA20" i="1" s="1"/>
  <c r="EB20" i="1" s="1"/>
  <c r="EC20" i="1" s="1"/>
  <c r="ED20" i="1" s="1"/>
  <c r="EE20" i="1" s="1"/>
  <c r="EF20" i="1" s="1"/>
  <c r="EG20" i="1" s="1"/>
  <c r="EH20" i="1" s="1"/>
  <c r="EI20" i="1" s="1"/>
  <c r="EJ20" i="1" s="1"/>
  <c r="EK20" i="1" s="1"/>
  <c r="EL20" i="1" s="1"/>
  <c r="EM20" i="1" s="1"/>
  <c r="EN20" i="1" s="1"/>
  <c r="EO20" i="1" s="1"/>
  <c r="EP20" i="1" s="1"/>
  <c r="EQ20" i="1" s="1"/>
  <c r="ER20" i="1" s="1"/>
  <c r="ES20" i="1" s="1"/>
  <c r="ET20" i="1" s="1"/>
  <c r="EU20" i="1" s="1"/>
  <c r="EV20" i="1" s="1"/>
  <c r="EW20" i="1" s="1"/>
  <c r="EX20" i="1" s="1"/>
  <c r="EY20" i="1" s="1"/>
  <c r="EZ20" i="1" s="1"/>
  <c r="FA20" i="1" s="1"/>
  <c r="FB20" i="1" s="1"/>
  <c r="FC20" i="1" s="1"/>
  <c r="FD20" i="1" s="1"/>
  <c r="FE20" i="1" s="1"/>
  <c r="FF20" i="1" s="1"/>
  <c r="FG20" i="1" s="1"/>
  <c r="FH20" i="1" s="1"/>
  <c r="FI20" i="1" s="1"/>
  <c r="FJ20" i="1" s="1"/>
  <c r="FK20" i="1" s="1"/>
  <c r="FL20" i="1" s="1"/>
  <c r="FM20" i="1" s="1"/>
  <c r="FN20" i="1" s="1"/>
  <c r="FO20" i="1" s="1"/>
  <c r="FP20" i="1" s="1"/>
  <c r="FQ20" i="1" s="1"/>
  <c r="FR20" i="1" s="1"/>
  <c r="FS20" i="1" s="1"/>
  <c r="FT20" i="1" s="1"/>
  <c r="FU20" i="1" s="1"/>
  <c r="FV20" i="1" s="1"/>
  <c r="FW20" i="1" s="1"/>
  <c r="AJ20" i="1"/>
  <c r="AI3" i="1"/>
  <c r="AA3" i="1"/>
  <c r="AA29" i="1" s="1"/>
  <c r="Z3" i="1"/>
  <c r="Z30" i="1" s="1"/>
  <c r="AI31" i="1"/>
  <c r="AH31" i="1"/>
  <c r="AG31" i="1"/>
  <c r="AF31" i="1"/>
  <c r="AE31" i="1"/>
  <c r="AD31" i="1"/>
  <c r="AC31" i="1"/>
  <c r="AB31" i="1"/>
  <c r="AA31" i="1"/>
  <c r="Z31" i="1"/>
  <c r="AI30" i="1"/>
  <c r="AI29" i="1"/>
  <c r="AI28" i="1"/>
  <c r="AH28" i="1"/>
  <c r="AG28" i="1"/>
  <c r="AF28" i="1"/>
  <c r="AE28" i="1"/>
  <c r="AD28" i="1"/>
  <c r="AC28" i="1"/>
  <c r="AB28" i="1"/>
  <c r="AA28" i="1"/>
  <c r="Z28" i="1"/>
  <c r="AI25" i="1"/>
  <c r="AH25" i="1"/>
  <c r="AG25" i="1"/>
  <c r="AF25" i="1"/>
  <c r="AE25" i="1"/>
  <c r="AD25" i="1"/>
  <c r="AC25" i="1"/>
  <c r="AB25" i="1"/>
  <c r="AA25" i="1"/>
  <c r="Z25" i="1"/>
  <c r="Q3" i="1"/>
  <c r="Q4" i="1" s="1"/>
  <c r="Q14" i="1" s="1"/>
  <c r="P3" i="1"/>
  <c r="P25" i="1" s="1"/>
  <c r="O3" i="1"/>
  <c r="O26" i="1" s="1"/>
  <c r="O4" i="1"/>
  <c r="O15" i="1" s="1"/>
  <c r="M26" i="1"/>
  <c r="L26" i="1"/>
  <c r="K26" i="1"/>
  <c r="J26" i="1"/>
  <c r="I26" i="1"/>
  <c r="H26" i="1"/>
  <c r="G26" i="1"/>
  <c r="F26" i="1"/>
  <c r="E26" i="1"/>
  <c r="D26" i="1"/>
  <c r="C26" i="1"/>
  <c r="M25" i="1"/>
  <c r="L25" i="1"/>
  <c r="K25" i="1"/>
  <c r="J25" i="1"/>
  <c r="I25" i="1"/>
  <c r="H25" i="1"/>
  <c r="G25" i="1"/>
  <c r="F25" i="1"/>
  <c r="N26" i="1"/>
  <c r="N25" i="1"/>
  <c r="M6" i="1"/>
  <c r="M28" i="1" s="1"/>
  <c r="L6" i="1"/>
  <c r="L28" i="1" s="1"/>
  <c r="K6" i="1"/>
  <c r="K28" i="1" s="1"/>
  <c r="J6" i="1"/>
  <c r="J28" i="1" s="1"/>
  <c r="I6" i="1"/>
  <c r="I28" i="1" s="1"/>
  <c r="H6" i="1"/>
  <c r="H28" i="1" s="1"/>
  <c r="G6" i="1"/>
  <c r="G28" i="1" s="1"/>
  <c r="F6" i="1"/>
  <c r="F28" i="1" s="1"/>
  <c r="E6" i="1"/>
  <c r="E28" i="1" s="1"/>
  <c r="D6" i="1"/>
  <c r="D28" i="1" s="1"/>
  <c r="C6" i="1"/>
  <c r="C28" i="1" s="1"/>
  <c r="B6" i="1"/>
  <c r="B28" i="1" s="1"/>
  <c r="N6" i="1"/>
  <c r="N28" i="1" s="1"/>
  <c r="V19" i="1"/>
  <c r="V16" i="1"/>
  <c r="V15" i="1"/>
  <c r="V14" i="1"/>
  <c r="V11" i="1"/>
  <c r="V10" i="1"/>
  <c r="V9" i="1"/>
  <c r="V7" i="1"/>
  <c r="V22" i="1"/>
  <c r="V5" i="1"/>
  <c r="V4" i="1"/>
  <c r="V6" i="1" s="1"/>
  <c r="V3" i="1"/>
  <c r="W22" i="1"/>
  <c r="W19" i="1"/>
  <c r="W16" i="1"/>
  <c r="W15" i="1"/>
  <c r="W14" i="1"/>
  <c r="W11" i="1"/>
  <c r="W10" i="1"/>
  <c r="W9" i="1"/>
  <c r="W7" i="1"/>
  <c r="W5" i="1"/>
  <c r="W4" i="1"/>
  <c r="W3" i="1"/>
  <c r="X22" i="1"/>
  <c r="X19" i="1"/>
  <c r="X16" i="1"/>
  <c r="X15" i="1"/>
  <c r="X14" i="1"/>
  <c r="X11" i="1"/>
  <c r="X10" i="1"/>
  <c r="X9" i="1"/>
  <c r="X7" i="1"/>
  <c r="X5" i="1"/>
  <c r="X4" i="1"/>
  <c r="X6" i="1" s="1"/>
  <c r="X3" i="1"/>
  <c r="B17" i="1"/>
  <c r="B8" i="1"/>
  <c r="B12" i="1" s="1"/>
  <c r="C17" i="1"/>
  <c r="C8" i="1"/>
  <c r="C12" i="1" s="1"/>
  <c r="D17" i="1"/>
  <c r="D8" i="1"/>
  <c r="D12" i="1" s="1"/>
  <c r="E17" i="1"/>
  <c r="E8" i="1"/>
  <c r="E12" i="1" s="1"/>
  <c r="F17" i="1"/>
  <c r="F8" i="1"/>
  <c r="F12" i="1" s="1"/>
  <c r="H17" i="1"/>
  <c r="H8" i="1"/>
  <c r="H12" i="1" s="1"/>
  <c r="G17" i="1"/>
  <c r="G8" i="1"/>
  <c r="G12" i="1" s="1"/>
  <c r="K17" i="1"/>
  <c r="K8" i="1"/>
  <c r="K12" i="1" s="1"/>
  <c r="J17" i="1"/>
  <c r="J8" i="1"/>
  <c r="J12" i="1" s="1"/>
  <c r="N17" i="1"/>
  <c r="N8" i="1"/>
  <c r="N12" i="1" s="1"/>
  <c r="L17" i="1"/>
  <c r="L8" i="1"/>
  <c r="L12" i="1" s="1"/>
  <c r="I17" i="1"/>
  <c r="I8" i="1"/>
  <c r="I12" i="1" s="1"/>
  <c r="M17" i="1"/>
  <c r="M8" i="1"/>
  <c r="M12" i="1" s="1"/>
  <c r="Z29" i="1" l="1"/>
  <c r="AB3" i="1"/>
  <c r="AA30" i="1"/>
  <c r="Q15" i="1"/>
  <c r="W17" i="1"/>
  <c r="Q16" i="1"/>
  <c r="O16" i="1"/>
  <c r="O7" i="1"/>
  <c r="O5" i="1"/>
  <c r="O6" i="1" s="1"/>
  <c r="O28" i="1" s="1"/>
  <c r="Q7" i="1"/>
  <c r="O14" i="1"/>
  <c r="O17" i="1" s="1"/>
  <c r="Q5" i="1"/>
  <c r="X8" i="1"/>
  <c r="X12" i="1" s="1"/>
  <c r="V8" i="1"/>
  <c r="V12" i="1" s="1"/>
  <c r="W8" i="1"/>
  <c r="W12" i="1" s="1"/>
  <c r="X17" i="1"/>
  <c r="V17" i="1"/>
  <c r="W6" i="1"/>
  <c r="W28" i="1" s="1"/>
  <c r="Y3" i="1"/>
  <c r="Q25" i="1"/>
  <c r="L29" i="1"/>
  <c r="X28" i="1"/>
  <c r="X29" i="1"/>
  <c r="C29" i="1"/>
  <c r="D29" i="1"/>
  <c r="P4" i="1"/>
  <c r="K29" i="1"/>
  <c r="E29" i="1"/>
  <c r="M29" i="1"/>
  <c r="V29" i="1"/>
  <c r="F29" i="1"/>
  <c r="N29" i="1"/>
  <c r="G29" i="1"/>
  <c r="V28" i="1"/>
  <c r="H29" i="1"/>
  <c r="X25" i="1"/>
  <c r="I29" i="1"/>
  <c r="W25" i="1"/>
  <c r="B29" i="1"/>
  <c r="J29" i="1"/>
  <c r="Q26" i="1"/>
  <c r="P26" i="1"/>
  <c r="O25" i="1"/>
  <c r="B18" i="1"/>
  <c r="B31" i="1" s="1"/>
  <c r="C18" i="1"/>
  <c r="D18" i="1"/>
  <c r="E18" i="1"/>
  <c r="F18" i="1"/>
  <c r="F31" i="1" s="1"/>
  <c r="H18" i="1"/>
  <c r="G18" i="1"/>
  <c r="K18" i="1"/>
  <c r="J18" i="1"/>
  <c r="J31" i="1" s="1"/>
  <c r="N18" i="1"/>
  <c r="L18" i="1"/>
  <c r="I18" i="1"/>
  <c r="M18" i="1"/>
  <c r="AB30" i="1" l="1"/>
  <c r="AB29" i="1"/>
  <c r="AC3" i="1"/>
  <c r="O8" i="1"/>
  <c r="W29" i="1"/>
  <c r="Q8" i="1"/>
  <c r="Y4" i="1"/>
  <c r="Y25" i="1" s="1"/>
  <c r="P15" i="1"/>
  <c r="Y15" i="1" s="1"/>
  <c r="P14" i="1"/>
  <c r="P7" i="1"/>
  <c r="Y7" i="1" s="1"/>
  <c r="P5" i="1"/>
  <c r="Y5" i="1" s="1"/>
  <c r="Y6" i="1" s="1"/>
  <c r="Y28" i="1" s="1"/>
  <c r="P16" i="1"/>
  <c r="Y16" i="1" s="1"/>
  <c r="Q9" i="1"/>
  <c r="Q11" i="1"/>
  <c r="Y11" i="1" s="1"/>
  <c r="Q10" i="1"/>
  <c r="O9" i="1"/>
  <c r="O10" i="1"/>
  <c r="O29" i="1"/>
  <c r="Q17" i="1"/>
  <c r="Q29" i="1"/>
  <c r="Q6" i="1"/>
  <c r="Q28" i="1" s="1"/>
  <c r="C20" i="1"/>
  <c r="C31" i="1"/>
  <c r="K20" i="1"/>
  <c r="K31" i="1"/>
  <c r="H20" i="1"/>
  <c r="H31" i="1"/>
  <c r="N20" i="1"/>
  <c r="N31" i="1"/>
  <c r="G20" i="1"/>
  <c r="G31" i="1"/>
  <c r="I20" i="1"/>
  <c r="I31" i="1"/>
  <c r="E20" i="1"/>
  <c r="E31" i="1"/>
  <c r="M20" i="1"/>
  <c r="M31" i="1"/>
  <c r="L20" i="1"/>
  <c r="L31" i="1"/>
  <c r="D20" i="1"/>
  <c r="D31" i="1"/>
  <c r="J20" i="1"/>
  <c r="J30" i="1" s="1"/>
  <c r="X18" i="1"/>
  <c r="B20" i="1"/>
  <c r="B30" i="1" s="1"/>
  <c r="V18" i="1"/>
  <c r="F20" i="1"/>
  <c r="F30" i="1" s="1"/>
  <c r="W18" i="1"/>
  <c r="AC30" i="1" l="1"/>
  <c r="AC29" i="1"/>
  <c r="AD3" i="1"/>
  <c r="P17" i="1"/>
  <c r="Q12" i="1"/>
  <c r="Q18" i="1" s="1"/>
  <c r="Q19" i="1" s="1"/>
  <c r="Q31" i="1" s="1"/>
  <c r="Z4" i="1"/>
  <c r="Y14" i="1"/>
  <c r="Y17" i="1" s="1"/>
  <c r="O12" i="1"/>
  <c r="O18" i="1" s="1"/>
  <c r="O19" i="1" s="1"/>
  <c r="O31" i="1" s="1"/>
  <c r="P8" i="1"/>
  <c r="P6" i="1"/>
  <c r="P28" i="1" s="1"/>
  <c r="Y8" i="1"/>
  <c r="N21" i="1"/>
  <c r="N30" i="1"/>
  <c r="E21" i="1"/>
  <c r="E30" i="1"/>
  <c r="H21" i="1"/>
  <c r="H30" i="1"/>
  <c r="D21" i="1"/>
  <c r="D30" i="1"/>
  <c r="I21" i="1"/>
  <c r="I30" i="1"/>
  <c r="K21" i="1"/>
  <c r="K30" i="1"/>
  <c r="M21" i="1"/>
  <c r="M30" i="1"/>
  <c r="L21" i="1"/>
  <c r="L30" i="1"/>
  <c r="G21" i="1"/>
  <c r="G30" i="1"/>
  <c r="C21" i="1"/>
  <c r="C30" i="1"/>
  <c r="F21" i="1"/>
  <c r="W20" i="1"/>
  <c r="B21" i="1"/>
  <c r="V20" i="1"/>
  <c r="V30" i="1" s="1"/>
  <c r="J21" i="1"/>
  <c r="X20" i="1"/>
  <c r="AD30" i="1" l="1"/>
  <c r="AD29" i="1"/>
  <c r="AE3" i="1"/>
  <c r="Z5" i="1"/>
  <c r="Z6" i="1" s="1"/>
  <c r="Z16" i="1"/>
  <c r="Z7" i="1"/>
  <c r="Z8" i="1" s="1"/>
  <c r="Z15" i="1"/>
  <c r="Z14" i="1"/>
  <c r="AA4" i="1"/>
  <c r="W21" i="1"/>
  <c r="P9" i="1"/>
  <c r="Y9" i="1" s="1"/>
  <c r="P10" i="1"/>
  <c r="Y10" i="1" s="1"/>
  <c r="O20" i="1"/>
  <c r="Q20" i="1"/>
  <c r="Q21" i="1" s="1"/>
  <c r="Y29" i="1"/>
  <c r="W30" i="1"/>
  <c r="X30" i="1"/>
  <c r="O21" i="1"/>
  <c r="O30" i="1"/>
  <c r="P29" i="1"/>
  <c r="V21" i="1"/>
  <c r="X21" i="1"/>
  <c r="L4" i="2"/>
  <c r="L7" i="2" s="1"/>
  <c r="L8" i="2"/>
  <c r="AE30" i="1" l="1"/>
  <c r="AE29" i="1"/>
  <c r="AF3" i="1"/>
  <c r="Z17" i="1"/>
  <c r="Y12" i="1"/>
  <c r="Y18" i="1" s="1"/>
  <c r="Y19" i="1" s="1"/>
  <c r="Y31" i="1" s="1"/>
  <c r="Z11" i="1"/>
  <c r="Z10" i="1"/>
  <c r="Z9" i="1"/>
  <c r="Z12" i="1"/>
  <c r="Z18" i="1" s="1"/>
  <c r="Z19" i="1" s="1"/>
  <c r="Z20" i="1" s="1"/>
  <c r="Z21" i="1" s="1"/>
  <c r="P12" i="1"/>
  <c r="P18" i="1" s="1"/>
  <c r="P19" i="1" s="1"/>
  <c r="AA16" i="1"/>
  <c r="AA7" i="1"/>
  <c r="AA14" i="1"/>
  <c r="AA17" i="1" s="1"/>
  <c r="AB4" i="1"/>
  <c r="AA5" i="1"/>
  <c r="AA15" i="1"/>
  <c r="AA6" i="1"/>
  <c r="Q30" i="1"/>
  <c r="P31" i="1"/>
  <c r="AF29" i="1" l="1"/>
  <c r="AG3" i="1"/>
  <c r="AF30" i="1"/>
  <c r="Y20" i="1"/>
  <c r="AA8" i="1"/>
  <c r="AB7" i="1"/>
  <c r="AB14" i="1"/>
  <c r="AB5" i="1"/>
  <c r="AB8" i="1" s="1"/>
  <c r="AC4" i="1"/>
  <c r="AB16" i="1"/>
  <c r="AB15" i="1"/>
  <c r="Y21" i="1"/>
  <c r="Y30" i="1"/>
  <c r="P20" i="1"/>
  <c r="AH3" i="1" l="1"/>
  <c r="AG30" i="1"/>
  <c r="AG29" i="1"/>
  <c r="AB9" i="1"/>
  <c r="AB11" i="1"/>
  <c r="AB12" i="1" s="1"/>
  <c r="AB10" i="1"/>
  <c r="AB17" i="1"/>
  <c r="AC7" i="1"/>
  <c r="AC14" i="1"/>
  <c r="AD4" i="1"/>
  <c r="AC16" i="1"/>
  <c r="AC15" i="1"/>
  <c r="AC5" i="1"/>
  <c r="AB6" i="1"/>
  <c r="AA11" i="1"/>
  <c r="AA9" i="1"/>
  <c r="AA10" i="1"/>
  <c r="P30" i="1"/>
  <c r="P21" i="1"/>
  <c r="AH30" i="1" l="1"/>
  <c r="AH29" i="1"/>
  <c r="AD14" i="1"/>
  <c r="AD7" i="1"/>
  <c r="AD16" i="1"/>
  <c r="AD5" i="1"/>
  <c r="AD6" i="1" s="1"/>
  <c r="AE4" i="1"/>
  <c r="AD15" i="1"/>
  <c r="AA12" i="1"/>
  <c r="AA18" i="1" s="1"/>
  <c r="AA19" i="1" s="1"/>
  <c r="AA20" i="1" s="1"/>
  <c r="AA21" i="1" s="1"/>
  <c r="AC17" i="1"/>
  <c r="AC8" i="1"/>
  <c r="AB18" i="1"/>
  <c r="AB19" i="1" s="1"/>
  <c r="AB20" i="1" s="1"/>
  <c r="AB21" i="1" s="1"/>
  <c r="AC6" i="1"/>
  <c r="AD8" i="1" l="1"/>
  <c r="AE14" i="1"/>
  <c r="AE7" i="1"/>
  <c r="AE5" i="1"/>
  <c r="AE8" i="1" s="1"/>
  <c r="AE16" i="1"/>
  <c r="AE15" i="1"/>
  <c r="AF4" i="1"/>
  <c r="AC10" i="1"/>
  <c r="AC9" i="1"/>
  <c r="AC11" i="1"/>
  <c r="AC12" i="1" s="1"/>
  <c r="AC18" i="1" s="1"/>
  <c r="AC19" i="1" s="1"/>
  <c r="AC20" i="1" s="1"/>
  <c r="AC21" i="1" s="1"/>
  <c r="AD17" i="1"/>
  <c r="AE6" i="1" l="1"/>
  <c r="AF14" i="1"/>
  <c r="AF7" i="1"/>
  <c r="AF16" i="1"/>
  <c r="AF5" i="1"/>
  <c r="AF8" i="1" s="1"/>
  <c r="AF15" i="1"/>
  <c r="AG4" i="1"/>
  <c r="AE10" i="1"/>
  <c r="AE11" i="1"/>
  <c r="AE9" i="1"/>
  <c r="AE17" i="1"/>
  <c r="AD9" i="1"/>
  <c r="AD10" i="1"/>
  <c r="AD11" i="1"/>
  <c r="AD12" i="1" l="1"/>
  <c r="AD18" i="1" s="1"/>
  <c r="AD19" i="1" s="1"/>
  <c r="AD20" i="1" s="1"/>
  <c r="AD21" i="1" s="1"/>
  <c r="AG7" i="1"/>
  <c r="AG14" i="1"/>
  <c r="AH4" i="1"/>
  <c r="AG5" i="1"/>
  <c r="AG8" i="1" s="1"/>
  <c r="AG16" i="1"/>
  <c r="AG15" i="1"/>
  <c r="AF10" i="1"/>
  <c r="AF12" i="1" s="1"/>
  <c r="AF18" i="1" s="1"/>
  <c r="AF19" i="1" s="1"/>
  <c r="AF20" i="1" s="1"/>
  <c r="AF21" i="1" s="1"/>
  <c r="AF9" i="1"/>
  <c r="AF11" i="1"/>
  <c r="AF6" i="1"/>
  <c r="AE12" i="1"/>
  <c r="AE18" i="1" s="1"/>
  <c r="AE19" i="1" s="1"/>
  <c r="AE20" i="1" s="1"/>
  <c r="AE21" i="1" s="1"/>
  <c r="AF17" i="1"/>
  <c r="AH14" i="1" l="1"/>
  <c r="AH7" i="1"/>
  <c r="AI4" i="1"/>
  <c r="AH5" i="1"/>
  <c r="AH8" i="1" s="1"/>
  <c r="AH15" i="1"/>
  <c r="AH16" i="1"/>
  <c r="AH6" i="1"/>
  <c r="AG6" i="1"/>
  <c r="AG17" i="1"/>
  <c r="AG10" i="1"/>
  <c r="AG11" i="1"/>
  <c r="AG9" i="1"/>
  <c r="AG12" i="1"/>
  <c r="AG18" i="1" s="1"/>
  <c r="AG19" i="1" s="1"/>
  <c r="AG20" i="1" s="1"/>
  <c r="AG21" i="1" s="1"/>
  <c r="AI16" i="1" l="1"/>
  <c r="AI7" i="1"/>
  <c r="AI14" i="1"/>
  <c r="AI15" i="1"/>
  <c r="AI5" i="1"/>
  <c r="AI8" i="1" s="1"/>
  <c r="AH10" i="1"/>
  <c r="AH9" i="1"/>
  <c r="AH12" i="1" s="1"/>
  <c r="AH18" i="1" s="1"/>
  <c r="AH19" i="1" s="1"/>
  <c r="AH20" i="1" s="1"/>
  <c r="AH21" i="1" s="1"/>
  <c r="AH11" i="1"/>
  <c r="AH17" i="1"/>
  <c r="AI6" i="1" l="1"/>
  <c r="AI17" i="1"/>
  <c r="AI10" i="1"/>
  <c r="AI11" i="1"/>
  <c r="AI9" i="1"/>
  <c r="AI12" i="1" s="1"/>
  <c r="AI18" i="1" s="1"/>
  <c r="AI19" i="1" s="1"/>
  <c r="AI20" i="1" s="1"/>
  <c r="AI21" i="1" s="1"/>
</calcChain>
</file>

<file path=xl/sharedStrings.xml><?xml version="1.0" encoding="utf-8"?>
<sst xmlns="http://schemas.openxmlformats.org/spreadsheetml/2006/main" count="92" uniqueCount="86">
  <si>
    <t>Price</t>
  </si>
  <si>
    <t>Shares</t>
  </si>
  <si>
    <t>MC</t>
  </si>
  <si>
    <t>Cash</t>
  </si>
  <si>
    <t>Debt</t>
  </si>
  <si>
    <t>EV</t>
  </si>
  <si>
    <t>Net Cash</t>
  </si>
  <si>
    <t>CEO</t>
  </si>
  <si>
    <t>Q323</t>
  </si>
  <si>
    <t>Q423</t>
  </si>
  <si>
    <t>Q322</t>
  </si>
  <si>
    <t>Q422</t>
  </si>
  <si>
    <t>Q123</t>
  </si>
  <si>
    <t>Q223</t>
  </si>
  <si>
    <t>Q122</t>
  </si>
  <si>
    <t>Q222</t>
  </si>
  <si>
    <t>Main</t>
  </si>
  <si>
    <t/>
  </si>
  <si>
    <t>Model</t>
  </si>
  <si>
    <t>KBH</t>
  </si>
  <si>
    <t>KB HOME</t>
  </si>
  <si>
    <t>Q124</t>
  </si>
  <si>
    <t>Q224</t>
  </si>
  <si>
    <t>Q324</t>
  </si>
  <si>
    <t>Q424</t>
  </si>
  <si>
    <t>Q121</t>
  </si>
  <si>
    <t>Q221</t>
  </si>
  <si>
    <t>Q321</t>
  </si>
  <si>
    <t>Q421</t>
  </si>
  <si>
    <t>Revenue</t>
  </si>
  <si>
    <t>Construction and land cost</t>
  </si>
  <si>
    <t>SG&amp;A</t>
  </si>
  <si>
    <t>Operating income</t>
  </si>
  <si>
    <t>Interest income</t>
  </si>
  <si>
    <t>Equity in loss of uncons. joint ventures</t>
  </si>
  <si>
    <t>Loss on early extinguishment of debt</t>
  </si>
  <si>
    <t>Homebuilding Pretax</t>
  </si>
  <si>
    <t>Financial services:</t>
  </si>
  <si>
    <t>Expenses</t>
  </si>
  <si>
    <t>Equity in income of joint ventures</t>
  </si>
  <si>
    <t>Financial Pretax</t>
  </si>
  <si>
    <t>Pretax</t>
  </si>
  <si>
    <t>Taxes</t>
  </si>
  <si>
    <t>Net income</t>
  </si>
  <si>
    <t>EPS</t>
  </si>
  <si>
    <t>Total revenue</t>
  </si>
  <si>
    <t>Revenue Y/Y</t>
  </si>
  <si>
    <t>Revenue Q/Q</t>
  </si>
  <si>
    <t>Gross Margin %</t>
  </si>
  <si>
    <t>Operating Margin %</t>
  </si>
  <si>
    <t>Net Margin %</t>
  </si>
  <si>
    <t>Tax Rate %</t>
  </si>
  <si>
    <t>Gross Profit</t>
  </si>
  <si>
    <t>Jeffrey T. Mezger</t>
  </si>
  <si>
    <t>Executives</t>
  </si>
  <si>
    <t>Name</t>
  </si>
  <si>
    <t>Role</t>
  </si>
  <si>
    <t>Years at KB</t>
  </si>
  <si>
    <t>Jeff J. Kaminski</t>
  </si>
  <si>
    <t>Robert V. McGibney</t>
  </si>
  <si>
    <t>Albert Z. Praw</t>
  </si>
  <si>
    <t>Brian J. Woram</t>
  </si>
  <si>
    <t>CFO</t>
  </si>
  <si>
    <t>COO</t>
  </si>
  <si>
    <t>Exec. VP</t>
  </si>
  <si>
    <t>Year in position</t>
  </si>
  <si>
    <t>One of the largest homebuilding companies in the U.S. More than 65 years, with over 680.000 homes</t>
  </si>
  <si>
    <t>built. Incorporated in 1957. Build variety of homes, including attached and detached single-family</t>
  </si>
  <si>
    <t>residential homes, townhomes and condominiums, designed primarily for first-time and first</t>
  </si>
  <si>
    <t>Homebuilding operations represent 99.5% of total revenues in 2023.</t>
  </si>
  <si>
    <t>Financial services operations, which accounted for the remaining .5% of total revenues in 2023.</t>
  </si>
  <si>
    <t>Offer various insurance products to homebuyers in the markets and provide title services.</t>
  </si>
  <si>
    <t xml:space="preserve">Also provide mortgage banking services, including consumer mortgage loan originations, to our </t>
  </si>
  <si>
    <t>homerbuyers indirectly through KBHS Home Loans, LLC. An unconsolidated joint venture between us</t>
  </si>
  <si>
    <t>and a third party.</t>
  </si>
  <si>
    <t xml:space="preserve">move-up, as well as second move-up and active adult, homebuyers. </t>
  </si>
  <si>
    <t>Employees</t>
  </si>
  <si>
    <t>Year</t>
  </si>
  <si>
    <t>Count</t>
  </si>
  <si>
    <t xml:space="preserve"> </t>
  </si>
  <si>
    <t>Maturity</t>
  </si>
  <si>
    <t>Discount</t>
  </si>
  <si>
    <t>NPV</t>
  </si>
  <si>
    <t>Value</t>
  </si>
  <si>
    <t>Per Share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</si>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</sst>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6"/>
      <color theme="10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u/>
      <sz val="14"/>
      <color theme="10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60">
    <xf numFmtId="0" fontId="0" fillId="0" borderId="0" xfId="0"/>
    <xf numFmtId="0" fontId="4" fillId="2" borderId="0" xfId="1" applyFont="1" applyFill="1" applyAlignment="1">
      <alignment horizontal="center"/>
    </xf>
    <xf numFmtId="1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3" fontId="6" fillId="2" borderId="0" xfId="0" applyNumberFormat="1" applyFont="1" applyFill="1"/>
    <xf numFmtId="3" fontId="6" fillId="0" borderId="0" xfId="0" applyNumberFormat="1" applyFont="1"/>
    <xf numFmtId="3" fontId="6" fillId="2" borderId="0" xfId="0" applyNumberFormat="1" applyFont="1" applyFill="1" applyAlignment="1">
      <alignment horizontal="left"/>
    </xf>
    <xf numFmtId="3" fontId="8" fillId="2" borderId="0" xfId="0" applyNumberFormat="1" applyFont="1" applyFill="1" applyAlignment="1">
      <alignment horizontal="left"/>
    </xf>
    <xf numFmtId="3" fontId="8" fillId="0" borderId="0" xfId="0" applyNumberFormat="1" applyFont="1"/>
    <xf numFmtId="0" fontId="6" fillId="2" borderId="0" xfId="0" applyFont="1" applyFill="1" applyAlignment="1">
      <alignment horizontal="left"/>
    </xf>
    <xf numFmtId="2" fontId="6" fillId="0" borderId="0" xfId="0" applyNumberFormat="1" applyFont="1"/>
    <xf numFmtId="0" fontId="6" fillId="0" borderId="0" xfId="0" applyFont="1"/>
    <xf numFmtId="4" fontId="6" fillId="0" borderId="0" xfId="0" applyNumberFormat="1" applyFont="1"/>
    <xf numFmtId="1" fontId="6" fillId="0" borderId="0" xfId="0" applyNumberFormat="1" applyFont="1"/>
    <xf numFmtId="0" fontId="9" fillId="2" borderId="2" xfId="0" applyFont="1" applyFill="1" applyBorder="1" applyAlignment="1">
      <alignment horizontal="left"/>
    </xf>
    <xf numFmtId="9" fontId="9" fillId="0" borderId="2" xfId="0" applyNumberFormat="1" applyFont="1" applyBorder="1"/>
    <xf numFmtId="10" fontId="9" fillId="0" borderId="2" xfId="0" applyNumberFormat="1" applyFont="1" applyBorder="1"/>
    <xf numFmtId="0" fontId="9" fillId="0" borderId="2" xfId="0" applyFont="1" applyBorder="1"/>
    <xf numFmtId="0" fontId="9" fillId="2" borderId="3" xfId="0" applyFont="1" applyFill="1" applyBorder="1" applyAlignment="1">
      <alignment horizontal="left"/>
    </xf>
    <xf numFmtId="9" fontId="9" fillId="0" borderId="3" xfId="0" applyNumberFormat="1" applyFont="1" applyBorder="1"/>
    <xf numFmtId="0" fontId="9" fillId="0" borderId="3" xfId="0" applyFont="1" applyBorder="1"/>
    <xf numFmtId="0" fontId="9" fillId="2" borderId="0" xfId="0" applyFont="1" applyFill="1"/>
    <xf numFmtId="9" fontId="9" fillId="0" borderId="0" xfId="0" applyNumberFormat="1" applyFont="1"/>
    <xf numFmtId="0" fontId="9" fillId="0" borderId="0" xfId="0" applyFont="1"/>
    <xf numFmtId="0" fontId="9" fillId="2" borderId="3" xfId="0" applyFont="1" applyFill="1" applyBorder="1"/>
    <xf numFmtId="0" fontId="6" fillId="2" borderId="0" xfId="0" applyFont="1" applyFill="1"/>
    <xf numFmtId="3" fontId="8" fillId="2" borderId="2" xfId="0" applyNumberFormat="1" applyFont="1" applyFill="1" applyBorder="1" applyAlignment="1">
      <alignment horizontal="right"/>
    </xf>
    <xf numFmtId="3" fontId="9" fillId="2" borderId="2" xfId="0" applyNumberFormat="1" applyFont="1" applyFill="1" applyBorder="1" applyAlignment="1">
      <alignment horizontal="right"/>
    </xf>
    <xf numFmtId="3" fontId="8" fillId="0" borderId="2" xfId="0" applyNumberFormat="1" applyFont="1" applyBorder="1"/>
    <xf numFmtId="3" fontId="8" fillId="2" borderId="0" xfId="0" applyNumberFormat="1" applyFont="1" applyFill="1" applyBorder="1"/>
    <xf numFmtId="3" fontId="8" fillId="0" borderId="0" xfId="0" applyNumberFormat="1" applyFont="1" applyBorder="1"/>
    <xf numFmtId="3" fontId="6" fillId="2" borderId="0" xfId="0" applyNumberFormat="1" applyFont="1" applyFill="1" applyBorder="1"/>
    <xf numFmtId="3" fontId="6" fillId="0" borderId="0" xfId="0" applyNumberFormat="1" applyFont="1" applyBorder="1"/>
    <xf numFmtId="3" fontId="8" fillId="2" borderId="0" xfId="0" applyNumberFormat="1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8" fillId="0" borderId="0" xfId="0" applyFont="1" applyBorder="1"/>
    <xf numFmtId="10" fontId="9" fillId="0" borderId="3" xfId="0" applyNumberFormat="1" applyFont="1" applyBorder="1"/>
    <xf numFmtId="0" fontId="10" fillId="0" borderId="0" xfId="1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6" fillId="0" borderId="1" xfId="0" applyFont="1" applyBorder="1"/>
    <xf numFmtId="2" fontId="6" fillId="0" borderId="1" xfId="0" applyNumberFormat="1" applyFont="1" applyBorder="1"/>
    <xf numFmtId="1" fontId="6" fillId="0" borderId="1" xfId="0" applyNumberFormat="1" applyFont="1" applyBorder="1"/>
    <xf numFmtId="0" fontId="6" fillId="0" borderId="4" xfId="0" applyFont="1" applyBorder="1"/>
    <xf numFmtId="0" fontId="6" fillId="0" borderId="2" xfId="0" applyFont="1" applyBorder="1"/>
    <xf numFmtId="0" fontId="6" fillId="0" borderId="5" xfId="0" applyFont="1" applyBorder="1"/>
    <xf numFmtId="3" fontId="6" fillId="0" borderId="1" xfId="0" applyNumberFormat="1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3" xfId="0" applyFont="1" applyBorder="1"/>
    <xf numFmtId="0" fontId="6" fillId="0" borderId="9" xfId="0" applyFont="1" applyBorder="1"/>
    <xf numFmtId="0" fontId="13" fillId="0" borderId="0" xfId="0" applyFont="1"/>
    <xf numFmtId="0" fontId="6" fillId="0" borderId="0" xfId="0" quotePrefix="1" applyFont="1"/>
    <xf numFmtId="0" fontId="6" fillId="0" borderId="1" xfId="0" applyFont="1" applyBorder="1" applyAlignment="1">
      <alignment horizontal="center"/>
    </xf>
    <xf numFmtId="9" fontId="6" fillId="0" borderId="0" xfId="2" applyFont="1"/>
    <xf numFmtId="3" fontId="9" fillId="0" borderId="2" xfId="0" applyNumberFormat="1" applyFont="1" applyBorder="1"/>
    <xf numFmtId="1" fontId="8" fillId="0" borderId="0" xfId="0" applyNumberFormat="1" applyFont="1" applyBorder="1"/>
    <xf numFmtId="2" fontId="9" fillId="0" borderId="3" xfId="0" applyNumberFormat="1" applyFont="1" applyBorder="1"/>
  </cellXfs>
  <cellStyles count="3">
    <cellStyle name="Prósent" xfId="2" builtinId="5"/>
    <cellStyle name="Tengill" xfId="1" builtinId="8"/>
    <cellStyle name="Venjulegt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133350</xdr:rowOff>
    </xdr:from>
    <xdr:to>
      <xdr:col>14</xdr:col>
      <xdr:colOff>0</xdr:colOff>
      <xdr:row>73</xdr:row>
      <xdr:rowOff>142875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64A04EB-1889-15AB-9408-C414FC4AEA29}"/>
            </a:ext>
          </a:extLst>
        </xdr:cNvPr>
        <xdr:cNvCxnSpPr/>
      </xdr:nvCxnSpPr>
      <xdr:spPr>
        <a:xfrm>
          <a:off x="9867900" y="133350"/>
          <a:ext cx="0" cy="13420725"/>
        </a:xfrm>
        <a:prstGeom prst="line">
          <a:avLst/>
        </a:prstGeom>
        <a:ln w="3175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</xdr:row>
      <xdr:rowOff>0</xdr:rowOff>
    </xdr:from>
    <xdr:to>
      <xdr:col>24</xdr:col>
      <xdr:colOff>0</xdr:colOff>
      <xdr:row>74</xdr:row>
      <xdr:rowOff>85725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97B24D7-9CD8-431E-A7D7-D9062F780F1F}"/>
            </a:ext>
          </a:extLst>
        </xdr:cNvPr>
        <xdr:cNvCxnSpPr/>
      </xdr:nvCxnSpPr>
      <xdr:spPr>
        <a:xfrm>
          <a:off x="16163925" y="266700"/>
          <a:ext cx="0" cy="13420725"/>
        </a:xfrm>
        <a:prstGeom prst="line">
          <a:avLst/>
        </a:prstGeom>
        <a:ln w="3175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þ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A943-7190-4997-8580-4E0BDA41CD8D}">
  <dimension ref="B1:L38"/>
  <sheetViews>
    <sheetView workbookViewId="0">
      <selection activeCell="E30" sqref="E30"/>
    </sheetView>
  </sheetViews>
  <sheetFormatPr defaultRowHeight="13.8" x14ac:dyDescent="0.25"/>
  <cols>
    <col min="1" max="1" width="8.88671875" style="12"/>
    <col min="2" max="2" width="18.109375" style="12" customWidth="1"/>
    <col min="3" max="3" width="8.88671875" style="12"/>
    <col min="4" max="4" width="14.88671875" style="12" bestFit="1" customWidth="1"/>
    <col min="5" max="5" width="11.44140625" style="12" customWidth="1"/>
    <col min="6" max="8" width="8.88671875" style="12"/>
    <col min="9" max="9" width="12.33203125" style="12" customWidth="1"/>
    <col min="10" max="11" width="8.88671875" style="12"/>
    <col min="12" max="12" width="17" style="12" customWidth="1"/>
    <col min="13" max="13" width="9.109375" style="12" customWidth="1"/>
    <col min="14" max="16384" width="8.88671875" style="12"/>
  </cols>
  <sheetData>
    <row r="1" spans="2:12" ht="21" x14ac:dyDescent="0.4">
      <c r="B1" s="38" t="s">
        <v>18</v>
      </c>
      <c r="K1" s="39" t="s">
        <v>19</v>
      </c>
      <c r="L1" s="39"/>
    </row>
    <row r="2" spans="2:12" ht="22.8" x14ac:dyDescent="0.25">
      <c r="B2" s="40" t="s">
        <v>20</v>
      </c>
      <c r="C2" s="40"/>
      <c r="D2" s="40"/>
      <c r="E2" s="40"/>
      <c r="F2" s="40"/>
      <c r="G2" s="40"/>
      <c r="H2" s="40"/>
      <c r="I2" s="40"/>
      <c r="K2" s="41" t="s">
        <v>0</v>
      </c>
      <c r="L2" s="42">
        <v>70.5</v>
      </c>
    </row>
    <row r="3" spans="2:12" x14ac:dyDescent="0.25">
      <c r="K3" s="41" t="s">
        <v>1</v>
      </c>
      <c r="L3" s="43">
        <v>75.915210000000002</v>
      </c>
    </row>
    <row r="4" spans="2:12" x14ac:dyDescent="0.25">
      <c r="B4" s="44" t="s">
        <v>66</v>
      </c>
      <c r="C4" s="45"/>
      <c r="D4" s="45"/>
      <c r="E4" s="45"/>
      <c r="F4" s="45"/>
      <c r="G4" s="45"/>
      <c r="H4" s="45"/>
      <c r="I4" s="46"/>
      <c r="K4" s="41" t="s">
        <v>2</v>
      </c>
      <c r="L4" s="47">
        <f>L3*L2</f>
        <v>5352.0223050000004</v>
      </c>
    </row>
    <row r="5" spans="2:12" x14ac:dyDescent="0.25">
      <c r="B5" s="48" t="s">
        <v>67</v>
      </c>
      <c r="I5" s="49"/>
      <c r="K5" s="41" t="s">
        <v>3</v>
      </c>
      <c r="L5" s="47">
        <v>668.08399999999995</v>
      </c>
    </row>
    <row r="6" spans="2:12" x14ac:dyDescent="0.25">
      <c r="B6" s="48" t="s">
        <v>68</v>
      </c>
      <c r="I6" s="49"/>
      <c r="K6" s="41" t="s">
        <v>4</v>
      </c>
      <c r="L6" s="47">
        <v>1692.729</v>
      </c>
    </row>
    <row r="7" spans="2:12" x14ac:dyDescent="0.25">
      <c r="B7" s="50" t="s">
        <v>75</v>
      </c>
      <c r="C7" s="51"/>
      <c r="D7" s="51"/>
      <c r="E7" s="51"/>
      <c r="F7" s="51"/>
      <c r="G7" s="51"/>
      <c r="H7" s="51"/>
      <c r="I7" s="52"/>
      <c r="K7" s="41" t="s">
        <v>5</v>
      </c>
      <c r="L7" s="47">
        <f>L4-L5+L6</f>
        <v>6376.6673050000009</v>
      </c>
    </row>
    <row r="8" spans="2:12" x14ac:dyDescent="0.25">
      <c r="K8" s="41" t="s">
        <v>6</v>
      </c>
      <c r="L8" s="47">
        <f>L5-L6</f>
        <v>-1024.645</v>
      </c>
    </row>
    <row r="9" spans="2:12" x14ac:dyDescent="0.25">
      <c r="B9" s="44" t="s">
        <v>69</v>
      </c>
      <c r="C9" s="45"/>
      <c r="D9" s="45"/>
      <c r="E9" s="45"/>
      <c r="F9" s="45"/>
      <c r="G9" s="45"/>
      <c r="H9" s="45"/>
      <c r="I9" s="46"/>
      <c r="K9" s="41"/>
      <c r="L9" s="41"/>
    </row>
    <row r="10" spans="2:12" x14ac:dyDescent="0.25">
      <c r="B10" s="48" t="s">
        <v>70</v>
      </c>
      <c r="I10" s="49"/>
      <c r="K10" s="41" t="s">
        <v>7</v>
      </c>
      <c r="L10" s="41" t="s">
        <v>53</v>
      </c>
    </row>
    <row r="11" spans="2:12" x14ac:dyDescent="0.25">
      <c r="B11" s="48" t="s">
        <v>71</v>
      </c>
      <c r="I11" s="49"/>
    </row>
    <row r="12" spans="2:12" x14ac:dyDescent="0.25">
      <c r="B12" s="48" t="s">
        <v>72</v>
      </c>
      <c r="I12" s="49"/>
    </row>
    <row r="13" spans="2:12" x14ac:dyDescent="0.25">
      <c r="B13" s="48" t="s">
        <v>73</v>
      </c>
      <c r="I13" s="49"/>
    </row>
    <row r="14" spans="2:12" x14ac:dyDescent="0.25">
      <c r="B14" s="50" t="s">
        <v>74</v>
      </c>
      <c r="C14" s="51"/>
      <c r="D14" s="51"/>
      <c r="E14" s="51"/>
      <c r="F14" s="51"/>
      <c r="G14" s="51"/>
      <c r="H14" s="51"/>
      <c r="I14" s="52"/>
    </row>
    <row r="16" spans="2:12" ht="15.6" x14ac:dyDescent="0.3">
      <c r="B16" s="53" t="s">
        <v>54</v>
      </c>
      <c r="F16" s="54" t="s">
        <v>17</v>
      </c>
    </row>
    <row r="17" spans="2:5" x14ac:dyDescent="0.25">
      <c r="B17" s="55" t="s">
        <v>55</v>
      </c>
      <c r="C17" s="55" t="s">
        <v>56</v>
      </c>
      <c r="D17" s="55" t="s">
        <v>65</v>
      </c>
      <c r="E17" s="55" t="s">
        <v>57</v>
      </c>
    </row>
    <row r="18" spans="2:5" x14ac:dyDescent="0.25">
      <c r="B18" s="41" t="s">
        <v>53</v>
      </c>
      <c r="C18" s="41" t="s">
        <v>7</v>
      </c>
      <c r="D18" s="41">
        <v>2016</v>
      </c>
      <c r="E18" s="41">
        <v>30</v>
      </c>
    </row>
    <row r="19" spans="2:5" x14ac:dyDescent="0.25">
      <c r="B19" s="41" t="s">
        <v>58</v>
      </c>
      <c r="C19" s="41" t="s">
        <v>62</v>
      </c>
      <c r="D19" s="41">
        <v>2010</v>
      </c>
      <c r="E19" s="41">
        <v>13</v>
      </c>
    </row>
    <row r="20" spans="2:5" x14ac:dyDescent="0.25">
      <c r="B20" s="41" t="s">
        <v>59</v>
      </c>
      <c r="C20" s="41" t="s">
        <v>63</v>
      </c>
      <c r="D20" s="41">
        <v>2022</v>
      </c>
      <c r="E20" s="41">
        <v>23</v>
      </c>
    </row>
    <row r="21" spans="2:5" x14ac:dyDescent="0.25">
      <c r="B21" s="41" t="s">
        <v>60</v>
      </c>
      <c r="C21" s="41" t="s">
        <v>64</v>
      </c>
      <c r="D21" s="41">
        <v>2011</v>
      </c>
      <c r="E21" s="41">
        <v>27</v>
      </c>
    </row>
    <row r="22" spans="2:5" x14ac:dyDescent="0.25">
      <c r="B22" s="41" t="s">
        <v>61</v>
      </c>
      <c r="C22" s="41" t="s">
        <v>64</v>
      </c>
      <c r="D22" s="41">
        <v>2010</v>
      </c>
      <c r="E22" s="41">
        <v>13</v>
      </c>
    </row>
    <row r="24" spans="2:5" ht="15.6" x14ac:dyDescent="0.3">
      <c r="B24" s="53" t="s">
        <v>76</v>
      </c>
    </row>
    <row r="25" spans="2:5" x14ac:dyDescent="0.25">
      <c r="B25" s="55" t="s">
        <v>77</v>
      </c>
      <c r="C25" s="55" t="s">
        <v>78</v>
      </c>
    </row>
    <row r="26" spans="2:5" x14ac:dyDescent="0.25">
      <c r="B26" s="55">
        <v>2023</v>
      </c>
      <c r="C26" s="55">
        <v>2205</v>
      </c>
    </row>
    <row r="27" spans="2:5" x14ac:dyDescent="0.25">
      <c r="B27" s="55">
        <v>2022</v>
      </c>
      <c r="C27" s="55">
        <v>2366</v>
      </c>
    </row>
    <row r="38" spans="3:5" x14ac:dyDescent="0.25">
      <c r="C38" s="6"/>
      <c r="D38" s="6"/>
      <c r="E38" s="6"/>
    </row>
  </sheetData>
  <mergeCells count="2">
    <mergeCell ref="K1:L1"/>
    <mergeCell ref="B2:I2"/>
  </mergeCells>
  <hyperlinks>
    <hyperlink ref="B1" location="Model!A1" display="Model" xr:uid="{191EB341-8C2F-4D17-8524-64F231C50E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6B5A-B7A0-44C9-84C2-DFF7588B118C}">
  <dimension ref="A1:FW31"/>
  <sheetViews>
    <sheetView tabSelected="1" zoomScale="130" zoomScaleNormal="130" workbookViewId="0">
      <pane xSplit="1" ySplit="2" topLeftCell="V3" activePane="bottomRight" state="frozen"/>
      <selection pane="topRight" activeCell="C1" sqref="C1"/>
      <selection pane="bottomLeft" activeCell="A3" sqref="A3"/>
      <selection pane="bottomRight" activeCell="AL28" sqref="AL28"/>
    </sheetView>
  </sheetViews>
  <sheetFormatPr defaultRowHeight="13.8" x14ac:dyDescent="0.25"/>
  <cols>
    <col min="1" max="1" width="35.6640625" style="26" customWidth="1"/>
    <col min="2" max="19" width="9.44140625" style="12" customWidth="1"/>
    <col min="20" max="24" width="10.33203125" style="12" customWidth="1"/>
    <col min="25" max="16384" width="8.88671875" style="12"/>
  </cols>
  <sheetData>
    <row r="1" spans="1:43" s="3" customFormat="1" ht="21" x14ac:dyDescent="0.4">
      <c r="A1" s="1" t="s">
        <v>16</v>
      </c>
      <c r="B1" s="2">
        <v>45351</v>
      </c>
      <c r="C1" s="2">
        <v>45077</v>
      </c>
      <c r="D1" s="2">
        <v>45169</v>
      </c>
      <c r="E1" s="2">
        <v>45260</v>
      </c>
      <c r="F1" s="2">
        <v>45351</v>
      </c>
      <c r="G1" s="2">
        <v>45077</v>
      </c>
      <c r="H1" s="2">
        <v>45169</v>
      </c>
      <c r="I1" s="2">
        <v>45260</v>
      </c>
      <c r="J1" s="2">
        <v>45351</v>
      </c>
      <c r="K1" s="2">
        <v>45077</v>
      </c>
      <c r="L1" s="2">
        <v>45169</v>
      </c>
      <c r="M1" s="2">
        <v>45260</v>
      </c>
      <c r="N1" s="2">
        <v>45351</v>
      </c>
      <c r="O1" s="2">
        <v>45077</v>
      </c>
      <c r="P1" s="2">
        <v>45169</v>
      </c>
      <c r="Q1" s="2">
        <v>45260</v>
      </c>
      <c r="T1" s="2">
        <v>45260</v>
      </c>
      <c r="U1" s="2">
        <v>45260</v>
      </c>
      <c r="V1" s="2">
        <v>45260</v>
      </c>
      <c r="W1" s="2">
        <v>45260</v>
      </c>
      <c r="X1" s="2">
        <v>45260</v>
      </c>
    </row>
    <row r="2" spans="1:43" s="4" customFormat="1" x14ac:dyDescent="0.25">
      <c r="B2" s="4" t="s">
        <v>25</v>
      </c>
      <c r="C2" s="4" t="s">
        <v>26</v>
      </c>
      <c r="D2" s="4" t="s">
        <v>27</v>
      </c>
      <c r="E2" s="4" t="s">
        <v>28</v>
      </c>
      <c r="F2" s="4" t="s">
        <v>14</v>
      </c>
      <c r="G2" s="4" t="s">
        <v>15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8</v>
      </c>
      <c r="M2" s="4" t="s">
        <v>9</v>
      </c>
      <c r="N2" s="4" t="s">
        <v>21</v>
      </c>
      <c r="O2" s="4" t="s">
        <v>22</v>
      </c>
      <c r="P2" s="4" t="s">
        <v>23</v>
      </c>
      <c r="Q2" s="4" t="s">
        <v>24</v>
      </c>
      <c r="T2" s="4">
        <v>2019</v>
      </c>
      <c r="U2" s="4">
        <v>2020</v>
      </c>
      <c r="V2" s="4">
        <v>2021</v>
      </c>
      <c r="W2" s="4">
        <v>2022</v>
      </c>
      <c r="X2" s="4">
        <v>2023</v>
      </c>
      <c r="Y2" s="4">
        <v>2024</v>
      </c>
      <c r="Z2" s="4">
        <v>2025</v>
      </c>
      <c r="AA2" s="4">
        <v>2026</v>
      </c>
      <c r="AB2" s="4">
        <v>2027</v>
      </c>
      <c r="AC2" s="4">
        <v>2028</v>
      </c>
      <c r="AD2" s="4">
        <v>2029</v>
      </c>
      <c r="AE2" s="4">
        <v>2030</v>
      </c>
      <c r="AF2" s="4">
        <v>2031</v>
      </c>
      <c r="AG2" s="4">
        <v>2032</v>
      </c>
      <c r="AH2" s="4">
        <v>2033</v>
      </c>
      <c r="AI2" s="4">
        <v>2034</v>
      </c>
      <c r="AJ2" s="4">
        <v>2035</v>
      </c>
      <c r="AK2" s="4">
        <v>2036</v>
      </c>
      <c r="AL2" s="4">
        <v>2037</v>
      </c>
      <c r="AM2" s="4">
        <v>2038</v>
      </c>
      <c r="AN2" s="4">
        <v>2039</v>
      </c>
      <c r="AO2" s="4">
        <v>2040</v>
      </c>
      <c r="AP2" s="4">
        <v>2041</v>
      </c>
      <c r="AQ2" s="4">
        <v>2042</v>
      </c>
    </row>
    <row r="3" spans="1:43" s="28" customFormat="1" ht="14.4" x14ac:dyDescent="0.3">
      <c r="A3" s="27" t="s">
        <v>45</v>
      </c>
      <c r="B3" s="28">
        <v>1141.7380000000001</v>
      </c>
      <c r="C3" s="28">
        <v>1440.8920000000001</v>
      </c>
      <c r="D3" s="28">
        <v>1467.1020000000001</v>
      </c>
      <c r="E3" s="28">
        <v>1675.1980000000001</v>
      </c>
      <c r="F3" s="28">
        <v>1398.489</v>
      </c>
      <c r="G3" s="28">
        <v>1720.0619999999999</v>
      </c>
      <c r="H3" s="28">
        <v>1844.895</v>
      </c>
      <c r="I3" s="28">
        <v>1940.03</v>
      </c>
      <c r="J3" s="28">
        <v>1384.3140000000001</v>
      </c>
      <c r="K3" s="28">
        <v>1765.316</v>
      </c>
      <c r="L3" s="28">
        <v>1587.011</v>
      </c>
      <c r="M3" s="28">
        <v>1673.9880000000001</v>
      </c>
      <c r="N3" s="28">
        <v>1467.7660000000001</v>
      </c>
      <c r="O3" s="29">
        <f>K3*0.928</f>
        <v>1638.213248</v>
      </c>
      <c r="P3" s="28">
        <f>L3*1.144</f>
        <v>1815.5405839999999</v>
      </c>
      <c r="Q3" s="28">
        <f>M3*1.09</f>
        <v>1824.6469200000001</v>
      </c>
      <c r="V3" s="28">
        <f>SUM(B3:E3)</f>
        <v>5724.93</v>
      </c>
      <c r="W3" s="28">
        <f>SUM(F3:I3)</f>
        <v>6903.4759999999997</v>
      </c>
      <c r="X3" s="28">
        <f>SUM(J3:M3)</f>
        <v>6410.6289999999999</v>
      </c>
      <c r="Y3" s="28">
        <f>SUM(N3:Q3)</f>
        <v>6746.1667520000001</v>
      </c>
      <c r="Z3" s="31">
        <f t="shared" ref="Z3:AH3" si="0">Y3*1.051</f>
        <v>7090.2212563519997</v>
      </c>
      <c r="AA3" s="31">
        <f t="shared" si="0"/>
        <v>7451.822540425951</v>
      </c>
      <c r="AB3" s="31">
        <f t="shared" si="0"/>
        <v>7831.8654899876738</v>
      </c>
      <c r="AC3" s="31">
        <f t="shared" si="0"/>
        <v>8231.2906299770439</v>
      </c>
      <c r="AD3" s="31">
        <f t="shared" si="0"/>
        <v>8651.086452105872</v>
      </c>
      <c r="AE3" s="31">
        <f t="shared" si="0"/>
        <v>9092.2918611632704</v>
      </c>
      <c r="AF3" s="31">
        <f t="shared" si="0"/>
        <v>9555.998746082596</v>
      </c>
      <c r="AG3" s="31">
        <f t="shared" si="0"/>
        <v>10043.354682132807</v>
      </c>
      <c r="AH3" s="31">
        <f t="shared" si="0"/>
        <v>10555.565770921579</v>
      </c>
      <c r="AI3" s="31">
        <f>AH3*1.025</f>
        <v>10819.454915194618</v>
      </c>
    </row>
    <row r="4" spans="1:43" s="31" customFormat="1" x14ac:dyDescent="0.25">
      <c r="A4" s="30" t="s">
        <v>29</v>
      </c>
      <c r="B4" s="31">
        <v>1138.008</v>
      </c>
      <c r="C4" s="31">
        <v>1436.0350000000001</v>
      </c>
      <c r="D4" s="31">
        <v>1461.896</v>
      </c>
      <c r="E4" s="31">
        <v>1669.09</v>
      </c>
      <c r="F4" s="31">
        <v>1394.154</v>
      </c>
      <c r="G4" s="31">
        <v>1714.826</v>
      </c>
      <c r="H4" s="31">
        <v>1838.8879999999999</v>
      </c>
      <c r="I4" s="31">
        <v>1932.4939999999999</v>
      </c>
      <c r="J4" s="31">
        <v>1378.537</v>
      </c>
      <c r="K4" s="31">
        <v>1757.846</v>
      </c>
      <c r="L4" s="31">
        <v>1579.7190000000001</v>
      </c>
      <c r="M4" s="31">
        <v>1665.0039999999999</v>
      </c>
      <c r="N4" s="31">
        <v>1461.6980000000001</v>
      </c>
      <c r="O4" s="31">
        <f>K4*0.94</f>
        <v>1652.3752399999998</v>
      </c>
      <c r="P4" s="31">
        <f>P3-7</f>
        <v>1808.5405839999999</v>
      </c>
      <c r="Q4" s="31">
        <f>Q3-7</f>
        <v>1817.6469200000001</v>
      </c>
      <c r="V4" s="31">
        <f>SUM(B4:E4)</f>
        <v>5705.0290000000005</v>
      </c>
      <c r="W4" s="31">
        <f>SUM(F4:I4)</f>
        <v>6880.3620000000001</v>
      </c>
      <c r="X4" s="31">
        <f>SUM(J4:M4)</f>
        <v>6381.1059999999998</v>
      </c>
      <c r="Y4" s="31">
        <f>SUM(N4:Q4)</f>
        <v>6740.2607440000002</v>
      </c>
      <c r="Z4" s="31">
        <f>Y4*1.051</f>
        <v>7084.0140419439995</v>
      </c>
      <c r="AA4" s="31">
        <f t="shared" ref="AA4:AH4" si="1">Z4*1.051</f>
        <v>7445.2987580831432</v>
      </c>
      <c r="AB4" s="31">
        <f t="shared" si="1"/>
        <v>7825.0089947453826</v>
      </c>
      <c r="AC4" s="31">
        <f t="shared" si="1"/>
        <v>8224.0844534773969</v>
      </c>
      <c r="AD4" s="31">
        <f t="shared" si="1"/>
        <v>8643.5127606047445</v>
      </c>
      <c r="AE4" s="31">
        <f t="shared" si="1"/>
        <v>9084.3319113955858</v>
      </c>
      <c r="AF4" s="31">
        <f t="shared" si="1"/>
        <v>9547.6328388767597</v>
      </c>
      <c r="AG4" s="31">
        <f t="shared" si="1"/>
        <v>10034.562113659475</v>
      </c>
      <c r="AH4" s="31">
        <f t="shared" si="1"/>
        <v>10546.324781456107</v>
      </c>
      <c r="AI4" s="31">
        <f>AH4*1.025</f>
        <v>10809.982900992509</v>
      </c>
    </row>
    <row r="5" spans="1:43" s="33" customFormat="1" x14ac:dyDescent="0.25">
      <c r="A5" s="32" t="s">
        <v>30</v>
      </c>
      <c r="B5" s="33">
        <v>901.90899999999999</v>
      </c>
      <c r="C5" s="33">
        <v>1128.018</v>
      </c>
      <c r="D5" s="33">
        <v>1147.6420000000001</v>
      </c>
      <c r="E5" s="33">
        <v>1454.673</v>
      </c>
      <c r="F5" s="33">
        <v>1082.1120000000001</v>
      </c>
      <c r="G5" s="33">
        <v>1281.752</v>
      </c>
      <c r="H5" s="33">
        <v>1350.54</v>
      </c>
      <c r="I5" s="33">
        <v>1654.252</v>
      </c>
      <c r="J5" s="33">
        <v>1082.8209999999999</v>
      </c>
      <c r="K5" s="33">
        <v>1386.558</v>
      </c>
      <c r="L5" s="33">
        <v>1240.3800000000001</v>
      </c>
      <c r="M5" s="33">
        <v>1484.1</v>
      </c>
      <c r="N5" s="33">
        <v>1146.528</v>
      </c>
      <c r="O5" s="33">
        <f>O4*0.7988</f>
        <v>1319.9173417119998</v>
      </c>
      <c r="P5" s="33">
        <f t="shared" ref="P5:Q5" si="2">P4*0.7988</f>
        <v>1444.6622184991998</v>
      </c>
      <c r="Q5" s="33">
        <f t="shared" si="2"/>
        <v>1451.936359696</v>
      </c>
      <c r="V5" s="33">
        <f>SUM(B5:E5)</f>
        <v>4632.2420000000002</v>
      </c>
      <c r="W5" s="33">
        <f>SUM(F5:I5)</f>
        <v>5368.6559999999999</v>
      </c>
      <c r="X5" s="33">
        <f>SUM(J5:M5)</f>
        <v>5193.8590000000004</v>
      </c>
      <c r="Y5" s="33">
        <f>SUM(N5:Q5)</f>
        <v>5363.0439199071998</v>
      </c>
      <c r="Z5" s="33">
        <f t="shared" ref="Z5:AC5" si="3">Z4*0.7988</f>
        <v>5658.7104167048665</v>
      </c>
      <c r="AA5" s="33">
        <f t="shared" si="3"/>
        <v>5947.3046479568147</v>
      </c>
      <c r="AB5" s="33">
        <f t="shared" si="3"/>
        <v>6250.6171850026112</v>
      </c>
      <c r="AC5" s="33">
        <f t="shared" si="3"/>
        <v>6569.3986614377445</v>
      </c>
      <c r="AD5" s="33">
        <f t="shared" ref="AD5" si="4">AD4*0.7988</f>
        <v>6904.4379931710691</v>
      </c>
      <c r="AE5" s="33">
        <f t="shared" ref="AE5" si="5">AE4*0.7988</f>
        <v>7256.5643308227936</v>
      </c>
      <c r="AF5" s="33">
        <f t="shared" ref="AF5" si="6">AF4*0.7988</f>
        <v>7626.6491116947554</v>
      </c>
      <c r="AG5" s="33">
        <f t="shared" ref="AG5" si="7">AG4*0.7988</f>
        <v>8015.6082163911879</v>
      </c>
      <c r="AH5" s="33">
        <f t="shared" ref="AH5" si="8">AH4*0.7988</f>
        <v>8424.4042354271387</v>
      </c>
      <c r="AI5" s="33">
        <f t="shared" ref="AI5" si="9">AI4*0.7988</f>
        <v>8635.0143413128153</v>
      </c>
    </row>
    <row r="6" spans="1:43" s="33" customFormat="1" x14ac:dyDescent="0.25">
      <c r="A6" s="32" t="s">
        <v>52</v>
      </c>
      <c r="B6" s="33">
        <f t="shared" ref="B6:M6" si="10">B4-B5</f>
        <v>236.09900000000005</v>
      </c>
      <c r="C6" s="33">
        <f t="shared" si="10"/>
        <v>308.01700000000005</v>
      </c>
      <c r="D6" s="33">
        <f t="shared" si="10"/>
        <v>314.25399999999991</v>
      </c>
      <c r="E6" s="33">
        <f t="shared" si="10"/>
        <v>214.41699999999992</v>
      </c>
      <c r="F6" s="33">
        <f t="shared" si="10"/>
        <v>312.04199999999992</v>
      </c>
      <c r="G6" s="33">
        <f t="shared" si="10"/>
        <v>433.07400000000007</v>
      </c>
      <c r="H6" s="33">
        <f t="shared" si="10"/>
        <v>488.34799999999996</v>
      </c>
      <c r="I6" s="33">
        <f t="shared" si="10"/>
        <v>278.24199999999996</v>
      </c>
      <c r="J6" s="33">
        <f t="shared" si="10"/>
        <v>295.71600000000012</v>
      </c>
      <c r="K6" s="33">
        <f t="shared" si="10"/>
        <v>371.28800000000001</v>
      </c>
      <c r="L6" s="33">
        <f t="shared" si="10"/>
        <v>339.33899999999994</v>
      </c>
      <c r="M6" s="33">
        <f t="shared" si="10"/>
        <v>180.904</v>
      </c>
      <c r="N6" s="33">
        <f>N4-N5</f>
        <v>315.17000000000007</v>
      </c>
      <c r="O6" s="33">
        <f t="shared" ref="O6:Q6" si="11">O4-O5</f>
        <v>332.45789828800002</v>
      </c>
      <c r="P6" s="33">
        <f t="shared" si="11"/>
        <v>363.8783655008001</v>
      </c>
      <c r="Q6" s="33">
        <f t="shared" si="11"/>
        <v>365.71056030400018</v>
      </c>
      <c r="V6" s="33">
        <f t="shared" ref="V6" si="12">V4-V5</f>
        <v>1072.7870000000003</v>
      </c>
      <c r="W6" s="33">
        <f t="shared" ref="W6" si="13">W4-W5</f>
        <v>1511.7060000000001</v>
      </c>
      <c r="X6" s="33">
        <f t="shared" ref="X6" si="14">X4-X5</f>
        <v>1187.2469999999994</v>
      </c>
      <c r="Y6" s="33">
        <f t="shared" ref="Y6:AI6" si="15">Y4-Y5</f>
        <v>1377.2168240928004</v>
      </c>
      <c r="Z6" s="33">
        <f t="shared" si="15"/>
        <v>1425.303625239133</v>
      </c>
      <c r="AA6" s="33">
        <f t="shared" si="15"/>
        <v>1497.9941101263285</v>
      </c>
      <c r="AB6" s="33">
        <f t="shared" si="15"/>
        <v>1574.3918097427713</v>
      </c>
      <c r="AC6" s="33">
        <f t="shared" si="15"/>
        <v>1654.6857920396524</v>
      </c>
      <c r="AD6" s="33">
        <f t="shared" si="15"/>
        <v>1739.0747674336753</v>
      </c>
      <c r="AE6" s="33">
        <f t="shared" si="15"/>
        <v>1827.7675805727922</v>
      </c>
      <c r="AF6" s="33">
        <f t="shared" si="15"/>
        <v>1920.9837271820043</v>
      </c>
      <c r="AG6" s="33">
        <f t="shared" si="15"/>
        <v>2018.9538972682867</v>
      </c>
      <c r="AH6" s="33">
        <f t="shared" si="15"/>
        <v>2121.9205460289686</v>
      </c>
      <c r="AI6" s="33">
        <f t="shared" si="15"/>
        <v>2174.9685596796935</v>
      </c>
    </row>
    <row r="7" spans="1:43" s="33" customFormat="1" x14ac:dyDescent="0.25">
      <c r="A7" s="32" t="s">
        <v>31</v>
      </c>
      <c r="B7" s="33">
        <v>122.005</v>
      </c>
      <c r="C7" s="33">
        <v>145.11500000000001</v>
      </c>
      <c r="D7" s="33">
        <v>144.32499999999999</v>
      </c>
      <c r="F7" s="33">
        <v>142.47999999999999</v>
      </c>
      <c r="G7" s="33">
        <v>168.614</v>
      </c>
      <c r="H7" s="33">
        <v>163.238</v>
      </c>
      <c r="J7" s="33">
        <v>139.227</v>
      </c>
      <c r="K7" s="33">
        <v>169.18600000000001</v>
      </c>
      <c r="L7" s="33">
        <v>160.09700000000001</v>
      </c>
      <c r="N7" s="33">
        <v>157.494</v>
      </c>
      <c r="O7" s="33">
        <f>O4*0.1011</f>
        <v>167.05513676399997</v>
      </c>
      <c r="P7" s="33">
        <f>P4*0.095</f>
        <v>171.81135547999997</v>
      </c>
      <c r="Q7" s="33">
        <f t="shared" ref="Q7" si="16">Q4*0.1011</f>
        <v>183.76410361200001</v>
      </c>
      <c r="V7" s="33">
        <f>SUM(B7:E7)</f>
        <v>411.44499999999999</v>
      </c>
      <c r="W7" s="33">
        <f>SUM(F7:I7)</f>
        <v>474.33199999999999</v>
      </c>
      <c r="X7" s="33">
        <f>SUM(J7:M7)</f>
        <v>468.51</v>
      </c>
      <c r="Y7" s="33">
        <f t="shared" ref="Y7:Y11" si="17">SUM(N7:Q7)</f>
        <v>680.12459585599993</v>
      </c>
      <c r="Z7" s="33">
        <f>Z4*0.0991</f>
        <v>702.02579155665035</v>
      </c>
      <c r="AA7" s="33">
        <f t="shared" ref="AA7:AI7" si="18">AA4*0.0991</f>
        <v>737.82910692603946</v>
      </c>
      <c r="AB7" s="33">
        <f t="shared" si="18"/>
        <v>775.45839137926737</v>
      </c>
      <c r="AC7" s="33">
        <f t="shared" si="18"/>
        <v>815.00676933960995</v>
      </c>
      <c r="AD7" s="33">
        <f t="shared" si="18"/>
        <v>856.57211457593007</v>
      </c>
      <c r="AE7" s="33">
        <f t="shared" si="18"/>
        <v>900.25729241930253</v>
      </c>
      <c r="AF7" s="33">
        <f t="shared" si="18"/>
        <v>946.17041433268685</v>
      </c>
      <c r="AG7" s="33">
        <f t="shared" si="18"/>
        <v>994.42510546365384</v>
      </c>
      <c r="AH7" s="33">
        <f t="shared" si="18"/>
        <v>1045.1407858423001</v>
      </c>
      <c r="AI7" s="33">
        <f t="shared" si="18"/>
        <v>1071.2693054883575</v>
      </c>
    </row>
    <row r="8" spans="1:43" s="31" customFormat="1" x14ac:dyDescent="0.25">
      <c r="A8" s="30" t="s">
        <v>32</v>
      </c>
      <c r="B8" s="31">
        <f t="shared" ref="B8:N8" si="19">B4-B5-B7</f>
        <v>114.09400000000005</v>
      </c>
      <c r="C8" s="31">
        <f t="shared" si="19"/>
        <v>162.90200000000004</v>
      </c>
      <c r="D8" s="31">
        <f t="shared" si="19"/>
        <v>169.92899999999992</v>
      </c>
      <c r="E8" s="31">
        <f t="shared" si="19"/>
        <v>214.41699999999992</v>
      </c>
      <c r="F8" s="31">
        <f t="shared" si="19"/>
        <v>169.56199999999993</v>
      </c>
      <c r="G8" s="31">
        <f t="shared" si="19"/>
        <v>264.46000000000004</v>
      </c>
      <c r="H8" s="31">
        <f t="shared" si="19"/>
        <v>325.10999999999996</v>
      </c>
      <c r="I8" s="31">
        <f t="shared" si="19"/>
        <v>278.24199999999996</v>
      </c>
      <c r="J8" s="31">
        <f t="shared" si="19"/>
        <v>156.48900000000012</v>
      </c>
      <c r="K8" s="31">
        <f t="shared" si="19"/>
        <v>202.102</v>
      </c>
      <c r="L8" s="31">
        <f t="shared" si="19"/>
        <v>179.24199999999993</v>
      </c>
      <c r="M8" s="31">
        <f t="shared" si="19"/>
        <v>180.904</v>
      </c>
      <c r="N8" s="31">
        <f t="shared" si="19"/>
        <v>157.67600000000007</v>
      </c>
      <c r="O8" s="31">
        <f t="shared" ref="O8:Q8" si="20">O4-O5-O7</f>
        <v>165.40276152400006</v>
      </c>
      <c r="P8" s="31">
        <f t="shared" si="20"/>
        <v>192.06701002080013</v>
      </c>
      <c r="Q8" s="31">
        <f t="shared" si="20"/>
        <v>181.94645669200017</v>
      </c>
      <c r="R8" s="31" t="s">
        <v>79</v>
      </c>
      <c r="V8" s="31">
        <f t="shared" ref="V8" si="21">V4-V5-V7</f>
        <v>661.34200000000033</v>
      </c>
      <c r="W8" s="31">
        <f t="shared" ref="W8" si="22">W4-W5-W7</f>
        <v>1037.3740000000003</v>
      </c>
      <c r="X8" s="31">
        <f t="shared" ref="X8" si="23">X4-X5-X7</f>
        <v>718.7369999999994</v>
      </c>
      <c r="Y8" s="31">
        <f t="shared" ref="Y8:AI8" si="24">Y4-Y5-Y7</f>
        <v>697.09222823680045</v>
      </c>
      <c r="Z8" s="31">
        <f t="shared" si="24"/>
        <v>723.27783368248265</v>
      </c>
      <c r="AA8" s="31">
        <f t="shared" si="24"/>
        <v>760.16500320028899</v>
      </c>
      <c r="AB8" s="31">
        <f t="shared" si="24"/>
        <v>798.93341836350396</v>
      </c>
      <c r="AC8" s="31">
        <f t="shared" si="24"/>
        <v>839.67902270004242</v>
      </c>
      <c r="AD8" s="31">
        <f t="shared" si="24"/>
        <v>882.50265285774526</v>
      </c>
      <c r="AE8" s="31">
        <f t="shared" si="24"/>
        <v>927.51028815348968</v>
      </c>
      <c r="AF8" s="31">
        <f t="shared" si="24"/>
        <v>974.81331284931741</v>
      </c>
      <c r="AG8" s="31">
        <f t="shared" si="24"/>
        <v>1024.5287918046329</v>
      </c>
      <c r="AH8" s="31">
        <f t="shared" si="24"/>
        <v>1076.7797601866685</v>
      </c>
      <c r="AI8" s="31">
        <f t="shared" si="24"/>
        <v>1103.699254191336</v>
      </c>
    </row>
    <row r="9" spans="1:43" s="6" customFormat="1" x14ac:dyDescent="0.25">
      <c r="A9" s="5" t="s">
        <v>33</v>
      </c>
      <c r="B9" s="6">
        <v>0.65300000000000002</v>
      </c>
      <c r="C9" s="6">
        <v>0.24099999999999999</v>
      </c>
      <c r="D9" s="6">
        <v>0.14399999999999999</v>
      </c>
      <c r="E9" s="6">
        <v>1.0999999999999999E-2</v>
      </c>
      <c r="F9" s="6">
        <v>3.5999999999999997E-2</v>
      </c>
      <c r="G9" s="6">
        <v>3.9E-2</v>
      </c>
      <c r="H9" s="6">
        <v>0.192</v>
      </c>
      <c r="I9" s="6">
        <v>0.437</v>
      </c>
      <c r="J9" s="6">
        <v>0.46700000000000003</v>
      </c>
      <c r="K9" s="6">
        <v>1.7290000000000001</v>
      </c>
      <c r="L9" s="6">
        <v>5.492</v>
      </c>
      <c r="M9" s="6">
        <v>6.0709999999999997</v>
      </c>
      <c r="N9" s="6">
        <v>5.8570000000000002</v>
      </c>
      <c r="O9" s="6">
        <f>O8*0.0226</f>
        <v>3.738102410442401</v>
      </c>
      <c r="P9" s="6">
        <f t="shared" ref="P9:Q9" si="25">P8*0.0226</f>
        <v>4.3407144264700825</v>
      </c>
      <c r="Q9" s="6">
        <f t="shared" si="25"/>
        <v>4.1119899212392035</v>
      </c>
      <c r="V9" s="6">
        <f t="shared" ref="V9:V11" si="26">SUM(B9:E9)</f>
        <v>1.0489999999999999</v>
      </c>
      <c r="W9" s="6">
        <f t="shared" ref="W9:W11" si="27">SUM(F9:I9)</f>
        <v>0.70399999999999996</v>
      </c>
      <c r="X9" s="6">
        <f t="shared" ref="X9:X11" si="28">SUM(J9:M9)</f>
        <v>13.759</v>
      </c>
      <c r="Y9" s="6">
        <f t="shared" si="17"/>
        <v>18.047806758151687</v>
      </c>
      <c r="Z9" s="6">
        <f t="shared" ref="Z9:AC9" si="29">Z8*0.0226</f>
        <v>16.346079041224108</v>
      </c>
      <c r="AA9" s="6">
        <f t="shared" si="29"/>
        <v>17.179729072326531</v>
      </c>
      <c r="AB9" s="6">
        <f t="shared" si="29"/>
        <v>18.055895255015187</v>
      </c>
      <c r="AC9" s="6">
        <f t="shared" si="29"/>
        <v>18.976745913020956</v>
      </c>
      <c r="AD9" s="6">
        <f t="shared" ref="AD9" si="30">AD8*0.0226</f>
        <v>19.944559954585042</v>
      </c>
      <c r="AE9" s="6">
        <f t="shared" ref="AE9" si="31">AE8*0.0226</f>
        <v>20.961732512268867</v>
      </c>
      <c r="AF9" s="6">
        <f t="shared" ref="AF9" si="32">AF8*0.0226</f>
        <v>22.030780870394572</v>
      </c>
      <c r="AG9" s="6">
        <f t="shared" ref="AG9" si="33">AG8*0.0226</f>
        <v>23.1543506947847</v>
      </c>
      <c r="AH9" s="6">
        <f t="shared" ref="AH9" si="34">AH8*0.0226</f>
        <v>24.335222580218705</v>
      </c>
      <c r="AI9" s="6">
        <f t="shared" ref="AI9" si="35">AI8*0.0226</f>
        <v>24.943603144724193</v>
      </c>
    </row>
    <row r="10" spans="1:43" s="6" customFormat="1" x14ac:dyDescent="0.25">
      <c r="A10" s="5" t="s">
        <v>34</v>
      </c>
      <c r="B10" s="6">
        <v>0.30399999999999999</v>
      </c>
      <c r="C10" s="6">
        <v>-0.127</v>
      </c>
      <c r="D10" s="6">
        <v>-0.182</v>
      </c>
      <c r="E10" s="6">
        <v>-0.4</v>
      </c>
      <c r="F10" s="6">
        <v>2.3E-2</v>
      </c>
      <c r="G10" s="6">
        <v>-0.31</v>
      </c>
      <c r="H10" s="6">
        <v>-0.1</v>
      </c>
      <c r="I10" s="6">
        <v>-0.47799999999999998</v>
      </c>
      <c r="J10" s="6">
        <v>-0.75700000000000001</v>
      </c>
      <c r="K10" s="6">
        <v>-0.313</v>
      </c>
      <c r="L10" s="6">
        <v>-0.112</v>
      </c>
      <c r="M10" s="6">
        <v>0.46899999999999997</v>
      </c>
      <c r="N10" s="6">
        <v>-0.44500000000000001</v>
      </c>
      <c r="O10" s="6">
        <f>O8*-0.0009</f>
        <v>-0.14886248537160005</v>
      </c>
      <c r="P10" s="6">
        <f t="shared" ref="P10:Q10" si="36">P8*-0.0009</f>
        <v>-0.1728603090187201</v>
      </c>
      <c r="Q10" s="6">
        <f t="shared" si="36"/>
        <v>-0.16375181102280015</v>
      </c>
      <c r="V10" s="6">
        <f t="shared" si="26"/>
        <v>-0.40500000000000003</v>
      </c>
      <c r="W10" s="6">
        <f t="shared" si="27"/>
        <v>-0.86499999999999999</v>
      </c>
      <c r="X10" s="6">
        <f t="shared" si="28"/>
        <v>-0.71300000000000019</v>
      </c>
      <c r="Y10" s="6">
        <f t="shared" si="17"/>
        <v>-0.93047460541312021</v>
      </c>
      <c r="Z10" s="6">
        <f t="shared" ref="Z10:AI10" si="37">Z8*-0.0009</f>
        <v>-0.65095005031423436</v>
      </c>
      <c r="AA10" s="6">
        <f t="shared" si="37"/>
        <v>-0.68414850288026008</v>
      </c>
      <c r="AB10" s="6">
        <f t="shared" si="37"/>
        <v>-0.71904007652715352</v>
      </c>
      <c r="AC10" s="6">
        <f t="shared" si="37"/>
        <v>-0.75571112043003819</v>
      </c>
      <c r="AD10" s="6">
        <f t="shared" si="37"/>
        <v>-0.7942523875719707</v>
      </c>
      <c r="AE10" s="6">
        <f t="shared" si="37"/>
        <v>-0.83475925933814066</v>
      </c>
      <c r="AF10" s="6">
        <f t="shared" si="37"/>
        <v>-0.87733198156438563</v>
      </c>
      <c r="AG10" s="6">
        <f t="shared" si="37"/>
        <v>-0.92207591262416955</v>
      </c>
      <c r="AH10" s="6">
        <f t="shared" si="37"/>
        <v>-0.96910178416800163</v>
      </c>
      <c r="AI10" s="6">
        <f t="shared" si="37"/>
        <v>-0.99332932877220237</v>
      </c>
    </row>
    <row r="11" spans="1:43" s="6" customFormat="1" x14ac:dyDescent="0.25">
      <c r="A11" s="7" t="s">
        <v>35</v>
      </c>
      <c r="B11" s="6">
        <v>0</v>
      </c>
      <c r="C11" s="6">
        <v>0</v>
      </c>
      <c r="D11" s="6">
        <v>-5.0750000000000002</v>
      </c>
      <c r="E11" s="6">
        <v>0</v>
      </c>
      <c r="F11" s="6">
        <v>0</v>
      </c>
      <c r="G11" s="6">
        <v>0</v>
      </c>
      <c r="H11" s="6">
        <v>-3.5979999999999999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f>Q8*-0.00031</f>
        <v>-5.6403401574520055E-2</v>
      </c>
      <c r="V11" s="6">
        <f t="shared" si="26"/>
        <v>-5.0750000000000002</v>
      </c>
      <c r="W11" s="6">
        <f t="shared" si="27"/>
        <v>-3.5979999999999999</v>
      </c>
      <c r="X11" s="6">
        <f t="shared" si="28"/>
        <v>0</v>
      </c>
      <c r="Y11" s="6">
        <f t="shared" si="17"/>
        <v>-5.6403401574520055E-2</v>
      </c>
      <c r="Z11" s="6">
        <f>Z8*-0.00031</f>
        <v>-0.22421612844156963</v>
      </c>
      <c r="AA11" s="6">
        <f>AA8*-0.00031</f>
        <v>-0.23565115099208958</v>
      </c>
      <c r="AB11" s="6">
        <f>AB8*-0.00031</f>
        <v>-0.24766935969268622</v>
      </c>
      <c r="AC11" s="6">
        <f>AC8*-0.00031</f>
        <v>-0.26030049703701313</v>
      </c>
      <c r="AD11" s="6">
        <f t="shared" ref="AD11:AI11" si="38">AD8*-0.00031</f>
        <v>-0.27357582238590106</v>
      </c>
      <c r="AE11" s="6">
        <f t="shared" si="38"/>
        <v>-0.28752818932758178</v>
      </c>
      <c r="AF11" s="6">
        <f t="shared" si="38"/>
        <v>-0.3021921269832884</v>
      </c>
      <c r="AG11" s="6">
        <f t="shared" si="38"/>
        <v>-0.31760392545943616</v>
      </c>
      <c r="AH11" s="6">
        <f t="shared" si="38"/>
        <v>-0.3338017256578672</v>
      </c>
      <c r="AI11" s="6">
        <f t="shared" si="38"/>
        <v>-0.34214676879931416</v>
      </c>
    </row>
    <row r="12" spans="1:43" s="9" customFormat="1" x14ac:dyDescent="0.25">
      <c r="A12" s="8" t="s">
        <v>36</v>
      </c>
      <c r="B12" s="9">
        <f t="shared" ref="B12:N12" si="39">SUM(B8:B11)</f>
        <v>115.05100000000006</v>
      </c>
      <c r="C12" s="9">
        <f t="shared" si="39"/>
        <v>163.01600000000005</v>
      </c>
      <c r="D12" s="9">
        <f t="shared" si="39"/>
        <v>164.81599999999995</v>
      </c>
      <c r="E12" s="9">
        <f t="shared" si="39"/>
        <v>214.02799999999991</v>
      </c>
      <c r="F12" s="9">
        <f t="shared" si="39"/>
        <v>169.62099999999992</v>
      </c>
      <c r="G12" s="9">
        <f t="shared" si="39"/>
        <v>264.18900000000002</v>
      </c>
      <c r="H12" s="9">
        <f t="shared" si="39"/>
        <v>321.60399999999993</v>
      </c>
      <c r="I12" s="9">
        <f t="shared" si="39"/>
        <v>278.20099999999996</v>
      </c>
      <c r="J12" s="9">
        <f t="shared" si="39"/>
        <v>156.19900000000013</v>
      </c>
      <c r="K12" s="9">
        <f t="shared" si="39"/>
        <v>203.51800000000003</v>
      </c>
      <c r="L12" s="9">
        <f t="shared" si="39"/>
        <v>184.62199999999993</v>
      </c>
      <c r="M12" s="9">
        <f t="shared" si="39"/>
        <v>187.44399999999999</v>
      </c>
      <c r="N12" s="9">
        <f t="shared" si="39"/>
        <v>163.08800000000008</v>
      </c>
      <c r="O12" s="9">
        <f t="shared" ref="O12:Q12" si="40">SUM(O8:O11)</f>
        <v>168.99200144907084</v>
      </c>
      <c r="P12" s="9">
        <f t="shared" si="40"/>
        <v>196.23486413825148</v>
      </c>
      <c r="Q12" s="9">
        <f t="shared" si="40"/>
        <v>185.83829140064205</v>
      </c>
      <c r="V12" s="9">
        <f t="shared" ref="V12" si="41">SUM(V8:V11)</f>
        <v>656.91100000000029</v>
      </c>
      <c r="W12" s="9">
        <f t="shared" ref="W12" si="42">SUM(W8:W11)</f>
        <v>1033.6150000000002</v>
      </c>
      <c r="X12" s="9">
        <f t="shared" ref="X12" si="43">SUM(X8:X11)</f>
        <v>731.78299999999945</v>
      </c>
      <c r="Y12" s="9">
        <f t="shared" ref="Y12:AI12" si="44">SUM(Y8:Y11)</f>
        <v>714.15315698796451</v>
      </c>
      <c r="Z12" s="9">
        <f t="shared" si="44"/>
        <v>738.74874654495102</v>
      </c>
      <c r="AA12" s="9">
        <f t="shared" si="44"/>
        <v>776.42493261874313</v>
      </c>
      <c r="AB12" s="9">
        <f t="shared" si="44"/>
        <v>816.02260418229935</v>
      </c>
      <c r="AC12" s="9">
        <f t="shared" si="44"/>
        <v>857.63975699559626</v>
      </c>
      <c r="AD12" s="9">
        <f t="shared" si="44"/>
        <v>901.37938460237251</v>
      </c>
      <c r="AE12" s="9">
        <f t="shared" si="44"/>
        <v>947.34973321709288</v>
      </c>
      <c r="AF12" s="9">
        <f t="shared" si="44"/>
        <v>995.66456961116432</v>
      </c>
      <c r="AG12" s="9">
        <f t="shared" si="44"/>
        <v>1046.4434626613338</v>
      </c>
      <c r="AH12" s="9">
        <f t="shared" si="44"/>
        <v>1099.8120792570612</v>
      </c>
      <c r="AI12" s="9">
        <f t="shared" si="44"/>
        <v>1127.3073812384887</v>
      </c>
    </row>
    <row r="13" spans="1:43" s="6" customFormat="1" x14ac:dyDescent="0.25">
      <c r="A13" s="8" t="s">
        <v>37</v>
      </c>
    </row>
    <row r="14" spans="1:43" s="6" customFormat="1" x14ac:dyDescent="0.25">
      <c r="A14" s="7" t="s">
        <v>29</v>
      </c>
      <c r="B14" s="6">
        <v>3.73</v>
      </c>
      <c r="C14" s="6">
        <v>4.8570000000000002</v>
      </c>
      <c r="D14" s="6">
        <v>5.2060000000000004</v>
      </c>
      <c r="E14" s="6">
        <v>6.1079999999999997</v>
      </c>
      <c r="F14" s="6">
        <v>4.6349999999999998</v>
      </c>
      <c r="G14" s="6">
        <v>5.2359999999999998</v>
      </c>
      <c r="H14" s="6">
        <v>6.0069999999999997</v>
      </c>
      <c r="I14" s="6">
        <v>7.5359999999999996</v>
      </c>
      <c r="J14" s="6">
        <v>5.7770000000000001</v>
      </c>
      <c r="K14" s="6">
        <v>7.47</v>
      </c>
      <c r="L14" s="6">
        <v>7.2919999999999998</v>
      </c>
      <c r="M14" s="6">
        <v>8.984</v>
      </c>
      <c r="N14" s="6">
        <v>6.0679999999999996</v>
      </c>
      <c r="O14" s="6">
        <f>O4*0.0045</f>
        <v>7.435688579999999</v>
      </c>
      <c r="P14" s="6">
        <f t="shared" ref="P14:Q14" si="45">P4*0.0045</f>
        <v>8.1384326279999986</v>
      </c>
      <c r="Q14" s="6">
        <f t="shared" si="45"/>
        <v>8.1794111399999991</v>
      </c>
      <c r="V14" s="6">
        <f t="shared" ref="V14:V16" si="46">SUM(B14:E14)</f>
        <v>19.901</v>
      </c>
      <c r="W14" s="6">
        <f t="shared" ref="W14:W16" si="47">SUM(F14:I14)</f>
        <v>23.413999999999998</v>
      </c>
      <c r="X14" s="6">
        <f t="shared" ref="X14:X16" si="48">SUM(J14:M14)</f>
        <v>29.523000000000003</v>
      </c>
      <c r="Y14" s="6">
        <f t="shared" ref="Y14:AI14" si="49">Y4*0.0045</f>
        <v>30.331173348</v>
      </c>
      <c r="Z14" s="6">
        <f t="shared" si="49"/>
        <v>31.878063188747994</v>
      </c>
      <c r="AA14" s="6">
        <f t="shared" si="49"/>
        <v>33.503844411374139</v>
      </c>
      <c r="AB14" s="6">
        <f t="shared" si="49"/>
        <v>35.212540476354221</v>
      </c>
      <c r="AC14" s="6">
        <f t="shared" si="49"/>
        <v>37.008380040648284</v>
      </c>
      <c r="AD14" s="6">
        <f t="shared" si="49"/>
        <v>38.895807422721347</v>
      </c>
      <c r="AE14" s="6">
        <f t="shared" si="49"/>
        <v>40.879493601280132</v>
      </c>
      <c r="AF14" s="6">
        <f t="shared" si="49"/>
        <v>42.964347774945416</v>
      </c>
      <c r="AG14" s="6">
        <f t="shared" si="49"/>
        <v>45.155529511467634</v>
      </c>
      <c r="AH14" s="6">
        <f t="shared" si="49"/>
        <v>47.458461516552482</v>
      </c>
      <c r="AI14" s="6">
        <f t="shared" si="49"/>
        <v>48.644923054466283</v>
      </c>
    </row>
    <row r="15" spans="1:43" s="6" customFormat="1" x14ac:dyDescent="0.25">
      <c r="A15" s="7" t="s">
        <v>38</v>
      </c>
      <c r="B15" s="6">
        <v>1.2</v>
      </c>
      <c r="C15" s="6">
        <v>1.2529999999999999</v>
      </c>
      <c r="D15" s="6">
        <v>1.234</v>
      </c>
      <c r="E15" s="6">
        <v>1.3680000000000001</v>
      </c>
      <c r="F15" s="6">
        <v>1.347</v>
      </c>
      <c r="G15" s="6">
        <v>1.3620000000000001</v>
      </c>
      <c r="H15" s="6">
        <v>1.51</v>
      </c>
      <c r="I15" s="6">
        <v>1.5429999999999999</v>
      </c>
      <c r="J15" s="6">
        <v>1.3580000000000001</v>
      </c>
      <c r="K15" s="6">
        <v>1.472</v>
      </c>
      <c r="L15" s="6">
        <v>1.53</v>
      </c>
      <c r="M15" s="6">
        <v>1.3660000000000001</v>
      </c>
      <c r="N15" s="6">
        <v>1.546</v>
      </c>
      <c r="O15" s="6">
        <f>O4*0.0009</f>
        <v>1.4871377159999999</v>
      </c>
      <c r="P15" s="6">
        <f t="shared" ref="P15:Q15" si="50">P4*0.0009</f>
        <v>1.6276865255999999</v>
      </c>
      <c r="Q15" s="6">
        <f t="shared" si="50"/>
        <v>1.635882228</v>
      </c>
      <c r="V15" s="6">
        <f t="shared" si="46"/>
        <v>5.0549999999999997</v>
      </c>
      <c r="W15" s="6">
        <f t="shared" si="47"/>
        <v>5.7620000000000005</v>
      </c>
      <c r="X15" s="6">
        <f t="shared" si="48"/>
        <v>5.7260000000000009</v>
      </c>
      <c r="Y15" s="6">
        <f t="shared" ref="Y15:Y16" si="51">SUM(N15:Q15)</f>
        <v>6.2967064695999992</v>
      </c>
      <c r="Z15" s="6">
        <f t="shared" ref="Z15:AI15" si="52">Z4*0.0009</f>
        <v>6.3756126377495992</v>
      </c>
      <c r="AA15" s="6">
        <f t="shared" si="52"/>
        <v>6.7007688822748284</v>
      </c>
      <c r="AB15" s="6">
        <f t="shared" si="52"/>
        <v>7.0425080952708443</v>
      </c>
      <c r="AC15" s="6">
        <f t="shared" si="52"/>
        <v>7.4016760081296571</v>
      </c>
      <c r="AD15" s="6">
        <f t="shared" si="52"/>
        <v>7.7791614845442698</v>
      </c>
      <c r="AE15" s="6">
        <f t="shared" si="52"/>
        <v>8.1758987202560274</v>
      </c>
      <c r="AF15" s="6">
        <f t="shared" si="52"/>
        <v>8.5928695549890843</v>
      </c>
      <c r="AG15" s="6">
        <f t="shared" si="52"/>
        <v>9.0311059022935272</v>
      </c>
      <c r="AH15" s="6">
        <f t="shared" si="52"/>
        <v>9.4916923033104972</v>
      </c>
      <c r="AI15" s="6">
        <f t="shared" si="52"/>
        <v>9.7289846108932583</v>
      </c>
    </row>
    <row r="16" spans="1:43" s="6" customFormat="1" x14ac:dyDescent="0.25">
      <c r="A16" s="7" t="s">
        <v>39</v>
      </c>
      <c r="B16" s="6">
        <v>5.97</v>
      </c>
      <c r="C16" s="6">
        <v>7.0439999999999996</v>
      </c>
      <c r="D16" s="6">
        <v>5.4089999999999998</v>
      </c>
      <c r="E16" s="6">
        <v>5.1660000000000004</v>
      </c>
      <c r="F16" s="6">
        <v>5.1479999999999997</v>
      </c>
      <c r="G16" s="6">
        <v>14.807</v>
      </c>
      <c r="H16" s="6">
        <v>0.128</v>
      </c>
      <c r="I16" s="6">
        <v>0.71599999999999997</v>
      </c>
      <c r="J16" s="6">
        <v>1.5820000000000001</v>
      </c>
      <c r="K16" s="6">
        <v>5.4260000000000002</v>
      </c>
      <c r="L16" s="6">
        <v>4.149</v>
      </c>
      <c r="M16" s="6">
        <v>4.54</v>
      </c>
      <c r="N16" s="6">
        <v>7.0549999999999997</v>
      </c>
      <c r="O16" s="6">
        <f>O4*0.0034</f>
        <v>5.6180758159999993</v>
      </c>
      <c r="P16" s="6">
        <f t="shared" ref="P16:Q16" si="53">P4*0.0034</f>
        <v>6.1490379855999988</v>
      </c>
      <c r="Q16" s="6">
        <f t="shared" si="53"/>
        <v>6.1799995279999997</v>
      </c>
      <c r="V16" s="6">
        <f t="shared" si="46"/>
        <v>23.588999999999999</v>
      </c>
      <c r="W16" s="6">
        <f t="shared" si="47"/>
        <v>20.798999999999999</v>
      </c>
      <c r="X16" s="6">
        <f t="shared" si="48"/>
        <v>15.696999999999999</v>
      </c>
      <c r="Y16" s="6">
        <f t="shared" si="51"/>
        <v>25.002113329599997</v>
      </c>
      <c r="Z16" s="6">
        <f t="shared" ref="Z16:AI16" si="54">Z4*0.0034</f>
        <v>24.085647742609599</v>
      </c>
      <c r="AA16" s="6">
        <f t="shared" si="54"/>
        <v>25.314015777482684</v>
      </c>
      <c r="AB16" s="6">
        <f t="shared" si="54"/>
        <v>26.605030582134301</v>
      </c>
      <c r="AC16" s="6">
        <f t="shared" si="54"/>
        <v>27.961887141823148</v>
      </c>
      <c r="AD16" s="6">
        <f t="shared" si="54"/>
        <v>29.387943386056129</v>
      </c>
      <c r="AE16" s="6">
        <f t="shared" si="54"/>
        <v>30.88672849874499</v>
      </c>
      <c r="AF16" s="6">
        <f t="shared" si="54"/>
        <v>32.461951652180979</v>
      </c>
      <c r="AG16" s="6">
        <f t="shared" si="54"/>
        <v>34.117511186442215</v>
      </c>
      <c r="AH16" s="6">
        <f t="shared" si="54"/>
        <v>35.857504256950762</v>
      </c>
      <c r="AI16" s="6">
        <f t="shared" si="54"/>
        <v>36.753941863374529</v>
      </c>
    </row>
    <row r="17" spans="1:179" s="9" customFormat="1" x14ac:dyDescent="0.25">
      <c r="A17" s="8" t="s">
        <v>40</v>
      </c>
      <c r="B17" s="9">
        <f t="shared" ref="B17:N17" si="55">B14-B15+B16</f>
        <v>8.5</v>
      </c>
      <c r="C17" s="9">
        <f t="shared" si="55"/>
        <v>10.648</v>
      </c>
      <c r="D17" s="9">
        <f t="shared" si="55"/>
        <v>9.3810000000000002</v>
      </c>
      <c r="E17" s="9">
        <f t="shared" si="55"/>
        <v>9.9059999999999988</v>
      </c>
      <c r="F17" s="9">
        <f t="shared" si="55"/>
        <v>8.4359999999999999</v>
      </c>
      <c r="G17" s="9">
        <f t="shared" si="55"/>
        <v>18.681000000000001</v>
      </c>
      <c r="H17" s="9">
        <f t="shared" si="55"/>
        <v>4.625</v>
      </c>
      <c r="I17" s="9">
        <f t="shared" si="55"/>
        <v>6.7089999999999996</v>
      </c>
      <c r="J17" s="9">
        <f t="shared" si="55"/>
        <v>6.0010000000000003</v>
      </c>
      <c r="K17" s="9">
        <f t="shared" si="55"/>
        <v>11.423999999999999</v>
      </c>
      <c r="L17" s="9">
        <f t="shared" si="55"/>
        <v>9.9109999999999996</v>
      </c>
      <c r="M17" s="9">
        <f t="shared" si="55"/>
        <v>12.158000000000001</v>
      </c>
      <c r="N17" s="9">
        <f t="shared" si="55"/>
        <v>11.576999999999998</v>
      </c>
      <c r="O17" s="9">
        <f t="shared" ref="O17:Q17" si="56">O14-O15+O16</f>
        <v>11.566626679999999</v>
      </c>
      <c r="P17" s="9">
        <f t="shared" si="56"/>
        <v>12.659784087999999</v>
      </c>
      <c r="Q17" s="9">
        <f t="shared" si="56"/>
        <v>12.723528439999999</v>
      </c>
      <c r="V17" s="9">
        <f t="shared" ref="V17" si="57">V14-V15+V16</f>
        <v>38.435000000000002</v>
      </c>
      <c r="W17" s="9">
        <f t="shared" ref="W17" si="58">W14-W15+W16</f>
        <v>38.450999999999993</v>
      </c>
      <c r="X17" s="9">
        <f t="shared" ref="X17" si="59">X14-X15+X16</f>
        <v>39.494</v>
      </c>
      <c r="Y17" s="9">
        <f t="shared" ref="Y17:AI17" si="60">Y14-Y15+Y16</f>
        <v>49.036580207999997</v>
      </c>
      <c r="Z17" s="9">
        <f t="shared" si="60"/>
        <v>49.588098293607999</v>
      </c>
      <c r="AA17" s="9">
        <f t="shared" si="60"/>
        <v>52.117091306581997</v>
      </c>
      <c r="AB17" s="9">
        <f t="shared" si="60"/>
        <v>54.775062963217678</v>
      </c>
      <c r="AC17" s="9">
        <f t="shared" si="60"/>
        <v>57.568591174341776</v>
      </c>
      <c r="AD17" s="9">
        <f t="shared" si="60"/>
        <v>60.504589324233208</v>
      </c>
      <c r="AE17" s="9">
        <f t="shared" si="60"/>
        <v>63.590323379769089</v>
      </c>
      <c r="AF17" s="9">
        <f t="shared" si="60"/>
        <v>66.833429872137316</v>
      </c>
      <c r="AG17" s="9">
        <f t="shared" si="60"/>
        <v>70.241934795616316</v>
      </c>
      <c r="AH17" s="9">
        <f t="shared" si="60"/>
        <v>73.82427347019275</v>
      </c>
      <c r="AI17" s="9">
        <f t="shared" si="60"/>
        <v>75.669880306947562</v>
      </c>
    </row>
    <row r="18" spans="1:179" s="31" customFormat="1" x14ac:dyDescent="0.25">
      <c r="A18" s="34" t="s">
        <v>41</v>
      </c>
      <c r="B18" s="31">
        <f t="shared" ref="B18:N18" si="61">B17+B12</f>
        <v>123.55100000000006</v>
      </c>
      <c r="C18" s="31">
        <f t="shared" si="61"/>
        <v>173.66400000000004</v>
      </c>
      <c r="D18" s="31">
        <f t="shared" si="61"/>
        <v>174.19699999999995</v>
      </c>
      <c r="E18" s="31">
        <f t="shared" si="61"/>
        <v>223.93399999999991</v>
      </c>
      <c r="F18" s="31">
        <f t="shared" si="61"/>
        <v>178.05699999999993</v>
      </c>
      <c r="G18" s="31">
        <f t="shared" si="61"/>
        <v>282.87</v>
      </c>
      <c r="H18" s="31">
        <f t="shared" si="61"/>
        <v>326.22899999999993</v>
      </c>
      <c r="I18" s="31">
        <f t="shared" si="61"/>
        <v>284.90999999999997</v>
      </c>
      <c r="J18" s="31">
        <f t="shared" si="61"/>
        <v>162.20000000000013</v>
      </c>
      <c r="K18" s="31">
        <f t="shared" si="61"/>
        <v>214.94200000000004</v>
      </c>
      <c r="L18" s="31">
        <f t="shared" si="61"/>
        <v>194.53299999999993</v>
      </c>
      <c r="M18" s="31">
        <f t="shared" si="61"/>
        <v>199.60199999999998</v>
      </c>
      <c r="N18" s="31">
        <f t="shared" si="61"/>
        <v>174.66500000000008</v>
      </c>
      <c r="O18" s="31">
        <f t="shared" ref="O18:Q18" si="62">O17+O12</f>
        <v>180.55862812907083</v>
      </c>
      <c r="P18" s="31">
        <f t="shared" si="62"/>
        <v>208.89464822625149</v>
      </c>
      <c r="Q18" s="31">
        <f t="shared" si="62"/>
        <v>198.56181984064204</v>
      </c>
      <c r="V18" s="31">
        <f>SUM(B18:E18)</f>
        <v>695.346</v>
      </c>
      <c r="W18" s="31">
        <f>SUM(F18:I18)</f>
        <v>1072.0659999999998</v>
      </c>
      <c r="X18" s="31">
        <f>SUM(J18:M18)</f>
        <v>771.27700000000004</v>
      </c>
      <c r="Y18" s="31">
        <f t="shared" ref="Y18:AI18" si="63">Y17+Y12</f>
        <v>763.18973719596454</v>
      </c>
      <c r="Z18" s="31">
        <f t="shared" si="63"/>
        <v>788.33684483855905</v>
      </c>
      <c r="AA18" s="31">
        <f t="shared" si="63"/>
        <v>828.54202392532511</v>
      </c>
      <c r="AB18" s="31">
        <f t="shared" si="63"/>
        <v>870.79766714551704</v>
      </c>
      <c r="AC18" s="31">
        <f t="shared" si="63"/>
        <v>915.20834816993806</v>
      </c>
      <c r="AD18" s="31">
        <f t="shared" si="63"/>
        <v>961.88397392660568</v>
      </c>
      <c r="AE18" s="31">
        <f t="shared" si="63"/>
        <v>1010.940056596862</v>
      </c>
      <c r="AF18" s="31">
        <f t="shared" si="63"/>
        <v>1062.4979994833016</v>
      </c>
      <c r="AG18" s="31">
        <f t="shared" si="63"/>
        <v>1116.6853974569501</v>
      </c>
      <c r="AH18" s="31">
        <f t="shared" si="63"/>
        <v>1173.636352727254</v>
      </c>
      <c r="AI18" s="31">
        <f t="shared" si="63"/>
        <v>1202.9772615454362</v>
      </c>
    </row>
    <row r="19" spans="1:179" s="6" customFormat="1" x14ac:dyDescent="0.25">
      <c r="A19" s="7" t="s">
        <v>42</v>
      </c>
      <c r="B19" s="6">
        <v>26.5</v>
      </c>
      <c r="C19" s="6">
        <v>30.3</v>
      </c>
      <c r="D19" s="6">
        <v>24.1</v>
      </c>
      <c r="E19" s="6">
        <v>49.7</v>
      </c>
      <c r="F19" s="6">
        <v>43.8</v>
      </c>
      <c r="G19" s="6">
        <v>72.2</v>
      </c>
      <c r="H19" s="6">
        <v>70.900000000000006</v>
      </c>
      <c r="I19" s="6">
        <v>68.5</v>
      </c>
      <c r="J19" s="6">
        <v>36.700000000000003</v>
      </c>
      <c r="K19" s="6">
        <v>50.5</v>
      </c>
      <c r="L19" s="6">
        <v>44.6</v>
      </c>
      <c r="M19" s="6">
        <v>49.3</v>
      </c>
      <c r="N19" s="6">
        <v>36</v>
      </c>
      <c r="O19" s="6">
        <f>O18*0.2194</f>
        <v>39.614563011518143</v>
      </c>
      <c r="P19" s="6">
        <f t="shared" ref="P19:Q19" si="64">P18*0.2194</f>
        <v>45.831485820839582</v>
      </c>
      <c r="Q19" s="6">
        <f t="shared" si="64"/>
        <v>43.564463273036864</v>
      </c>
      <c r="V19" s="6">
        <f>SUM(B19:E19)</f>
        <v>130.60000000000002</v>
      </c>
      <c r="W19" s="6">
        <f t="shared" ref="W19" si="65">SUM(F19:I19)</f>
        <v>255.4</v>
      </c>
      <c r="X19" s="6">
        <f>SUM(J19:M19)</f>
        <v>181.10000000000002</v>
      </c>
      <c r="Y19" s="6">
        <f t="shared" ref="Y19" si="66">Y18*0.23</f>
        <v>175.53363955507186</v>
      </c>
      <c r="Z19" s="6">
        <f t="shared" ref="Z19:AC19" si="67">Z18*0.2194</f>
        <v>172.96110375757988</v>
      </c>
      <c r="AA19" s="6">
        <f t="shared" si="67"/>
        <v>181.78212004921633</v>
      </c>
      <c r="AB19" s="6">
        <f t="shared" si="67"/>
        <v>191.05300817172645</v>
      </c>
      <c r="AC19" s="6">
        <f t="shared" si="67"/>
        <v>200.79671158848441</v>
      </c>
      <c r="AD19" s="6">
        <f t="shared" ref="AD19" si="68">AD18*0.2194</f>
        <v>211.03734387949729</v>
      </c>
      <c r="AE19" s="6">
        <f t="shared" ref="AE19" si="69">AE18*0.2194</f>
        <v>221.80024841735153</v>
      </c>
      <c r="AF19" s="6">
        <f t="shared" ref="AF19" si="70">AF18*0.2194</f>
        <v>233.11206108663637</v>
      </c>
      <c r="AG19" s="6">
        <f t="shared" ref="AG19" si="71">AG18*0.2194</f>
        <v>245.00077620205488</v>
      </c>
      <c r="AH19" s="6">
        <f t="shared" ref="AH19" si="72">AH18*0.2194</f>
        <v>257.49581578835955</v>
      </c>
      <c r="AI19" s="6">
        <f t="shared" ref="AI19" si="73">AI18*0.2194</f>
        <v>263.93321118306875</v>
      </c>
    </row>
    <row r="20" spans="1:179" s="36" customFormat="1" x14ac:dyDescent="0.25">
      <c r="A20" s="35" t="s">
        <v>43</v>
      </c>
      <c r="B20" s="31">
        <f t="shared" ref="B20:N20" si="74">B18-B19</f>
        <v>97.051000000000059</v>
      </c>
      <c r="C20" s="31">
        <f t="shared" si="74"/>
        <v>143.36400000000003</v>
      </c>
      <c r="D20" s="31">
        <f t="shared" si="74"/>
        <v>150.09699999999995</v>
      </c>
      <c r="E20" s="31">
        <f t="shared" si="74"/>
        <v>174.23399999999992</v>
      </c>
      <c r="F20" s="31">
        <f t="shared" si="74"/>
        <v>134.25699999999995</v>
      </c>
      <c r="G20" s="31">
        <f t="shared" si="74"/>
        <v>210.67000000000002</v>
      </c>
      <c r="H20" s="31">
        <f t="shared" si="74"/>
        <v>255.32899999999992</v>
      </c>
      <c r="I20" s="31">
        <f t="shared" si="74"/>
        <v>216.40999999999997</v>
      </c>
      <c r="J20" s="31">
        <f t="shared" si="74"/>
        <v>125.50000000000013</v>
      </c>
      <c r="K20" s="31">
        <f t="shared" si="74"/>
        <v>164.44200000000004</v>
      </c>
      <c r="L20" s="31">
        <f t="shared" si="74"/>
        <v>149.93299999999994</v>
      </c>
      <c r="M20" s="31">
        <f t="shared" si="74"/>
        <v>150.30199999999996</v>
      </c>
      <c r="N20" s="31">
        <f t="shared" si="74"/>
        <v>138.66500000000008</v>
      </c>
      <c r="O20" s="31">
        <f t="shared" ref="O20:Q20" si="75">O18-O19</f>
        <v>140.94406511755267</v>
      </c>
      <c r="P20" s="31">
        <f t="shared" si="75"/>
        <v>163.0631624054119</v>
      </c>
      <c r="Q20" s="31">
        <f t="shared" si="75"/>
        <v>154.99735656760518</v>
      </c>
      <c r="V20" s="31">
        <f>SUM(B20:E20)</f>
        <v>564.74599999999998</v>
      </c>
      <c r="W20" s="31">
        <f>SUM(F20:I20)</f>
        <v>816.66599999999983</v>
      </c>
      <c r="X20" s="31">
        <f>SUM(J20:M20)</f>
        <v>590.17700000000013</v>
      </c>
      <c r="Y20" s="31">
        <f t="shared" ref="Y20:AI20" si="76">Y18-Y19</f>
        <v>587.65609764089265</v>
      </c>
      <c r="Z20" s="31">
        <f t="shared" si="76"/>
        <v>615.3757410809792</v>
      </c>
      <c r="AA20" s="31">
        <f t="shared" si="76"/>
        <v>646.75990387610875</v>
      </c>
      <c r="AB20" s="31">
        <f t="shared" si="76"/>
        <v>679.74465897379059</v>
      </c>
      <c r="AC20" s="31">
        <f t="shared" si="76"/>
        <v>714.41163658145365</v>
      </c>
      <c r="AD20" s="31">
        <f t="shared" si="76"/>
        <v>750.84663004710842</v>
      </c>
      <c r="AE20" s="31">
        <f t="shared" si="76"/>
        <v>789.1398081795104</v>
      </c>
      <c r="AF20" s="31">
        <f t="shared" si="76"/>
        <v>829.38593839666521</v>
      </c>
      <c r="AG20" s="31">
        <f t="shared" si="76"/>
        <v>871.68462125489521</v>
      </c>
      <c r="AH20" s="31">
        <f t="shared" si="76"/>
        <v>916.14053693889446</v>
      </c>
      <c r="AI20" s="31">
        <f t="shared" si="76"/>
        <v>939.04405036236744</v>
      </c>
      <c r="AJ20" s="58">
        <f>AI20*(1+$AL$21)</f>
        <v>929.65360985874372</v>
      </c>
      <c r="AK20" s="58">
        <f t="shared" ref="AK20:CV20" si="77">AJ20*(1+$AL$21)</f>
        <v>920.35707376015625</v>
      </c>
      <c r="AL20" s="58">
        <f t="shared" si="77"/>
        <v>911.15350302255467</v>
      </c>
      <c r="AM20" s="58">
        <f t="shared" si="77"/>
        <v>902.04196799232909</v>
      </c>
      <c r="AN20" s="58">
        <f t="shared" si="77"/>
        <v>893.0215483124058</v>
      </c>
      <c r="AO20" s="58">
        <f t="shared" si="77"/>
        <v>884.09133282928178</v>
      </c>
      <c r="AP20" s="58">
        <f t="shared" si="77"/>
        <v>875.25041950098898</v>
      </c>
      <c r="AQ20" s="58">
        <f t="shared" si="77"/>
        <v>866.49791530597906</v>
      </c>
      <c r="AR20" s="58">
        <f t="shared" si="77"/>
        <v>857.83293615291927</v>
      </c>
      <c r="AS20" s="58">
        <f t="shared" si="77"/>
        <v>849.25460679139007</v>
      </c>
      <c r="AT20" s="58">
        <f t="shared" si="77"/>
        <v>840.76206072347611</v>
      </c>
      <c r="AU20" s="58">
        <f t="shared" si="77"/>
        <v>832.35444011624134</v>
      </c>
      <c r="AV20" s="58">
        <f t="shared" si="77"/>
        <v>824.03089571507894</v>
      </c>
      <c r="AW20" s="58">
        <f t="shared" si="77"/>
        <v>815.79058675792817</v>
      </c>
      <c r="AX20" s="58">
        <f t="shared" si="77"/>
        <v>807.63268089034887</v>
      </c>
      <c r="AY20" s="58">
        <f t="shared" si="77"/>
        <v>799.55635408144542</v>
      </c>
      <c r="AZ20" s="58">
        <f t="shared" si="77"/>
        <v>791.56079054063093</v>
      </c>
      <c r="BA20" s="58">
        <f t="shared" si="77"/>
        <v>783.64518263522461</v>
      </c>
      <c r="BB20" s="58">
        <f t="shared" si="77"/>
        <v>775.80873080887238</v>
      </c>
      <c r="BC20" s="58">
        <f t="shared" si="77"/>
        <v>768.05064350078362</v>
      </c>
      <c r="BD20" s="58">
        <f t="shared" si="77"/>
        <v>760.37013706577579</v>
      </c>
      <c r="BE20" s="58">
        <f t="shared" si="77"/>
        <v>752.76643569511805</v>
      </c>
      <c r="BF20" s="58">
        <f t="shared" si="77"/>
        <v>745.23877133816688</v>
      </c>
      <c r="BG20" s="58">
        <f t="shared" si="77"/>
        <v>737.78638362478523</v>
      </c>
      <c r="BH20" s="58">
        <f t="shared" si="77"/>
        <v>730.40851978853732</v>
      </c>
      <c r="BI20" s="58">
        <f t="shared" si="77"/>
        <v>723.10443459065198</v>
      </c>
      <c r="BJ20" s="58">
        <f t="shared" si="77"/>
        <v>715.87339024474545</v>
      </c>
      <c r="BK20" s="58">
        <f t="shared" si="77"/>
        <v>708.71465634229799</v>
      </c>
      <c r="BL20" s="58">
        <f t="shared" si="77"/>
        <v>701.62750977887504</v>
      </c>
      <c r="BM20" s="58">
        <f t="shared" si="77"/>
        <v>694.61123468108633</v>
      </c>
      <c r="BN20" s="58">
        <f t="shared" si="77"/>
        <v>687.66512233427545</v>
      </c>
      <c r="BO20" s="58">
        <f t="shared" si="77"/>
        <v>680.78847111093273</v>
      </c>
      <c r="BP20" s="58">
        <f t="shared" si="77"/>
        <v>673.98058639982344</v>
      </c>
      <c r="BQ20" s="58">
        <f t="shared" si="77"/>
        <v>667.24078053582525</v>
      </c>
      <c r="BR20" s="58">
        <f t="shared" si="77"/>
        <v>660.56837273046699</v>
      </c>
      <c r="BS20" s="58">
        <f t="shared" si="77"/>
        <v>653.96268900316227</v>
      </c>
      <c r="BT20" s="58">
        <f t="shared" si="77"/>
        <v>647.42306211313064</v>
      </c>
      <c r="BU20" s="58">
        <f t="shared" si="77"/>
        <v>640.94883149199927</v>
      </c>
      <c r="BV20" s="58">
        <f t="shared" si="77"/>
        <v>634.53934317707922</v>
      </c>
      <c r="BW20" s="58">
        <f t="shared" si="77"/>
        <v>628.19394974530837</v>
      </c>
      <c r="BX20" s="58">
        <f t="shared" si="77"/>
        <v>621.91201024785528</v>
      </c>
      <c r="BY20" s="58">
        <f t="shared" si="77"/>
        <v>615.69289014537674</v>
      </c>
      <c r="BZ20" s="58">
        <f t="shared" si="77"/>
        <v>609.535961243923</v>
      </c>
      <c r="CA20" s="58">
        <f t="shared" si="77"/>
        <v>603.44060163148379</v>
      </c>
      <c r="CB20" s="58">
        <f t="shared" si="77"/>
        <v>597.40619561516894</v>
      </c>
      <c r="CC20" s="58">
        <f t="shared" si="77"/>
        <v>591.43213365901727</v>
      </c>
      <c r="CD20" s="58">
        <f t="shared" si="77"/>
        <v>585.51781232242706</v>
      </c>
      <c r="CE20" s="58">
        <f t="shared" si="77"/>
        <v>579.66263419920278</v>
      </c>
      <c r="CF20" s="58">
        <f t="shared" si="77"/>
        <v>573.86600785721078</v>
      </c>
      <c r="CG20" s="58">
        <f t="shared" si="77"/>
        <v>568.12734777863864</v>
      </c>
      <c r="CH20" s="58">
        <f t="shared" si="77"/>
        <v>562.44607430085227</v>
      </c>
      <c r="CI20" s="58">
        <f t="shared" si="77"/>
        <v>556.82161355784376</v>
      </c>
      <c r="CJ20" s="58">
        <f t="shared" si="77"/>
        <v>551.25339742226527</v>
      </c>
      <c r="CK20" s="58">
        <f t="shared" si="77"/>
        <v>545.74086344804266</v>
      </c>
      <c r="CL20" s="58">
        <f t="shared" si="77"/>
        <v>540.28345481356223</v>
      </c>
      <c r="CM20" s="58">
        <f t="shared" si="77"/>
        <v>534.88062026542661</v>
      </c>
      <c r="CN20" s="58">
        <f t="shared" si="77"/>
        <v>529.53181406277236</v>
      </c>
      <c r="CO20" s="58">
        <f t="shared" si="77"/>
        <v>524.23649592214463</v>
      </c>
      <c r="CP20" s="58">
        <f t="shared" si="77"/>
        <v>518.99413096292312</v>
      </c>
      <c r="CQ20" s="58">
        <f t="shared" si="77"/>
        <v>513.80418965329386</v>
      </c>
      <c r="CR20" s="58">
        <f t="shared" si="77"/>
        <v>508.66614775676089</v>
      </c>
      <c r="CS20" s="58">
        <f t="shared" si="77"/>
        <v>503.5794862791933</v>
      </c>
      <c r="CT20" s="58">
        <f t="shared" si="77"/>
        <v>498.54369141640137</v>
      </c>
      <c r="CU20" s="58">
        <f t="shared" si="77"/>
        <v>493.55825450223733</v>
      </c>
      <c r="CV20" s="58">
        <f t="shared" si="77"/>
        <v>488.62267195721495</v>
      </c>
      <c r="CW20" s="58">
        <f t="shared" ref="CW20:FH20" si="78">CV20*(1+$AL$21)</f>
        <v>483.73644523764278</v>
      </c>
      <c r="CX20" s="58">
        <f t="shared" si="78"/>
        <v>478.89908078526634</v>
      </c>
      <c r="CY20" s="58">
        <f t="shared" si="78"/>
        <v>474.11008997741368</v>
      </c>
      <c r="CZ20" s="58">
        <f t="shared" si="78"/>
        <v>469.36898907763953</v>
      </c>
      <c r="DA20" s="58">
        <f t="shared" si="78"/>
        <v>464.67529918686313</v>
      </c>
      <c r="DB20" s="58">
        <f t="shared" si="78"/>
        <v>460.02854619499448</v>
      </c>
      <c r="DC20" s="58">
        <f t="shared" si="78"/>
        <v>455.42826073304451</v>
      </c>
      <c r="DD20" s="58">
        <f t="shared" si="78"/>
        <v>450.87397812571407</v>
      </c>
      <c r="DE20" s="58">
        <f t="shared" si="78"/>
        <v>446.36523834445694</v>
      </c>
      <c r="DF20" s="58">
        <f t="shared" si="78"/>
        <v>441.90158596101236</v>
      </c>
      <c r="DG20" s="58">
        <f t="shared" si="78"/>
        <v>437.48257010140225</v>
      </c>
      <c r="DH20" s="58">
        <f t="shared" si="78"/>
        <v>433.10774440038824</v>
      </c>
      <c r="DI20" s="58">
        <f t="shared" si="78"/>
        <v>428.77666695638436</v>
      </c>
      <c r="DJ20" s="58">
        <f t="shared" si="78"/>
        <v>424.48890028682052</v>
      </c>
      <c r="DK20" s="58">
        <f t="shared" si="78"/>
        <v>420.24401128395232</v>
      </c>
      <c r="DL20" s="58">
        <f t="shared" si="78"/>
        <v>416.04157117111276</v>
      </c>
      <c r="DM20" s="58">
        <f t="shared" si="78"/>
        <v>411.88115545940161</v>
      </c>
      <c r="DN20" s="58">
        <f t="shared" si="78"/>
        <v>407.76234390480761</v>
      </c>
      <c r="DO20" s="58">
        <f t="shared" si="78"/>
        <v>403.68472046575954</v>
      </c>
      <c r="DP20" s="58">
        <f t="shared" si="78"/>
        <v>399.64787326110195</v>
      </c>
      <c r="DQ20" s="58">
        <f t="shared" si="78"/>
        <v>395.65139452849093</v>
      </c>
      <c r="DR20" s="58">
        <f t="shared" si="78"/>
        <v>391.69488058320599</v>
      </c>
      <c r="DS20" s="58">
        <f t="shared" si="78"/>
        <v>387.77793177737391</v>
      </c>
      <c r="DT20" s="58">
        <f t="shared" si="78"/>
        <v>383.90015245960018</v>
      </c>
      <c r="DU20" s="58">
        <f t="shared" si="78"/>
        <v>380.06115093500415</v>
      </c>
      <c r="DV20" s="58">
        <f t="shared" si="78"/>
        <v>376.26053942565409</v>
      </c>
      <c r="DW20" s="58">
        <f t="shared" si="78"/>
        <v>372.49793403139756</v>
      </c>
      <c r="DX20" s="58">
        <f t="shared" si="78"/>
        <v>368.77295469108361</v>
      </c>
      <c r="DY20" s="58">
        <f t="shared" si="78"/>
        <v>365.0852251441728</v>
      </c>
      <c r="DZ20" s="58">
        <f t="shared" si="78"/>
        <v>361.43437289273106</v>
      </c>
      <c r="EA20" s="58">
        <f t="shared" si="78"/>
        <v>357.82002916380372</v>
      </c>
      <c r="EB20" s="58">
        <f t="shared" si="78"/>
        <v>354.24182887216568</v>
      </c>
      <c r="EC20" s="58">
        <f t="shared" si="78"/>
        <v>350.69941058344403</v>
      </c>
      <c r="ED20" s="58">
        <f t="shared" si="78"/>
        <v>347.19241647760958</v>
      </c>
      <c r="EE20" s="58">
        <f t="shared" si="78"/>
        <v>343.72049231283347</v>
      </c>
      <c r="EF20" s="58">
        <f t="shared" si="78"/>
        <v>340.28328738970515</v>
      </c>
      <c r="EG20" s="58">
        <f t="shared" si="78"/>
        <v>336.88045451580808</v>
      </c>
      <c r="EH20" s="58">
        <f t="shared" si="78"/>
        <v>333.51164997065001</v>
      </c>
      <c r="EI20" s="58">
        <f t="shared" si="78"/>
        <v>330.17653347094353</v>
      </c>
      <c r="EJ20" s="58">
        <f t="shared" si="78"/>
        <v>326.87476813623408</v>
      </c>
      <c r="EK20" s="58">
        <f t="shared" si="78"/>
        <v>323.60602045487173</v>
      </c>
      <c r="EL20" s="58">
        <f t="shared" si="78"/>
        <v>320.369960250323</v>
      </c>
      <c r="EM20" s="58">
        <f t="shared" si="78"/>
        <v>317.1662606478198</v>
      </c>
      <c r="EN20" s="58">
        <f t="shared" si="78"/>
        <v>313.99459804134159</v>
      </c>
      <c r="EO20" s="58">
        <f t="shared" si="78"/>
        <v>310.85465206092817</v>
      </c>
      <c r="EP20" s="58">
        <f t="shared" si="78"/>
        <v>307.74610554031887</v>
      </c>
      <c r="EQ20" s="58">
        <f t="shared" si="78"/>
        <v>304.66864448491566</v>
      </c>
      <c r="ER20" s="58">
        <f t="shared" si="78"/>
        <v>301.62195804006649</v>
      </c>
      <c r="ES20" s="58">
        <f t="shared" si="78"/>
        <v>298.60573845966582</v>
      </c>
      <c r="ET20" s="58">
        <f t="shared" si="78"/>
        <v>295.61968107506914</v>
      </c>
      <c r="EU20" s="58">
        <f t="shared" si="78"/>
        <v>292.66348426431847</v>
      </c>
      <c r="EV20" s="58">
        <f t="shared" si="78"/>
        <v>289.73684942167529</v>
      </c>
      <c r="EW20" s="58">
        <f t="shared" si="78"/>
        <v>286.83948092745851</v>
      </c>
      <c r="EX20" s="58">
        <f t="shared" si="78"/>
        <v>283.97108611818391</v>
      </c>
      <c r="EY20" s="58">
        <f t="shared" si="78"/>
        <v>281.13137525700205</v>
      </c>
      <c r="EZ20" s="58">
        <f t="shared" si="78"/>
        <v>278.32006150443203</v>
      </c>
      <c r="FA20" s="58">
        <f t="shared" si="78"/>
        <v>275.5368608893877</v>
      </c>
      <c r="FB20" s="58">
        <f t="shared" si="78"/>
        <v>272.78149228049381</v>
      </c>
      <c r="FC20" s="58">
        <f t="shared" si="78"/>
        <v>270.05367735768885</v>
      </c>
      <c r="FD20" s="58">
        <f t="shared" si="78"/>
        <v>267.35314058411194</v>
      </c>
      <c r="FE20" s="58">
        <f t="shared" si="78"/>
        <v>264.67960917827082</v>
      </c>
      <c r="FF20" s="58">
        <f t="shared" si="78"/>
        <v>262.03281308648809</v>
      </c>
      <c r="FG20" s="58">
        <f t="shared" si="78"/>
        <v>259.4124849556232</v>
      </c>
      <c r="FH20" s="58">
        <f t="shared" si="78"/>
        <v>256.81836010606696</v>
      </c>
      <c r="FI20" s="58">
        <f t="shared" ref="FI20:FW20" si="79">FH20*(1+$AL$21)</f>
        <v>254.25017650500629</v>
      </c>
      <c r="FJ20" s="58">
        <f t="shared" si="79"/>
        <v>251.70767473995622</v>
      </c>
      <c r="FK20" s="58">
        <f t="shared" si="79"/>
        <v>249.19059799255666</v>
      </c>
      <c r="FL20" s="58">
        <f t="shared" si="79"/>
        <v>246.69869201263108</v>
      </c>
      <c r="FM20" s="58">
        <f t="shared" si="79"/>
        <v>244.23170509250477</v>
      </c>
      <c r="FN20" s="58">
        <f t="shared" si="79"/>
        <v>241.78938804157971</v>
      </c>
      <c r="FO20" s="58">
        <f t="shared" si="79"/>
        <v>239.37149416116392</v>
      </c>
      <c r="FP20" s="58">
        <f t="shared" si="79"/>
        <v>236.97777921955227</v>
      </c>
      <c r="FQ20" s="58">
        <f t="shared" si="79"/>
        <v>234.60800142735675</v>
      </c>
      <c r="FR20" s="58">
        <f t="shared" si="79"/>
        <v>232.26192141308317</v>
      </c>
      <c r="FS20" s="58">
        <f t="shared" si="79"/>
        <v>229.93930219895233</v>
      </c>
      <c r="FT20" s="58">
        <f t="shared" si="79"/>
        <v>227.63990917696282</v>
      </c>
      <c r="FU20" s="58">
        <f t="shared" si="79"/>
        <v>225.36351008519318</v>
      </c>
      <c r="FV20" s="58">
        <f t="shared" si="79"/>
        <v>223.10987498434125</v>
      </c>
      <c r="FW20" s="58">
        <f t="shared" si="79"/>
        <v>220.87877623449782</v>
      </c>
    </row>
    <row r="21" spans="1:179" x14ac:dyDescent="0.25">
      <c r="A21" s="10" t="s">
        <v>44</v>
      </c>
      <c r="B21" s="11">
        <f t="shared" ref="B21:N21" si="80">B20/B22</f>
        <v>1.0226336364498494</v>
      </c>
      <c r="C21" s="11">
        <f t="shared" si="80"/>
        <v>1.5030981662630141</v>
      </c>
      <c r="D21" s="11">
        <f t="shared" si="80"/>
        <v>1.6093776805627034</v>
      </c>
      <c r="E21" s="11">
        <f t="shared" si="80"/>
        <v>1.9188766519823781</v>
      </c>
      <c r="F21" s="11">
        <f t="shared" si="80"/>
        <v>1.4742661996112747</v>
      </c>
      <c r="G21" s="11">
        <f t="shared" si="80"/>
        <v>2.3325878028256346</v>
      </c>
      <c r="H21" s="11">
        <f t="shared" si="80"/>
        <v>2.8734821117075744</v>
      </c>
      <c r="I21" s="11">
        <f t="shared" si="80"/>
        <v>2.4829050022946304</v>
      </c>
      <c r="J21" s="11">
        <f t="shared" si="80"/>
        <v>1.4593871736728894</v>
      </c>
      <c r="K21" s="11">
        <f t="shared" si="80"/>
        <v>1.9505373283040357</v>
      </c>
      <c r="L21" s="11">
        <f t="shared" si="80"/>
        <v>1.8122733645989453</v>
      </c>
      <c r="M21" s="11">
        <f t="shared" si="80"/>
        <v>1.8668504924792881</v>
      </c>
      <c r="N21" s="11">
        <f t="shared" si="80"/>
        <v>1.7717596851681499</v>
      </c>
      <c r="O21" s="11">
        <f t="shared" ref="O21:Q21" si="81">O20/O22</f>
        <v>1.8008799079724098</v>
      </c>
      <c r="P21" s="11">
        <f t="shared" si="81"/>
        <v>2.0835015128975254</v>
      </c>
      <c r="Q21" s="11">
        <f t="shared" si="81"/>
        <v>1.9804425606614176</v>
      </c>
      <c r="V21" s="13">
        <f>SUM(B21:E21)</f>
        <v>6.0539861352579454</v>
      </c>
      <c r="W21" s="13">
        <f t="shared" ref="W21" si="82">SUM(F21:I21)</f>
        <v>9.1632411164391137</v>
      </c>
      <c r="X21" s="13">
        <f>SUM(J21:M21)</f>
        <v>7.0890483590551581</v>
      </c>
      <c r="Y21" s="11">
        <f t="shared" ref="Y21:AI21" si="83">Y20/Y22</f>
        <v>7.5086386798642124</v>
      </c>
      <c r="Z21" s="11">
        <f t="shared" si="83"/>
        <v>7.9918927413114185</v>
      </c>
      <c r="AA21" s="11">
        <f t="shared" si="83"/>
        <v>8.5099987352119566</v>
      </c>
      <c r="AB21" s="11">
        <f t="shared" si="83"/>
        <v>9.0632621196505418</v>
      </c>
      <c r="AC21" s="11">
        <f t="shared" si="83"/>
        <v>9.6542113051547798</v>
      </c>
      <c r="AD21" s="11">
        <f t="shared" si="83"/>
        <v>10.285570274617923</v>
      </c>
      <c r="AE21" s="11">
        <f t="shared" si="83"/>
        <v>10.960275113604311</v>
      </c>
      <c r="AF21" s="11">
        <f t="shared" si="83"/>
        <v>11.681492090093876</v>
      </c>
      <c r="AG21" s="11">
        <f t="shared" si="83"/>
        <v>12.452637446498503</v>
      </c>
      <c r="AH21" s="11">
        <f t="shared" si="83"/>
        <v>13.08772195626992</v>
      </c>
      <c r="AI21" s="11">
        <f t="shared" si="83"/>
        <v>13.414915005176677</v>
      </c>
      <c r="AK21" s="12" t="s">
        <v>80</v>
      </c>
      <c r="AL21" s="56">
        <v>-0.01</v>
      </c>
    </row>
    <row r="22" spans="1:179" x14ac:dyDescent="0.25">
      <c r="A22" s="10" t="s">
        <v>1</v>
      </c>
      <c r="B22" s="14">
        <v>94.903000000000006</v>
      </c>
      <c r="C22" s="14">
        <v>95.379000000000005</v>
      </c>
      <c r="D22" s="14">
        <v>93.263999999999996</v>
      </c>
      <c r="E22" s="14">
        <v>90.8</v>
      </c>
      <c r="F22" s="14">
        <v>91.066999999999993</v>
      </c>
      <c r="G22" s="14">
        <v>90.316000000000003</v>
      </c>
      <c r="H22" s="14">
        <v>88.856999999999999</v>
      </c>
      <c r="I22" s="14">
        <v>87.16</v>
      </c>
      <c r="J22" s="14">
        <v>85.995000000000005</v>
      </c>
      <c r="K22" s="14">
        <v>84.305999999999997</v>
      </c>
      <c r="L22" s="14">
        <v>82.731999999999999</v>
      </c>
      <c r="M22" s="14">
        <v>80.510999999999996</v>
      </c>
      <c r="N22" s="14">
        <v>78.263999999999996</v>
      </c>
      <c r="O22" s="14">
        <v>78.263999999999996</v>
      </c>
      <c r="P22" s="14">
        <v>78.263999999999996</v>
      </c>
      <c r="Q22" s="14">
        <v>78.263999999999996</v>
      </c>
      <c r="V22" s="14">
        <f>AVERAGE(B22:E22)</f>
        <v>93.586500000000001</v>
      </c>
      <c r="W22" s="14">
        <f>AVERAGE(F22:I22)</f>
        <v>89.35</v>
      </c>
      <c r="X22" s="14">
        <f>AVERAGE(J22:M22)</f>
        <v>83.385999999999996</v>
      </c>
      <c r="Y22" s="14">
        <v>78.263999999999996</v>
      </c>
      <c r="Z22" s="14">
        <v>77</v>
      </c>
      <c r="AA22" s="14">
        <v>76</v>
      </c>
      <c r="AB22" s="14">
        <v>75</v>
      </c>
      <c r="AC22" s="14">
        <v>74</v>
      </c>
      <c r="AD22" s="14">
        <v>73</v>
      </c>
      <c r="AE22" s="14">
        <v>72</v>
      </c>
      <c r="AF22" s="14">
        <v>71</v>
      </c>
      <c r="AG22" s="14">
        <v>70</v>
      </c>
      <c r="AH22" s="14">
        <v>70</v>
      </c>
      <c r="AI22" s="14">
        <v>70</v>
      </c>
      <c r="AK22" s="12" t="s">
        <v>81</v>
      </c>
      <c r="AL22" s="56">
        <v>7.0000000000000007E-2</v>
      </c>
    </row>
    <row r="23" spans="1:179" x14ac:dyDescent="0.25">
      <c r="A23" s="10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V23" s="14"/>
      <c r="W23" s="14"/>
      <c r="X23" s="14"/>
      <c r="AK23" s="12" t="s">
        <v>82</v>
      </c>
      <c r="AL23" s="6">
        <f>NPV(AL22,Y20:FW20)</f>
        <v>11023.871763802605</v>
      </c>
    </row>
    <row r="24" spans="1:179" x14ac:dyDescent="0.25">
      <c r="A24" s="10"/>
      <c r="AK24" s="12" t="s">
        <v>3</v>
      </c>
      <c r="AL24" s="6">
        <v>-1025</v>
      </c>
    </row>
    <row r="25" spans="1:179" s="18" customFormat="1" ht="14.4" x14ac:dyDescent="0.3">
      <c r="A25" s="15" t="s">
        <v>46</v>
      </c>
      <c r="B25" s="16"/>
      <c r="C25" s="16"/>
      <c r="D25" s="16"/>
      <c r="E25" s="16"/>
      <c r="F25" s="16">
        <f t="shared" ref="F25:M25" si="84">F3/B3-1</f>
        <v>0.2248773361314067</v>
      </c>
      <c r="G25" s="16">
        <f t="shared" si="84"/>
        <v>0.19374803940892149</v>
      </c>
      <c r="H25" s="16">
        <f t="shared" si="84"/>
        <v>0.25750970280185004</v>
      </c>
      <c r="I25" s="16">
        <f t="shared" si="84"/>
        <v>0.15808996906634309</v>
      </c>
      <c r="J25" s="16">
        <f t="shared" si="84"/>
        <v>-1.013593957478387E-2</v>
      </c>
      <c r="K25" s="16">
        <f t="shared" si="84"/>
        <v>2.6309516749977613E-2</v>
      </c>
      <c r="L25" s="16">
        <f t="shared" si="84"/>
        <v>-0.13978248084579337</v>
      </c>
      <c r="M25" s="16">
        <f t="shared" si="84"/>
        <v>-0.13713293093405765</v>
      </c>
      <c r="N25" s="16">
        <f>N3/J3-1</f>
        <v>6.028401070855316E-2</v>
      </c>
      <c r="O25" s="17">
        <f>O3/K3-1</f>
        <v>-7.1999999999999953E-2</v>
      </c>
      <c r="P25" s="16">
        <f>P3/L3-1</f>
        <v>0.14399999999999991</v>
      </c>
      <c r="Q25" s="16">
        <f>Q3/M3-1</f>
        <v>9.000000000000008E-2</v>
      </c>
      <c r="V25" s="16"/>
      <c r="W25" s="16">
        <f>W4/V4-1</f>
        <v>0.20601700710022675</v>
      </c>
      <c r="X25" s="16">
        <f>X4/W4-1</f>
        <v>-7.256246110306408E-2</v>
      </c>
      <c r="Y25" s="16">
        <f>Y4/X4-1</f>
        <v>5.6284089936760262E-2</v>
      </c>
      <c r="Z25" s="16">
        <f t="shared" ref="Z25:AI25" si="85">Z4/Y4-1</f>
        <v>5.0999999999999934E-2</v>
      </c>
      <c r="AA25" s="16">
        <f t="shared" si="85"/>
        <v>5.0999999999999934E-2</v>
      </c>
      <c r="AB25" s="16">
        <f t="shared" si="85"/>
        <v>5.0999999999999934E-2</v>
      </c>
      <c r="AC25" s="16">
        <f t="shared" si="85"/>
        <v>5.0999999999999934E-2</v>
      </c>
      <c r="AD25" s="16">
        <f t="shared" si="85"/>
        <v>5.0999999999999934E-2</v>
      </c>
      <c r="AE25" s="16">
        <f t="shared" si="85"/>
        <v>5.0999999999999934E-2</v>
      </c>
      <c r="AF25" s="16">
        <f t="shared" si="85"/>
        <v>5.0999999999999934E-2</v>
      </c>
      <c r="AG25" s="16">
        <f t="shared" si="85"/>
        <v>5.0999999999999934E-2</v>
      </c>
      <c r="AH25" s="16">
        <f t="shared" si="85"/>
        <v>5.0999999999999934E-2</v>
      </c>
      <c r="AI25" s="16">
        <f t="shared" si="85"/>
        <v>2.4999999999999911E-2</v>
      </c>
      <c r="AK25" s="18" t="s">
        <v>83</v>
      </c>
      <c r="AL25" s="57">
        <f>AL23+AL24</f>
        <v>9998.8717638026046</v>
      </c>
    </row>
    <row r="26" spans="1:179" s="21" customFormat="1" ht="14.4" x14ac:dyDescent="0.3">
      <c r="A26" s="19" t="s">
        <v>47</v>
      </c>
      <c r="B26" s="20"/>
      <c r="C26" s="20">
        <f t="shared" ref="C26:M26" si="86">C3/B3-1</f>
        <v>0.26201632949065368</v>
      </c>
      <c r="D26" s="20">
        <f t="shared" si="86"/>
        <v>1.8190121119417757E-2</v>
      </c>
      <c r="E26" s="20">
        <f t="shared" si="86"/>
        <v>0.14184153521704701</v>
      </c>
      <c r="F26" s="20">
        <f t="shared" si="86"/>
        <v>-0.16517987724436156</v>
      </c>
      <c r="G26" s="20">
        <f t="shared" si="86"/>
        <v>0.22994317438320921</v>
      </c>
      <c r="H26" s="20">
        <f t="shared" si="86"/>
        <v>7.2574709516284974E-2</v>
      </c>
      <c r="I26" s="20">
        <f t="shared" si="86"/>
        <v>5.1566620322565759E-2</v>
      </c>
      <c r="J26" s="20">
        <f t="shared" si="86"/>
        <v>-0.28644711679716284</v>
      </c>
      <c r="K26" s="20">
        <f t="shared" si="86"/>
        <v>0.27522801907659677</v>
      </c>
      <c r="L26" s="20">
        <f t="shared" si="86"/>
        <v>-0.10100457935009943</v>
      </c>
      <c r="M26" s="20">
        <f t="shared" si="86"/>
        <v>5.4805543250803002E-2</v>
      </c>
      <c r="N26" s="20">
        <f>N3/M3-1</f>
        <v>-0.12319204199791156</v>
      </c>
      <c r="O26" s="20">
        <f>O3/N3-1</f>
        <v>0.11612699026956608</v>
      </c>
      <c r="P26" s="20">
        <f>P3/O3-1</f>
        <v>0.10824435476668781</v>
      </c>
      <c r="Q26" s="20">
        <f>Q3/P3-1</f>
        <v>5.0157711043490316E-3</v>
      </c>
      <c r="AK26" s="21" t="s">
        <v>84</v>
      </c>
      <c r="AL26" s="59">
        <f>AL25/Main!L3</f>
        <v>131.71104662428786</v>
      </c>
    </row>
    <row r="27" spans="1:179" x14ac:dyDescent="0.25">
      <c r="A27" s="10"/>
      <c r="AK27" s="12" t="s">
        <v>85</v>
      </c>
      <c r="AL27" s="56">
        <f>AL26/Main!L2</f>
        <v>1.8682417960891895</v>
      </c>
    </row>
    <row r="28" spans="1:179" s="18" customFormat="1" ht="14.4" x14ac:dyDescent="0.3">
      <c r="A28" s="15" t="s">
        <v>48</v>
      </c>
      <c r="B28" s="16">
        <f t="shared" ref="B28:N28" si="87">B6/B4</f>
        <v>0.20746690708676921</v>
      </c>
      <c r="C28" s="16">
        <f t="shared" si="87"/>
        <v>0.21449129025406766</v>
      </c>
      <c r="D28" s="16">
        <f t="shared" si="87"/>
        <v>0.21496330792340898</v>
      </c>
      <c r="E28" s="16">
        <f t="shared" si="87"/>
        <v>0.12846341419575932</v>
      </c>
      <c r="F28" s="16">
        <f t="shared" si="87"/>
        <v>0.22382175857186504</v>
      </c>
      <c r="G28" s="16">
        <f t="shared" si="87"/>
        <v>0.25254690563357451</v>
      </c>
      <c r="H28" s="16">
        <f t="shared" si="87"/>
        <v>0.26556701658828596</v>
      </c>
      <c r="I28" s="16">
        <f t="shared" si="87"/>
        <v>0.14398078338147491</v>
      </c>
      <c r="J28" s="16">
        <f t="shared" si="87"/>
        <v>0.2145143728459955</v>
      </c>
      <c r="K28" s="16">
        <f t="shared" si="87"/>
        <v>0.21121759243983831</v>
      </c>
      <c r="L28" s="16">
        <f t="shared" si="87"/>
        <v>0.21480972248861976</v>
      </c>
      <c r="M28" s="16">
        <f t="shared" si="87"/>
        <v>0.10865079002813206</v>
      </c>
      <c r="N28" s="16">
        <f t="shared" si="87"/>
        <v>0.2156190950524664</v>
      </c>
      <c r="O28" s="16">
        <f t="shared" ref="O28:Q28" si="88">O6/O4</f>
        <v>0.20120000000000005</v>
      </c>
      <c r="P28" s="16">
        <f t="shared" si="88"/>
        <v>0.20120000000000007</v>
      </c>
      <c r="Q28" s="16">
        <f t="shared" si="88"/>
        <v>0.20120000000000007</v>
      </c>
      <c r="V28" s="16">
        <f t="shared" ref="V28:W28" si="89">V6/V4</f>
        <v>0.18804233948679316</v>
      </c>
      <c r="W28" s="16">
        <f t="shared" si="89"/>
        <v>0.2197131488139723</v>
      </c>
      <c r="X28" s="16">
        <f>X6/X4</f>
        <v>0.18605661777127655</v>
      </c>
      <c r="Y28" s="16">
        <f>Y6/Y4</f>
        <v>0.20432693576710098</v>
      </c>
      <c r="Z28" s="16">
        <f t="shared" ref="Z28:AI28" si="90">Z6/Z4</f>
        <v>0.20120000000000005</v>
      </c>
      <c r="AA28" s="16">
        <f t="shared" si="90"/>
        <v>0.20120000000000002</v>
      </c>
      <c r="AB28" s="16">
        <f t="shared" si="90"/>
        <v>0.20120000000000005</v>
      </c>
      <c r="AC28" s="16">
        <f t="shared" si="90"/>
        <v>0.20120000000000002</v>
      </c>
      <c r="AD28" s="16">
        <f t="shared" si="90"/>
        <v>0.20120000000000007</v>
      </c>
      <c r="AE28" s="16">
        <f t="shared" si="90"/>
        <v>0.20120000000000005</v>
      </c>
      <c r="AF28" s="16">
        <f t="shared" si="90"/>
        <v>0.20120000000000002</v>
      </c>
      <c r="AG28" s="16">
        <f t="shared" si="90"/>
        <v>0.20120000000000005</v>
      </c>
      <c r="AH28" s="16">
        <f t="shared" si="90"/>
        <v>0.20119999999999999</v>
      </c>
      <c r="AI28" s="16">
        <f t="shared" si="90"/>
        <v>0.20120000000000007</v>
      </c>
    </row>
    <row r="29" spans="1:179" s="24" customFormat="1" ht="14.4" x14ac:dyDescent="0.3">
      <c r="A29" s="22" t="s">
        <v>49</v>
      </c>
      <c r="B29" s="23">
        <f t="shared" ref="B29:N29" si="91">B8/B3</f>
        <v>9.9930106556845824E-2</v>
      </c>
      <c r="C29" s="23">
        <f t="shared" si="91"/>
        <v>0.1130563567567868</v>
      </c>
      <c r="D29" s="23">
        <f t="shared" si="91"/>
        <v>0.11582630246567717</v>
      </c>
      <c r="E29" s="23">
        <f t="shared" si="91"/>
        <v>0.12799501909625005</v>
      </c>
      <c r="F29" s="23">
        <f t="shared" si="91"/>
        <v>0.12124657398091793</v>
      </c>
      <c r="G29" s="23">
        <f t="shared" si="91"/>
        <v>0.15375027179252843</v>
      </c>
      <c r="H29" s="23">
        <f t="shared" si="91"/>
        <v>0.17622141097460828</v>
      </c>
      <c r="I29" s="23">
        <f t="shared" si="91"/>
        <v>0.14342149348205954</v>
      </c>
      <c r="J29" s="23">
        <f t="shared" si="91"/>
        <v>0.11304443933962967</v>
      </c>
      <c r="K29" s="23">
        <f t="shared" si="91"/>
        <v>0.11448488542561218</v>
      </c>
      <c r="L29" s="23">
        <f t="shared" si="91"/>
        <v>0.11294313649999901</v>
      </c>
      <c r="M29" s="23">
        <f t="shared" si="91"/>
        <v>0.10806768029400449</v>
      </c>
      <c r="N29" s="23">
        <f t="shared" si="91"/>
        <v>0.10742584308397937</v>
      </c>
      <c r="O29" s="23">
        <f t="shared" ref="O29:Q29" si="92">O8/O3</f>
        <v>0.10096534240943951</v>
      </c>
      <c r="P29" s="23">
        <f t="shared" si="92"/>
        <v>0.10579053517913546</v>
      </c>
      <c r="Q29" s="23">
        <f t="shared" si="92"/>
        <v>9.9715980498846404E-2</v>
      </c>
      <c r="V29" s="23">
        <f t="shared" ref="V29:W29" si="93">V8/V3</f>
        <v>0.11551966574263796</v>
      </c>
      <c r="W29" s="23">
        <f t="shared" si="93"/>
        <v>0.15026835756363899</v>
      </c>
      <c r="X29" s="23">
        <f>X8/X3</f>
        <v>0.11211645534314954</v>
      </c>
      <c r="Y29" s="23">
        <f>Y8/Y3</f>
        <v>0.10333160354065325</v>
      </c>
      <c r="Z29" s="23">
        <f t="shared" ref="Z29:AI29" si="94">Z8/Z3</f>
        <v>0.10201061539997941</v>
      </c>
      <c r="AA29" s="23">
        <f t="shared" si="94"/>
        <v>0.10201061539997938</v>
      </c>
      <c r="AB29" s="23">
        <f t="shared" si="94"/>
        <v>0.10201061539997942</v>
      </c>
      <c r="AC29" s="23">
        <f t="shared" si="94"/>
        <v>0.10201061539997941</v>
      </c>
      <c r="AD29" s="23">
        <f t="shared" si="94"/>
        <v>0.10201061539997949</v>
      </c>
      <c r="AE29" s="23">
        <f t="shared" si="94"/>
        <v>0.10201061539997945</v>
      </c>
      <c r="AF29" s="23">
        <f t="shared" si="94"/>
        <v>0.10201061539997944</v>
      </c>
      <c r="AG29" s="23">
        <f t="shared" si="94"/>
        <v>0.10201061539997947</v>
      </c>
      <c r="AH29" s="23">
        <f t="shared" si="94"/>
        <v>0.10201061539997941</v>
      </c>
      <c r="AI29" s="23">
        <f t="shared" si="94"/>
        <v>0.10201061539997951</v>
      </c>
    </row>
    <row r="30" spans="1:179" s="24" customFormat="1" ht="14.4" x14ac:dyDescent="0.3">
      <c r="A30" s="22" t="s">
        <v>50</v>
      </c>
      <c r="B30" s="23">
        <f t="shared" ref="B30:N30" si="95">B20/B3</f>
        <v>8.5002864054625538E-2</v>
      </c>
      <c r="C30" s="23">
        <f t="shared" si="95"/>
        <v>9.9496700654872136E-2</v>
      </c>
      <c r="D30" s="23">
        <f t="shared" si="95"/>
        <v>0.10230849661441395</v>
      </c>
      <c r="E30" s="23">
        <f t="shared" si="95"/>
        <v>0.10400800382999496</v>
      </c>
      <c r="F30" s="23">
        <f t="shared" si="95"/>
        <v>9.6001470158149221E-2</v>
      </c>
      <c r="G30" s="23">
        <f t="shared" si="95"/>
        <v>0.12247814322972081</v>
      </c>
      <c r="H30" s="23">
        <f t="shared" si="95"/>
        <v>0.13839757818195611</v>
      </c>
      <c r="I30" s="23">
        <f t="shared" si="95"/>
        <v>0.1115498213945145</v>
      </c>
      <c r="J30" s="23">
        <f t="shared" si="95"/>
        <v>9.0658622248998511E-2</v>
      </c>
      <c r="K30" s="23">
        <f t="shared" si="95"/>
        <v>9.3151594388766676E-2</v>
      </c>
      <c r="L30" s="23">
        <f t="shared" si="95"/>
        <v>9.4475085553912319E-2</v>
      </c>
      <c r="M30" s="23">
        <f t="shared" si="95"/>
        <v>8.9786784612553946E-2</v>
      </c>
      <c r="N30" s="23">
        <f t="shared" si="95"/>
        <v>9.4473505994824833E-2</v>
      </c>
      <c r="O30" s="23">
        <f t="shared" ref="O30:Q30" si="96">O20/O3</f>
        <v>8.6035237042322257E-2</v>
      </c>
      <c r="P30" s="23">
        <f t="shared" si="96"/>
        <v>8.9815211977333526E-2</v>
      </c>
      <c r="Q30" s="23">
        <f t="shared" si="96"/>
        <v>8.4946492863180983E-2</v>
      </c>
      <c r="V30" s="23">
        <f t="shared" ref="V30:W30" si="97">V20/V3</f>
        <v>9.8646795681344573E-2</v>
      </c>
      <c r="W30" s="23">
        <f t="shared" si="97"/>
        <v>0.11829779664621125</v>
      </c>
      <c r="X30" s="23">
        <f>X20/X3</f>
        <v>9.2062260973143226E-2</v>
      </c>
      <c r="Y30" s="23">
        <f>Y20/Y3</f>
        <v>8.7109631179317262E-2</v>
      </c>
      <c r="Z30" s="23">
        <f t="shared" ref="Z30:AI30" si="98">Z20/Z3</f>
        <v>8.6792177399213785E-2</v>
      </c>
      <c r="AA30" s="23">
        <f t="shared" si="98"/>
        <v>8.6792177399213744E-2</v>
      </c>
      <c r="AB30" s="23">
        <f t="shared" si="98"/>
        <v>8.6792177399213785E-2</v>
      </c>
      <c r="AC30" s="23">
        <f t="shared" si="98"/>
        <v>8.6792177399213771E-2</v>
      </c>
      <c r="AD30" s="23">
        <f t="shared" si="98"/>
        <v>8.6792177399213855E-2</v>
      </c>
      <c r="AE30" s="23">
        <f t="shared" si="98"/>
        <v>8.6792177399213799E-2</v>
      </c>
      <c r="AF30" s="23">
        <f t="shared" si="98"/>
        <v>8.6792177399213785E-2</v>
      </c>
      <c r="AG30" s="23">
        <f t="shared" si="98"/>
        <v>8.6792177399213813E-2</v>
      </c>
      <c r="AH30" s="23">
        <f t="shared" si="98"/>
        <v>8.6792177399213771E-2</v>
      </c>
      <c r="AI30" s="23">
        <f t="shared" si="98"/>
        <v>8.6792177399213841E-2</v>
      </c>
    </row>
    <row r="31" spans="1:179" s="21" customFormat="1" ht="14.4" x14ac:dyDescent="0.3">
      <c r="A31" s="25" t="s">
        <v>51</v>
      </c>
      <c r="B31" s="37">
        <f t="shared" ref="B31:M31" si="99">B19/B18</f>
        <v>0.21448632548502228</v>
      </c>
      <c r="C31" s="37">
        <f t="shared" si="99"/>
        <v>0.17447484798231064</v>
      </c>
      <c r="D31" s="37">
        <f t="shared" si="99"/>
        <v>0.13834911048984774</v>
      </c>
      <c r="E31" s="37">
        <f t="shared" si="99"/>
        <v>0.22194039315155367</v>
      </c>
      <c r="F31" s="37">
        <f t="shared" si="99"/>
        <v>0.2459886440858827</v>
      </c>
      <c r="G31" s="37">
        <f t="shared" si="99"/>
        <v>0.25524092339237103</v>
      </c>
      <c r="H31" s="37">
        <f t="shared" si="99"/>
        <v>0.21733199684883939</v>
      </c>
      <c r="I31" s="37">
        <f t="shared" si="99"/>
        <v>0.2404268014460707</v>
      </c>
      <c r="J31" s="37">
        <f t="shared" si="99"/>
        <v>0.22626387176325508</v>
      </c>
      <c r="K31" s="37">
        <f t="shared" si="99"/>
        <v>0.234947102008914</v>
      </c>
      <c r="L31" s="37">
        <f t="shared" si="99"/>
        <v>0.22926701382284762</v>
      </c>
      <c r="M31" s="37">
        <f t="shared" si="99"/>
        <v>0.24699151311109108</v>
      </c>
      <c r="N31" s="37">
        <f>N19/N18</f>
        <v>0.20610883691638271</v>
      </c>
      <c r="O31" s="20">
        <f>O19/O18</f>
        <v>0.21940000000000001</v>
      </c>
      <c r="P31" s="20">
        <f>P19/P18</f>
        <v>0.21940000000000001</v>
      </c>
      <c r="Q31" s="20">
        <f>Q19/Q18</f>
        <v>0.21939999999999998</v>
      </c>
      <c r="Y31" s="20">
        <f>Y19/Y18</f>
        <v>0.23</v>
      </c>
      <c r="Z31" s="20">
        <f t="shared" ref="Z31:AI31" si="100">Z19/Z18</f>
        <v>0.21940000000000004</v>
      </c>
      <c r="AA31" s="20">
        <f t="shared" si="100"/>
        <v>0.21940000000000001</v>
      </c>
      <c r="AB31" s="20">
        <f t="shared" si="100"/>
        <v>0.21940000000000001</v>
      </c>
      <c r="AC31" s="20">
        <f t="shared" si="100"/>
        <v>0.21940000000000001</v>
      </c>
      <c r="AD31" s="20">
        <f t="shared" si="100"/>
        <v>0.21940000000000001</v>
      </c>
      <c r="AE31" s="20">
        <f t="shared" si="100"/>
        <v>0.21940000000000001</v>
      </c>
      <c r="AF31" s="20">
        <f t="shared" si="100"/>
        <v>0.21940000000000001</v>
      </c>
      <c r="AG31" s="20">
        <f t="shared" si="100"/>
        <v>0.21940000000000001</v>
      </c>
      <c r="AH31" s="20">
        <f t="shared" si="100"/>
        <v>0.21940000000000001</v>
      </c>
      <c r="AI31" s="20">
        <f t="shared" si="100"/>
        <v>0.21940000000000004</v>
      </c>
    </row>
  </sheetData>
  <phoneticPr fontId="1" type="noConversion"/>
  <hyperlinks>
    <hyperlink ref="A1" location="Main!A1" display="Main" xr:uid="{F11DAF57-F530-4668-9C6A-3624BEB892EC}"/>
  </hyperlinks>
  <pageMargins left="0.7" right="0.7" top="0.75" bottom="0.75" header="0.3" footer="0.3"/>
  <ignoredErrors>
    <ignoredError sqref="V3:X5 V22:X22" formulaRange="1"/>
    <ignoredError sqref="V18:X21 V13:X16 V9:X11 V7:X7" formula="1" formulaRange="1"/>
    <ignoredError sqref="V6:Y6 V8:Y8 Y7 V12:Y12 Y9:Y11 V17:Y17 Y13 Y18:Y21 Y15:Y16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Vinnublöð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Guðmundsson</dc:creator>
  <cp:lastModifiedBy>Kaupandi ehf</cp:lastModifiedBy>
  <dcterms:created xsi:type="dcterms:W3CDTF">2024-04-17T23:07:06Z</dcterms:created>
  <dcterms:modified xsi:type="dcterms:W3CDTF">2024-05-27T18:57:22Z</dcterms:modified>
</cp:coreProperties>
</file>