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c057fd7477d87051/Desktop/Kaupandi ehf/Greiningar/US/"/>
    </mc:Choice>
  </mc:AlternateContent>
  <xr:revisionPtr revIDLastSave="771" documentId="8_{32C7DF2E-BA5A-499E-BE5E-A8C9AA7575A0}" xr6:coauthVersionLast="47" xr6:coauthVersionMax="47" xr10:uidLastSave="{71CE0AB5-94D3-4A0A-A29C-30DD7EC33544}"/>
  <bookViews>
    <workbookView xWindow="-105" yWindow="0" windowWidth="14610" windowHeight="16305" xr2:uid="{8AE3CAB9-1DDD-4C7A-BCF0-E281925CF4F9}"/>
  </bookViews>
  <sheets>
    <sheet name="LCID" sheetId="2" r:id="rId1"/>
    <sheet name="Model" sheetId="1" r:id="rId2"/>
    <sheet name="Deliv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2" l="1"/>
  <c r="L5" i="2"/>
  <c r="W17" i="1"/>
  <c r="W33" i="1" s="1"/>
  <c r="V33" i="1"/>
  <c r="V32" i="1"/>
  <c r="V31" i="1"/>
  <c r="V30" i="1"/>
  <c r="W32" i="1"/>
  <c r="W31" i="1"/>
  <c r="W30" i="1"/>
  <c r="V27" i="1"/>
  <c r="W27" i="1"/>
  <c r="U4" i="1"/>
  <c r="V4" i="1"/>
  <c r="W4" i="1"/>
  <c r="V3" i="1"/>
  <c r="U20" i="1"/>
  <c r="V20" i="1"/>
  <c r="W20" i="1"/>
  <c r="W10" i="1"/>
  <c r="V25" i="1"/>
  <c r="V23" i="1"/>
  <c r="V22" i="1"/>
  <c r="V21" i="1"/>
  <c r="V19" i="1"/>
  <c r="V17" i="1"/>
  <c r="V15" i="1"/>
  <c r="V14" i="1"/>
  <c r="V13" i="1"/>
  <c r="V12" i="1"/>
  <c r="V11" i="1"/>
  <c r="V9" i="1"/>
  <c r="V8" i="1"/>
  <c r="V7" i="1"/>
  <c r="V6" i="1"/>
  <c r="V18" i="1"/>
  <c r="V16" i="1"/>
  <c r="V10" i="1"/>
  <c r="V5" i="1"/>
  <c r="U10" i="1"/>
  <c r="U25" i="1"/>
  <c r="U23" i="1"/>
  <c r="U22" i="1"/>
  <c r="U21" i="1"/>
  <c r="U19" i="1"/>
  <c r="U17" i="1"/>
  <c r="U3" i="1"/>
  <c r="U9" i="1"/>
  <c r="U8" i="1"/>
  <c r="U7" i="1"/>
  <c r="U6" i="1"/>
  <c r="U5" i="1"/>
  <c r="U14" i="1"/>
  <c r="U13" i="1"/>
  <c r="U12" i="1"/>
  <c r="U11" i="1"/>
  <c r="U15" i="1"/>
  <c r="U16" i="1"/>
  <c r="U18" i="1"/>
  <c r="U24" i="1"/>
  <c r="V24" i="1"/>
  <c r="W24" i="1"/>
  <c r="W3" i="1"/>
  <c r="W9" i="1"/>
  <c r="W8" i="1"/>
  <c r="W7" i="1"/>
  <c r="W6" i="1"/>
  <c r="W5" i="1"/>
  <c r="W11" i="1"/>
  <c r="W25" i="1"/>
  <c r="W23" i="1"/>
  <c r="W22" i="1"/>
  <c r="W21" i="1"/>
  <c r="W19" i="1"/>
  <c r="W15" i="1"/>
  <c r="W14" i="1"/>
  <c r="W13" i="1"/>
  <c r="W18" i="1"/>
  <c r="W16" i="1"/>
  <c r="W12" i="1"/>
  <c r="O32" i="1"/>
  <c r="N32" i="1"/>
  <c r="M32" i="1"/>
  <c r="L32" i="1"/>
  <c r="K32" i="1"/>
  <c r="J32" i="1"/>
  <c r="I32" i="1"/>
  <c r="H32" i="1"/>
  <c r="G32" i="1"/>
  <c r="F32" i="1"/>
  <c r="E32" i="1"/>
  <c r="D32" i="1"/>
  <c r="O31" i="1"/>
  <c r="N31" i="1"/>
  <c r="M31" i="1"/>
  <c r="L31" i="1"/>
  <c r="K31" i="1"/>
  <c r="J31" i="1"/>
  <c r="I31" i="1"/>
  <c r="H31" i="1"/>
  <c r="G31" i="1"/>
  <c r="F31" i="1"/>
  <c r="E31" i="1"/>
  <c r="D31" i="1"/>
  <c r="M33" i="1"/>
  <c r="L33" i="1"/>
  <c r="K33" i="1"/>
  <c r="J33" i="1"/>
  <c r="I33" i="1"/>
  <c r="H33" i="1"/>
  <c r="G33" i="1"/>
  <c r="F33" i="1"/>
  <c r="E33" i="1"/>
  <c r="D33" i="1"/>
  <c r="N33" i="1"/>
  <c r="O33" i="1"/>
  <c r="P33" i="1"/>
  <c r="P32" i="1"/>
  <c r="P31" i="1"/>
  <c r="O30" i="1"/>
  <c r="N30" i="1"/>
  <c r="M30" i="1"/>
  <c r="L30" i="1"/>
  <c r="K30" i="1"/>
  <c r="J30" i="1"/>
  <c r="I30" i="1"/>
  <c r="H30" i="1"/>
  <c r="G30" i="1"/>
  <c r="F30" i="1"/>
  <c r="E30" i="1"/>
  <c r="D30" i="1"/>
  <c r="P30" i="1"/>
  <c r="O3" i="1"/>
  <c r="N3" i="1"/>
  <c r="M3" i="1"/>
  <c r="L3" i="1"/>
  <c r="K3" i="1"/>
  <c r="J3" i="1"/>
  <c r="I3" i="1"/>
  <c r="H3" i="1"/>
  <c r="G3" i="1"/>
  <c r="F3" i="1"/>
  <c r="E3" i="1"/>
  <c r="D3" i="1"/>
  <c r="P3" i="1"/>
  <c r="O28" i="1"/>
  <c r="N28" i="1"/>
  <c r="M28" i="1"/>
  <c r="L28" i="1"/>
  <c r="K28" i="1"/>
  <c r="J28" i="1"/>
  <c r="I28" i="1"/>
  <c r="H28" i="1"/>
  <c r="G28" i="1"/>
  <c r="F28" i="1"/>
  <c r="E28" i="1"/>
  <c r="P28" i="1"/>
  <c r="O27" i="1"/>
  <c r="N27" i="1"/>
  <c r="M27" i="1"/>
  <c r="L27" i="1"/>
  <c r="K27" i="1"/>
  <c r="J27" i="1"/>
  <c r="I27" i="1"/>
  <c r="H27" i="1"/>
  <c r="P27" i="1"/>
  <c r="E23" i="1"/>
  <c r="E15" i="1"/>
  <c r="E9" i="1"/>
  <c r="E10" i="1" s="1"/>
  <c r="E16" i="1" s="1"/>
  <c r="E18" i="1" s="1"/>
  <c r="F23" i="1"/>
  <c r="F15" i="1"/>
  <c r="F9" i="1"/>
  <c r="F10" i="1" s="1"/>
  <c r="G14" i="1"/>
  <c r="G15" i="1" s="1"/>
  <c r="G23" i="1"/>
  <c r="G9" i="1"/>
  <c r="G10" i="1" s="1"/>
  <c r="D23" i="1"/>
  <c r="D15" i="1"/>
  <c r="D9" i="1"/>
  <c r="D10" i="1" s="1"/>
  <c r="H23" i="1"/>
  <c r="H15" i="1"/>
  <c r="H9" i="1"/>
  <c r="H10" i="1" s="1"/>
  <c r="I23" i="1"/>
  <c r="I15" i="1"/>
  <c r="I9" i="1"/>
  <c r="I10" i="1" s="1"/>
  <c r="M23" i="1"/>
  <c r="M15" i="1"/>
  <c r="M9" i="1"/>
  <c r="M10" i="1" s="1"/>
  <c r="J23" i="1"/>
  <c r="J15" i="1"/>
  <c r="J9" i="1"/>
  <c r="J10" i="1" s="1"/>
  <c r="N23" i="1"/>
  <c r="N15" i="1"/>
  <c r="N9" i="1"/>
  <c r="N10" i="1" s="1"/>
  <c r="K9" i="1"/>
  <c r="K10" i="1" s="1"/>
  <c r="K23" i="1"/>
  <c r="K15" i="1"/>
  <c r="O23" i="1"/>
  <c r="O15" i="1"/>
  <c r="O9" i="1"/>
  <c r="O10" i="1" s="1"/>
  <c r="P9" i="1"/>
  <c r="P10" i="1" s="1"/>
  <c r="L9" i="1"/>
  <c r="L10" i="1" s="1"/>
  <c r="L23" i="1"/>
  <c r="P23" i="1"/>
  <c r="L15" i="1"/>
  <c r="P11" i="1"/>
  <c r="P15" i="1" s="1"/>
  <c r="L2" i="2" a="1"/>
  <c r="L2" i="2" s="1"/>
  <c r="L4" i="2" s="1"/>
  <c r="D38" i="3"/>
  <c r="D37" i="3"/>
  <c r="D36" i="3"/>
  <c r="D35" i="3"/>
  <c r="D34" i="3"/>
  <c r="C30" i="3"/>
  <c r="D30" i="3" s="1"/>
  <c r="I28" i="3"/>
  <c r="I27" i="3"/>
  <c r="I25" i="3"/>
  <c r="I24" i="3"/>
  <c r="C15" i="3"/>
  <c r="K5" i="3"/>
  <c r="D5" i="3"/>
  <c r="K4" i="3"/>
  <c r="D4" i="3"/>
  <c r="K3" i="3"/>
  <c r="D3" i="3"/>
  <c r="E24" i="1" l="1"/>
  <c r="E25" i="1" s="1"/>
  <c r="E19" i="1"/>
  <c r="F16" i="1"/>
  <c r="F18" i="1" s="1"/>
  <c r="F24" i="1" s="1"/>
  <c r="F25" i="1" s="1"/>
  <c r="G16" i="1"/>
  <c r="G18" i="1" s="1"/>
  <c r="D16" i="1"/>
  <c r="D18" i="1" s="1"/>
  <c r="D24" i="1" s="1"/>
  <c r="D25" i="1" s="1"/>
  <c r="H16" i="1"/>
  <c r="H18" i="1" s="1"/>
  <c r="H24" i="1" s="1"/>
  <c r="H25" i="1" s="1"/>
  <c r="L16" i="1"/>
  <c r="P16" i="1"/>
  <c r="P18" i="1" s="1"/>
  <c r="P24" i="1" s="1"/>
  <c r="P25" i="1" s="1"/>
  <c r="I16" i="1"/>
  <c r="I18" i="1" s="1"/>
  <c r="I19" i="1" s="1"/>
  <c r="M16" i="1"/>
  <c r="M18" i="1" s="1"/>
  <c r="M19" i="1" s="1"/>
  <c r="J16" i="1"/>
  <c r="J18" i="1" s="1"/>
  <c r="J24" i="1" s="1"/>
  <c r="J25" i="1" s="1"/>
  <c r="N16" i="1"/>
  <c r="N18" i="1" s="1"/>
  <c r="N24" i="1" s="1"/>
  <c r="N25" i="1" s="1"/>
  <c r="K16" i="1"/>
  <c r="K18" i="1" s="1"/>
  <c r="K19" i="1" s="1"/>
  <c r="O16" i="1"/>
  <c r="O18" i="1" s="1"/>
  <c r="O24" i="1" s="1"/>
  <c r="O25" i="1" s="1"/>
  <c r="L18" i="1"/>
  <c r="F19" i="1" l="1"/>
  <c r="G24" i="1"/>
  <c r="G25" i="1" s="1"/>
  <c r="G19" i="1"/>
  <c r="D19" i="1"/>
  <c r="H19" i="1"/>
  <c r="I24" i="1"/>
  <c r="I25" i="1" s="1"/>
  <c r="M24" i="1"/>
  <c r="M25" i="1" s="1"/>
  <c r="J19" i="1"/>
  <c r="N19" i="1"/>
  <c r="K24" i="1"/>
  <c r="K25" i="1" s="1"/>
  <c r="O19" i="1"/>
  <c r="P19" i="1"/>
  <c r="L24" i="1"/>
  <c r="L25" i="1" s="1"/>
  <c r="L19" i="1"/>
  <c r="L8" i="2" l="1"/>
  <c r="L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<sst xmlns="http://schemas.openxmlformats.org/spreadsheetml/2006/main" count="179" uniqueCount="125">
  <si>
    <t>Price</t>
  </si>
  <si>
    <t>Shares</t>
  </si>
  <si>
    <t>MC</t>
  </si>
  <si>
    <t>Cash</t>
  </si>
  <si>
    <t>Debt</t>
  </si>
  <si>
    <t>EV</t>
  </si>
  <si>
    <t>Net Cash</t>
  </si>
  <si>
    <t>CEO</t>
  </si>
  <si>
    <t>Q323</t>
  </si>
  <si>
    <t>Q423</t>
  </si>
  <si>
    <t>Q322</t>
  </si>
  <si>
    <t>Q422</t>
  </si>
  <si>
    <t>Q123</t>
  </si>
  <si>
    <t>Q223</t>
  </si>
  <si>
    <t>Q122</t>
  </si>
  <si>
    <t>Q222</t>
  </si>
  <si>
    <t>Main</t>
  </si>
  <si>
    <t>LCID</t>
  </si>
  <si>
    <t>Lucid Group</t>
  </si>
  <si>
    <t>Incorporated in 2007</t>
  </si>
  <si>
    <t>Headquartered in Newark, California.</t>
  </si>
  <si>
    <t>Year</t>
  </si>
  <si>
    <t>Month</t>
  </si>
  <si>
    <t>Total in month</t>
  </si>
  <si>
    <t>Growth Y/Y</t>
  </si>
  <si>
    <t>P7</t>
  </si>
  <si>
    <t>P5</t>
  </si>
  <si>
    <t>G9</t>
  </si>
  <si>
    <t>G6</t>
  </si>
  <si>
    <t>%</t>
  </si>
  <si>
    <t>X9</t>
  </si>
  <si>
    <t>Jan</t>
  </si>
  <si>
    <t>February</t>
  </si>
  <si>
    <t>March</t>
  </si>
  <si>
    <t>April</t>
  </si>
  <si>
    <t>May</t>
  </si>
  <si>
    <t>June</t>
  </si>
  <si>
    <t>July</t>
  </si>
  <si>
    <t>August</t>
  </si>
  <si>
    <t>Sept</t>
  </si>
  <si>
    <t>Oct</t>
  </si>
  <si>
    <t>Nov</t>
  </si>
  <si>
    <t>Dec</t>
  </si>
  <si>
    <t>Total</t>
  </si>
  <si>
    <t>January</t>
  </si>
  <si>
    <t>Total in year</t>
  </si>
  <si>
    <t>So far</t>
  </si>
  <si>
    <t>Delivered</t>
  </si>
  <si>
    <t>Annual production guidance</t>
  </si>
  <si>
    <t>Higher end</t>
  </si>
  <si>
    <t>8000-8500</t>
  </si>
  <si>
    <t>Annual deliveries</t>
  </si>
  <si>
    <t>Reported</t>
  </si>
  <si>
    <t>Peter Rawlinson</t>
  </si>
  <si>
    <t>Executives</t>
  </si>
  <si>
    <t>Role</t>
  </si>
  <si>
    <t>Name</t>
  </si>
  <si>
    <t>Gagan Dhingra</t>
  </si>
  <si>
    <t>Turqi Alnowaiser</t>
  </si>
  <si>
    <t>Glenn R. August</t>
  </si>
  <si>
    <t>Andrew Liveris</t>
  </si>
  <si>
    <t>Sherif Marakby</t>
  </si>
  <si>
    <t>Nichelle Maynard-Elliott</t>
  </si>
  <si>
    <t>Chabi Nouri</t>
  </si>
  <si>
    <t>Ori Winitzer</t>
  </si>
  <si>
    <t>Janet S. Wong</t>
  </si>
  <si>
    <t>CFO and PAO</t>
  </si>
  <si>
    <t>(Interim CFO)</t>
  </si>
  <si>
    <t>Director</t>
  </si>
  <si>
    <t>Delivery guidance</t>
  </si>
  <si>
    <t>Car lineup</t>
  </si>
  <si>
    <t>Lucid</t>
  </si>
  <si>
    <t>Air</t>
  </si>
  <si>
    <t>Gravity</t>
  </si>
  <si>
    <t>Type</t>
  </si>
  <si>
    <t>SUV</t>
  </si>
  <si>
    <t>Sedan</t>
  </si>
  <si>
    <t>Pure RWD</t>
  </si>
  <si>
    <t>Touring AWD</t>
  </si>
  <si>
    <t>Ground Touring AWD</t>
  </si>
  <si>
    <t>Sapphire</t>
  </si>
  <si>
    <t>$79,400</t>
  </si>
  <si>
    <t>$71,400</t>
  </si>
  <si>
    <t>$111,400</t>
  </si>
  <si>
    <t>$250,500</t>
  </si>
  <si>
    <t>Debut</t>
  </si>
  <si>
    <t>Model</t>
  </si>
  <si>
    <t>Sub-Model</t>
  </si>
  <si>
    <t>CEO &amp; CTO</t>
  </si>
  <si>
    <t>Lucid vehicles are designed in California and manufactured in Lucid's factory in Casa Grande, Arizona</t>
  </si>
  <si>
    <t>and King Abdullah Economic City (KAEC), Saudi Arabia. Currently delivering to the US, Canada, Europe and the Middle East.</t>
  </si>
  <si>
    <t>Revenue</t>
  </si>
  <si>
    <t>COGS</t>
  </si>
  <si>
    <t>Gross Profit</t>
  </si>
  <si>
    <t>R&amp;D</t>
  </si>
  <si>
    <t>SG&amp;A</t>
  </si>
  <si>
    <t>Restructuring</t>
  </si>
  <si>
    <t>Operating expenses</t>
  </si>
  <si>
    <t>Operating income</t>
  </si>
  <si>
    <t>Fair value</t>
  </si>
  <si>
    <t>Interest income</t>
  </si>
  <si>
    <t>Interest expense</t>
  </si>
  <si>
    <t>Other</t>
  </si>
  <si>
    <t>Total other</t>
  </si>
  <si>
    <t>Pretax</t>
  </si>
  <si>
    <t>Taxes</t>
  </si>
  <si>
    <t>Net income</t>
  </si>
  <si>
    <t>EPS</t>
  </si>
  <si>
    <t>Net unrealized gains/losses on investments</t>
  </si>
  <si>
    <t xml:space="preserve">Foreign currency </t>
  </si>
  <si>
    <t>Net income to common stockholders</t>
  </si>
  <si>
    <t>Total other income</t>
  </si>
  <si>
    <t>EPS to common</t>
  </si>
  <si>
    <t>Q421</t>
  </si>
  <si>
    <t>Q121</t>
  </si>
  <si>
    <t>Q221</t>
  </si>
  <si>
    <t>Q321</t>
  </si>
  <si>
    <t>Q420</t>
  </si>
  <si>
    <t>Revenue Y/Y</t>
  </si>
  <si>
    <t>Revenue Q/Q</t>
  </si>
  <si>
    <t>Gross Margin %</t>
  </si>
  <si>
    <t>Operating Margin %</t>
  </si>
  <si>
    <t>Net Margin %</t>
  </si>
  <si>
    <t>Tax Rate %</t>
  </si>
  <si>
    <t>Deliveries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</si>
</sst>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6"/>
      <color theme="1"/>
      <name val="Aptos Narrow"/>
      <family val="2"/>
      <scheme val="minor"/>
    </font>
    <font>
      <sz val="8"/>
      <name val="Aptos Narrow"/>
      <family val="2"/>
      <scheme val="minor"/>
    </font>
    <font>
      <b/>
      <u/>
      <sz val="11"/>
      <color theme="1"/>
      <name val="Aptos Narrow"/>
      <family val="2"/>
      <scheme val="minor"/>
    </font>
    <font>
      <u/>
      <sz val="11"/>
      <color theme="10"/>
      <name val="Aptos Narrow"/>
      <family val="2"/>
      <scheme val="minor"/>
    </font>
    <font>
      <b/>
      <sz val="11"/>
      <color theme="1"/>
      <name val="Aptos Narrow"/>
      <family val="2"/>
      <scheme val="minor"/>
    </font>
    <font>
      <sz val="11"/>
      <color theme="1"/>
      <name val="Times New Roman"/>
      <family val="1"/>
    </font>
    <font>
      <b/>
      <sz val="12"/>
      <color theme="1"/>
      <name val="Times New Roman"/>
      <family val="1"/>
    </font>
    <font>
      <b/>
      <sz val="14"/>
      <color theme="1"/>
      <name val="Times New Roman"/>
      <family val="1"/>
    </font>
    <font>
      <b/>
      <sz val="18"/>
      <color theme="1"/>
      <name val="Times New Roman"/>
      <family val="1"/>
    </font>
    <font>
      <u/>
      <sz val="14"/>
      <color theme="10"/>
      <name val="Aptos Narrow"/>
      <family val="2"/>
      <scheme val="minor"/>
    </font>
    <font>
      <u/>
      <sz val="11"/>
      <color theme="1"/>
      <name val="Aptos Narrow"/>
      <family val="2"/>
      <scheme val="minor"/>
    </font>
    <font>
      <b/>
      <sz val="12"/>
      <color theme="1"/>
      <name val="Aptos Narrow"/>
      <family val="2"/>
      <scheme val="minor"/>
    </font>
    <font>
      <i/>
      <sz val="11"/>
      <color theme="1"/>
      <name val="Aptos Narrow"/>
      <family val="2"/>
      <scheme val="minor"/>
    </font>
    <font>
      <b/>
      <i/>
      <sz val="11"/>
      <color theme="1"/>
      <name val="Aptos Narrow"/>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style="double">
        <color indexed="64"/>
      </bottom>
      <diagonal/>
    </border>
  </borders>
  <cellStyleXfs count="2">
    <xf numFmtId="0" fontId="0" fillId="0" borderId="0"/>
    <xf numFmtId="0" fontId="4" fillId="0" borderId="0" applyNumberFormat="0" applyFill="0" applyBorder="0" applyAlignment="0" applyProtection="0"/>
  </cellStyleXfs>
  <cellXfs count="107">
    <xf numFmtId="0" fontId="0" fillId="0" borderId="0" xfId="0"/>
    <xf numFmtId="0" fontId="0" fillId="0" borderId="1" xfId="0" applyBorder="1"/>
    <xf numFmtId="3" fontId="0" fillId="0" borderId="1" xfId="0" applyNumberFormat="1" applyBorder="1"/>
    <xf numFmtId="3" fontId="0" fillId="0" borderId="0" xfId="0" applyNumberFormat="1"/>
    <xf numFmtId="0" fontId="3" fillId="0" borderId="0" xfId="0" applyFont="1"/>
    <xf numFmtId="0" fontId="1" fillId="0" borderId="1" xfId="0" applyFont="1" applyBorder="1" applyAlignment="1">
      <alignment horizontal="center"/>
    </xf>
    <xf numFmtId="0" fontId="6" fillId="0" borderId="0" xfId="0" applyFont="1"/>
    <xf numFmtId="0" fontId="8" fillId="0" borderId="0" xfId="0" applyFont="1"/>
    <xf numFmtId="0" fontId="9" fillId="0" borderId="2" xfId="0"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6" fillId="0" borderId="5" xfId="0" applyFont="1" applyBorder="1" applyAlignment="1">
      <alignment horizontal="center"/>
    </xf>
    <xf numFmtId="0" fontId="6" fillId="0" borderId="0"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10" fillId="0" borderId="0" xfId="1" applyFont="1" applyAlignment="1">
      <alignment horizontal="center"/>
    </xf>
    <xf numFmtId="0" fontId="3" fillId="2" borderId="1" xfId="0" applyFont="1" applyFill="1" applyBorder="1" applyAlignment="1">
      <alignment horizontal="right"/>
    </xf>
    <xf numFmtId="0" fontId="3" fillId="0" borderId="1" xfId="0" applyFont="1" applyBorder="1" applyAlignment="1">
      <alignment horizontal="right"/>
    </xf>
    <xf numFmtId="3" fontId="5" fillId="0" borderId="1" xfId="0" applyNumberFormat="1" applyFont="1" applyBorder="1" applyAlignment="1">
      <alignment horizontal="center"/>
    </xf>
    <xf numFmtId="3" fontId="5" fillId="2" borderId="1" xfId="0" applyNumberFormat="1" applyFont="1" applyFill="1" applyBorder="1" applyAlignment="1">
      <alignment horizontal="center"/>
    </xf>
    <xf numFmtId="3" fontId="5" fillId="3" borderId="1" xfId="0" applyNumberFormat="1" applyFont="1" applyFill="1" applyBorder="1" applyAlignment="1">
      <alignment horizontal="center"/>
    </xf>
    <xf numFmtId="0" fontId="11" fillId="2" borderId="0" xfId="0" applyFont="1" applyFill="1"/>
    <xf numFmtId="17" fontId="0" fillId="0" borderId="2" xfId="0" applyNumberFormat="1" applyBorder="1" applyAlignment="1">
      <alignment horizontal="right"/>
    </xf>
    <xf numFmtId="3" fontId="0" fillId="0" borderId="4" xfId="0" applyNumberFormat="1" applyBorder="1" applyAlignment="1">
      <alignment horizontal="right"/>
    </xf>
    <xf numFmtId="9" fontId="0" fillId="0" borderId="10" xfId="0" applyNumberFormat="1" applyBorder="1" applyAlignment="1">
      <alignment horizontal="right"/>
    </xf>
    <xf numFmtId="3" fontId="0" fillId="2" borderId="1" xfId="0" applyNumberFormat="1" applyFill="1" applyBorder="1" applyAlignment="1">
      <alignment horizontal="right"/>
    </xf>
    <xf numFmtId="3" fontId="0" fillId="3" borderId="1" xfId="0" applyNumberFormat="1" applyFill="1" applyBorder="1" applyAlignment="1">
      <alignment horizontal="right"/>
    </xf>
    <xf numFmtId="9" fontId="5" fillId="0" borderId="1" xfId="0" applyNumberFormat="1" applyFont="1" applyBorder="1" applyAlignment="1">
      <alignment horizontal="right"/>
    </xf>
    <xf numFmtId="0" fontId="0" fillId="0" borderId="5" xfId="0" applyBorder="1" applyAlignment="1">
      <alignment horizontal="right"/>
    </xf>
    <xf numFmtId="3" fontId="0" fillId="0" borderId="6" xfId="0" applyNumberFormat="1" applyBorder="1"/>
    <xf numFmtId="0" fontId="0" fillId="2" borderId="1" xfId="0" applyFill="1" applyBorder="1"/>
    <xf numFmtId="0" fontId="0" fillId="3" borderId="1" xfId="0" applyFill="1" applyBorder="1"/>
    <xf numFmtId="3" fontId="0" fillId="0" borderId="10" xfId="0" applyNumberFormat="1" applyBorder="1"/>
    <xf numFmtId="0" fontId="5" fillId="0" borderId="11" xfId="0" applyFont="1" applyBorder="1" applyAlignment="1">
      <alignment horizontal="right"/>
    </xf>
    <xf numFmtId="3" fontId="0" fillId="0" borderId="12" xfId="0" applyNumberFormat="1" applyBorder="1"/>
    <xf numFmtId="0" fontId="0" fillId="4" borderId="0" xfId="0" applyFill="1"/>
    <xf numFmtId="0" fontId="5" fillId="0" borderId="0" xfId="0" applyFont="1" applyAlignment="1">
      <alignment horizontal="right"/>
    </xf>
    <xf numFmtId="3" fontId="5" fillId="0" borderId="13" xfId="0" applyNumberFormat="1" applyFont="1" applyBorder="1" applyAlignment="1">
      <alignment horizontal="center"/>
    </xf>
    <xf numFmtId="3" fontId="5" fillId="2" borderId="10" xfId="0" applyNumberFormat="1" applyFont="1" applyFill="1" applyBorder="1" applyAlignment="1">
      <alignment horizontal="center"/>
    </xf>
    <xf numFmtId="0" fontId="11" fillId="2" borderId="0" xfId="0" applyFont="1" applyFill="1" applyAlignment="1">
      <alignment horizontal="right"/>
    </xf>
    <xf numFmtId="0" fontId="0" fillId="0" borderId="14" xfId="0" applyBorder="1" applyAlignment="1">
      <alignment horizontal="right"/>
    </xf>
    <xf numFmtId="3" fontId="0" fillId="0" borderId="5" xfId="0" applyNumberFormat="1" applyBorder="1" applyAlignment="1">
      <alignment horizontal="right"/>
    </xf>
    <xf numFmtId="3" fontId="0" fillId="0" borderId="1" xfId="0" applyNumberFormat="1" applyBorder="1" applyAlignment="1">
      <alignment horizontal="right"/>
    </xf>
    <xf numFmtId="3" fontId="0" fillId="2" borderId="9" xfId="0" applyNumberFormat="1" applyFill="1" applyBorder="1" applyAlignment="1">
      <alignment horizontal="right"/>
    </xf>
    <xf numFmtId="3" fontId="0" fillId="3" borderId="15" xfId="0" applyNumberFormat="1" applyFill="1" applyBorder="1" applyAlignment="1">
      <alignment horizontal="center"/>
    </xf>
    <xf numFmtId="3" fontId="0" fillId="2" borderId="15" xfId="0" applyNumberFormat="1" applyFill="1" applyBorder="1" applyAlignment="1">
      <alignment horizontal="right"/>
    </xf>
    <xf numFmtId="3" fontId="0" fillId="3" borderId="15" xfId="0" applyNumberFormat="1" applyFill="1" applyBorder="1" applyAlignment="1">
      <alignment horizontal="right"/>
    </xf>
    <xf numFmtId="3" fontId="0" fillId="0" borderId="15" xfId="0" applyNumberFormat="1" applyBorder="1" applyAlignment="1">
      <alignment horizontal="right"/>
    </xf>
    <xf numFmtId="3" fontId="0" fillId="2" borderId="10" xfId="0" applyNumberFormat="1" applyFill="1" applyBorder="1" applyAlignment="1">
      <alignment horizontal="right"/>
    </xf>
    <xf numFmtId="3" fontId="0" fillId="3" borderId="1" xfId="0" applyNumberFormat="1" applyFill="1" applyBorder="1" applyAlignment="1">
      <alignment horizontal="center"/>
    </xf>
    <xf numFmtId="9" fontId="5" fillId="3" borderId="1" xfId="0" applyNumberFormat="1" applyFont="1" applyFill="1" applyBorder="1" applyAlignment="1">
      <alignment horizontal="right"/>
    </xf>
    <xf numFmtId="3" fontId="5" fillId="3" borderId="1" xfId="0" applyNumberFormat="1" applyFont="1" applyFill="1" applyBorder="1" applyAlignment="1">
      <alignment horizontal="right"/>
    </xf>
    <xf numFmtId="17" fontId="0" fillId="0" borderId="14" xfId="0" applyNumberFormat="1" applyBorder="1" applyAlignment="1">
      <alignment horizontal="right"/>
    </xf>
    <xf numFmtId="3" fontId="0" fillId="0" borderId="16" xfId="0" applyNumberFormat="1" applyBorder="1" applyAlignment="1">
      <alignment horizontal="right"/>
    </xf>
    <xf numFmtId="0" fontId="3" fillId="0" borderId="17" xfId="0" applyFont="1" applyBorder="1" applyAlignment="1">
      <alignment horizontal="right"/>
    </xf>
    <xf numFmtId="3" fontId="11" fillId="0" borderId="18" xfId="0" applyNumberFormat="1" applyFont="1" applyBorder="1" applyAlignment="1">
      <alignment horizontal="right"/>
    </xf>
    <xf numFmtId="9" fontId="11" fillId="0" borderId="19" xfId="0" applyNumberFormat="1" applyFont="1" applyBorder="1" applyAlignment="1">
      <alignment horizontal="right"/>
    </xf>
    <xf numFmtId="3" fontId="0" fillId="4" borderId="0" xfId="0" applyNumberFormat="1" applyFill="1" applyAlignment="1">
      <alignment horizontal="center"/>
    </xf>
    <xf numFmtId="3" fontId="0" fillId="4" borderId="0" xfId="0" applyNumberFormat="1" applyFill="1"/>
    <xf numFmtId="0" fontId="0" fillId="0" borderId="1" xfId="0" applyBorder="1" applyAlignment="1">
      <alignment horizontal="center"/>
    </xf>
    <xf numFmtId="0" fontId="5" fillId="0" borderId="10" xfId="0" applyFont="1" applyBorder="1" applyAlignment="1">
      <alignment horizontal="center"/>
    </xf>
    <xf numFmtId="0" fontId="5" fillId="0" borderId="1" xfId="0" applyFont="1" applyBorder="1" applyAlignment="1">
      <alignment horizontal="center"/>
    </xf>
    <xf numFmtId="9" fontId="0" fillId="0" borderId="1" xfId="0" applyNumberFormat="1" applyBorder="1"/>
    <xf numFmtId="0" fontId="0" fillId="0" borderId="1" xfId="0" applyBorder="1" applyAlignment="1">
      <alignment horizontal="right"/>
    </xf>
    <xf numFmtId="0" fontId="1" fillId="0" borderId="1" xfId="0" applyFont="1" applyBorder="1" applyAlignment="1"/>
    <xf numFmtId="2" fontId="0" fillId="0" borderId="1" xfId="0" applyNumberFormat="1" applyFont="1" applyBorder="1" applyAlignment="1"/>
    <xf numFmtId="0" fontId="5" fillId="0" borderId="1" xfId="0" applyFont="1" applyBorder="1"/>
    <xf numFmtId="0" fontId="12" fillId="0" borderId="1" xfId="0" applyFont="1" applyBorder="1" applyAlignment="1">
      <alignment horizontal="center"/>
    </xf>
    <xf numFmtId="0" fontId="5" fillId="0" borderId="1" xfId="0" applyFont="1" applyBorder="1" applyAlignment="1">
      <alignment horizontal="right"/>
    </xf>
    <xf numFmtId="0" fontId="7" fillId="0" borderId="13" xfId="0" applyFont="1" applyBorder="1" applyAlignment="1">
      <alignment horizontal="center"/>
    </xf>
    <xf numFmtId="0" fontId="7" fillId="0" borderId="10" xfId="0" applyFont="1" applyBorder="1" applyAlignment="1">
      <alignment horizontal="center"/>
    </xf>
    <xf numFmtId="0" fontId="8" fillId="0" borderId="1" xfId="0" applyFont="1" applyBorder="1" applyAlignment="1">
      <alignment horizontal="center"/>
    </xf>
    <xf numFmtId="3" fontId="0" fillId="0" borderId="0" xfId="0" applyNumberFormat="1" applyAlignment="1">
      <alignment horizontal="left"/>
    </xf>
    <xf numFmtId="0" fontId="0" fillId="0" borderId="0" xfId="0" applyAlignment="1">
      <alignment horizontal="left"/>
    </xf>
    <xf numFmtId="3" fontId="5" fillId="0" borderId="0" xfId="0" applyNumberFormat="1" applyFont="1"/>
    <xf numFmtId="3" fontId="0" fillId="0" borderId="0" xfId="0" applyNumberFormat="1" applyFont="1" applyAlignment="1">
      <alignment horizontal="left"/>
    </xf>
    <xf numFmtId="3" fontId="0" fillId="0" borderId="0" xfId="0" applyNumberFormat="1" applyFont="1"/>
    <xf numFmtId="3" fontId="13" fillId="0" borderId="0" xfId="0" applyNumberFormat="1" applyFont="1"/>
    <xf numFmtId="0" fontId="0" fillId="0" borderId="0" xfId="0" applyFont="1"/>
    <xf numFmtId="0" fontId="13" fillId="0" borderId="0" xfId="0" applyFont="1" applyAlignment="1">
      <alignment horizontal="left"/>
    </xf>
    <xf numFmtId="2" fontId="13" fillId="0" borderId="0" xfId="0" applyNumberFormat="1" applyFont="1"/>
    <xf numFmtId="0" fontId="14" fillId="0" borderId="0" xfId="0" applyFont="1"/>
    <xf numFmtId="4" fontId="0" fillId="0" borderId="0" xfId="0" applyNumberFormat="1"/>
    <xf numFmtId="4" fontId="0" fillId="0" borderId="0" xfId="0" applyNumberFormat="1" applyFont="1"/>
    <xf numFmtId="3" fontId="5" fillId="0" borderId="20" xfId="0" applyNumberFormat="1" applyFont="1" applyBorder="1"/>
    <xf numFmtId="3" fontId="5" fillId="0" borderId="20" xfId="0" applyNumberFormat="1" applyFont="1" applyBorder="1" applyAlignment="1">
      <alignment horizontal="left"/>
    </xf>
    <xf numFmtId="3" fontId="0" fillId="0" borderId="11" xfId="0" applyNumberFormat="1" applyBorder="1"/>
    <xf numFmtId="0" fontId="5" fillId="0" borderId="21" xfId="0" applyFont="1" applyBorder="1" applyAlignment="1">
      <alignment horizontal="left"/>
    </xf>
    <xf numFmtId="3" fontId="5" fillId="0" borderId="21" xfId="0" applyNumberFormat="1" applyFont="1" applyBorder="1"/>
    <xf numFmtId="3" fontId="0" fillId="0" borderId="21" xfId="0" applyNumberFormat="1" applyBorder="1"/>
    <xf numFmtId="3" fontId="5" fillId="0" borderId="22" xfId="0" applyNumberFormat="1" applyFont="1" applyBorder="1"/>
    <xf numFmtId="3" fontId="5" fillId="0" borderId="22" xfId="0" applyNumberFormat="1" applyFont="1" applyBorder="1" applyAlignment="1">
      <alignment horizontal="left"/>
    </xf>
    <xf numFmtId="4" fontId="13" fillId="0" borderId="0" xfId="0" applyNumberFormat="1" applyFont="1"/>
    <xf numFmtId="0" fontId="13" fillId="0" borderId="3" xfId="0" applyFont="1" applyBorder="1"/>
    <xf numFmtId="0" fontId="13" fillId="0" borderId="3" xfId="0" applyFont="1" applyBorder="1" applyAlignment="1">
      <alignment horizontal="left"/>
    </xf>
    <xf numFmtId="0" fontId="13" fillId="0" borderId="8" xfId="0" applyFont="1" applyBorder="1"/>
    <xf numFmtId="0" fontId="13" fillId="0" borderId="8" xfId="0" applyFont="1" applyBorder="1" applyAlignment="1">
      <alignment horizontal="left"/>
    </xf>
    <xf numFmtId="0" fontId="13" fillId="0" borderId="0" xfId="0" applyFont="1" applyBorder="1"/>
    <xf numFmtId="0" fontId="13" fillId="0" borderId="0" xfId="0" applyFont="1" applyBorder="1" applyAlignment="1">
      <alignment horizontal="left"/>
    </xf>
    <xf numFmtId="9" fontId="13" fillId="0" borderId="3" xfId="0" applyNumberFormat="1" applyFont="1" applyBorder="1"/>
    <xf numFmtId="9" fontId="13" fillId="0" borderId="8" xfId="0" applyNumberFormat="1" applyFont="1" applyBorder="1"/>
    <xf numFmtId="9" fontId="13" fillId="0" borderId="0" xfId="0" applyNumberFormat="1" applyFont="1" applyBorder="1"/>
    <xf numFmtId="10" fontId="13" fillId="0" borderId="8" xfId="0" applyNumberFormat="1" applyFont="1" applyBorder="1"/>
    <xf numFmtId="0" fontId="4" fillId="0" borderId="0" xfId="1" applyAlignment="1">
      <alignment horizontal="center" vertical="center"/>
    </xf>
    <xf numFmtId="0" fontId="10"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16</xdr:col>
      <xdr:colOff>6569</xdr:colOff>
      <xdr:row>1</xdr:row>
      <xdr:rowOff>13138</xdr:rowOff>
    </xdr:from>
    <xdr:to>
      <xdr:col>16</xdr:col>
      <xdr:colOff>6569</xdr:colOff>
      <xdr:row>51</xdr:row>
      <xdr:rowOff>72258</xdr:rowOff>
    </xdr:to>
    <xdr:cxnSp macro="">
      <xdr:nvCxnSpPr>
        <xdr:cNvPr id="3" name="Straight Connector 2">
          <a:extLst>
            <a:ext uri="{FF2B5EF4-FFF2-40B4-BE49-F238E27FC236}">
              <a16:creationId xmlns:a16="http://schemas.microsoft.com/office/drawing/2014/main" id="{B64EB2DE-F5C9-E8FF-3623-B245597703D8}"/>
            </a:ext>
          </a:extLst>
        </xdr:cNvPr>
        <xdr:cNvCxnSpPr/>
      </xdr:nvCxnSpPr>
      <xdr:spPr>
        <a:xfrm>
          <a:off x="7738241" y="249621"/>
          <a:ext cx="0" cy="9419896"/>
        </a:xfrm>
        <a:prstGeom prst="line">
          <a:avLst/>
        </a:prstGeom>
        <a:ln w="3175"/>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32845</xdr:colOff>
      <xdr:row>1</xdr:row>
      <xdr:rowOff>39414</xdr:rowOff>
    </xdr:from>
    <xdr:to>
      <xdr:col>23</xdr:col>
      <xdr:colOff>32845</xdr:colOff>
      <xdr:row>51</xdr:row>
      <xdr:rowOff>98534</xdr:rowOff>
    </xdr:to>
    <xdr:cxnSp macro="">
      <xdr:nvCxnSpPr>
        <xdr:cNvPr id="5" name="Straight Connector 4">
          <a:extLst>
            <a:ext uri="{FF2B5EF4-FFF2-40B4-BE49-F238E27FC236}">
              <a16:creationId xmlns:a16="http://schemas.microsoft.com/office/drawing/2014/main" id="{59197923-CFA3-4727-B438-2D3789A4C5F4}"/>
            </a:ext>
          </a:extLst>
        </xdr:cNvPr>
        <xdr:cNvCxnSpPr/>
      </xdr:nvCxnSpPr>
      <xdr:spPr>
        <a:xfrm>
          <a:off x="15988862" y="275897"/>
          <a:ext cx="0" cy="9610396"/>
        </a:xfrm>
        <a:prstGeom prst="line">
          <a:avLst/>
        </a:prstGeom>
        <a:ln w="3175"/>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https://www.bing.com/financeapi/forcetrigger?t=bvu46h&amp;q=XNAS%3aLCID&amp;form=skydnc</v>
    <v>Learn more on Bing</v>
  </rv>
  <rv s="1">
    <v>en-US</v>
    <v>bvu46h</v>
    <v>268435456</v>
    <v>1</v>
    <v>Powered by Refinitiv</v>
    <v>0</v>
    <v>LUCID GROUP, INC. (XNAS:LCID)</v>
    <v>2</v>
    <v>3</v>
    <v>Finance</v>
    <v>4</v>
    <v>8.3699999999999992</v>
    <v>2.35</v>
    <v>1.069</v>
    <v>0.01</v>
    <v>0</v>
    <v>4.0980000000000001E-3</v>
    <v>0</v>
    <v>USD</v>
    <v>Lucid Group, Inc. is a technology company. The Company is focused on designing, developing, manufacturing electric vehicles (EV), EV powertrains and battery systems in-house using its own equipment and factories. It offers its own geographically distributed retail and service locations and through direct-to-consumer online and retail sales. It also boasts a product roadmap of future vehicle programs and technologies. It focuses on in-house hardware and software innovation, vertical integration, and a clean-sheet approach to engineering and design led to the development of the Lucid Air. The Lucid Air is a luxury sedan that redefines both the luxury car segment and the EV space. The Lucid Air is manufactured at its greenfield EV manufacturing facility in Casa Grande, Arizona, Advanced Manufacturing Plant-1 (AMP-1). It owns and operates a vehicle service network comprised of service centers in metropolitan areas and a fleet of mobile service vehicles.</v>
    <v>6500</v>
    <v>Nasdaq Stock Market</v>
    <v>XNAS</v>
    <v>XNAS</v>
    <v>7373 Gateway Blvd., NEWARK, CA, 94560 US</v>
    <v>2.4750000000000001</v>
    <v>Automobiles &amp; Auto Parts</v>
    <v>Stock</v>
    <v>45401.999994039063</v>
    <v>0</v>
    <v>2.4</v>
    <v>5635117600</v>
    <v>LUCID GROUP, INC.</v>
    <v>LUCID GROUP, INC.</v>
    <v>2.41</v>
    <v>0</v>
    <v>2.44</v>
    <v>2.4500000000000002</v>
    <v>2.4500000000000002</v>
    <v>2300048000</v>
    <v>LCID</v>
    <v>LUCID GROUP, INC. (XNAS:LCID)</v>
    <v>15078140</v>
    <v>25684174</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A943-7190-4997-8580-4E0BDA41CD8D}">
  <dimension ref="B1:M25"/>
  <sheetViews>
    <sheetView tabSelected="1" workbookViewId="0">
      <selection activeCell="H24" sqref="H24"/>
    </sheetView>
  </sheetViews>
  <sheetFormatPr defaultRowHeight="15" x14ac:dyDescent="0.25"/>
  <cols>
    <col min="1" max="1" width="4.42578125" customWidth="1"/>
    <col min="2" max="2" width="15.85546875" customWidth="1"/>
    <col min="3" max="3" width="13.140625" customWidth="1"/>
    <col min="4" max="4" width="14.7109375" customWidth="1"/>
    <col min="8" max="8" width="18.5703125" customWidth="1"/>
    <col min="12" max="12" width="15.140625" customWidth="1"/>
    <col min="13" max="13" width="3.85546875" hidden="1" customWidth="1"/>
  </cols>
  <sheetData>
    <row r="1" spans="2:13" ht="21" x14ac:dyDescent="0.35">
      <c r="B1" s="105" t="s">
        <v>86</v>
      </c>
      <c r="C1" s="105" t="s">
        <v>124</v>
      </c>
      <c r="K1" s="5" t="s">
        <v>17</v>
      </c>
      <c r="L1" s="5"/>
      <c r="M1" s="66" t="e" vm="1">
        <v>#VALUE!</v>
      </c>
    </row>
    <row r="2" spans="2:13" ht="22.5" x14ac:dyDescent="0.3">
      <c r="B2" s="8" t="s">
        <v>18</v>
      </c>
      <c r="C2" s="9"/>
      <c r="D2" s="9"/>
      <c r="E2" s="10"/>
      <c r="K2" s="1" t="s">
        <v>0</v>
      </c>
      <c r="L2" s="67" cm="1">
        <f t="array" ref="L2">_FV(M1,"Price")</f>
        <v>2.4500000000000002</v>
      </c>
    </row>
    <row r="3" spans="2:13" x14ac:dyDescent="0.25">
      <c r="B3" s="11" t="s">
        <v>19</v>
      </c>
      <c r="C3" s="12"/>
      <c r="D3" s="12"/>
      <c r="E3" s="13"/>
      <c r="K3" s="1" t="s">
        <v>1</v>
      </c>
      <c r="L3" s="2">
        <v>2300047.548</v>
      </c>
    </row>
    <row r="4" spans="2:13" x14ac:dyDescent="0.25">
      <c r="B4" s="14" t="s">
        <v>20</v>
      </c>
      <c r="C4" s="15"/>
      <c r="D4" s="15"/>
      <c r="E4" s="16"/>
      <c r="K4" s="1" t="s">
        <v>2</v>
      </c>
      <c r="L4" s="2">
        <f>L3*L2</f>
        <v>5635116.4926000005</v>
      </c>
    </row>
    <row r="5" spans="2:13" x14ac:dyDescent="0.25">
      <c r="B5" s="6" t="s">
        <v>89</v>
      </c>
      <c r="K5" s="1" t="s">
        <v>3</v>
      </c>
      <c r="L5" s="2">
        <f>1369947+2489798+461029</f>
        <v>4320774</v>
      </c>
    </row>
    <row r="6" spans="2:13" x14ac:dyDescent="0.25">
      <c r="B6" s="6" t="s">
        <v>90</v>
      </c>
      <c r="K6" s="1" t="s">
        <v>4</v>
      </c>
      <c r="L6" s="2">
        <f>1996960+53664+524339</f>
        <v>2574963</v>
      </c>
    </row>
    <row r="7" spans="2:13" x14ac:dyDescent="0.25">
      <c r="K7" s="1" t="s">
        <v>5</v>
      </c>
      <c r="L7" s="2">
        <f>L4-L5+L6</f>
        <v>3889305.4926000005</v>
      </c>
    </row>
    <row r="8" spans="2:13" ht="15.75" x14ac:dyDescent="0.25">
      <c r="B8" s="71" t="s">
        <v>48</v>
      </c>
      <c r="C8" s="72"/>
      <c r="E8" s="71" t="s">
        <v>69</v>
      </c>
      <c r="F8" s="72"/>
      <c r="H8" s="71" t="s">
        <v>51</v>
      </c>
      <c r="I8" s="72"/>
      <c r="K8" s="1" t="s">
        <v>6</v>
      </c>
      <c r="L8" s="2">
        <f>L5-L6</f>
        <v>1745811</v>
      </c>
    </row>
    <row r="9" spans="2:13" x14ac:dyDescent="0.25">
      <c r="B9" s="61" t="s">
        <v>21</v>
      </c>
      <c r="C9" s="61" t="s">
        <v>49</v>
      </c>
      <c r="E9" s="61" t="s">
        <v>21</v>
      </c>
      <c r="F9" s="61" t="s">
        <v>52</v>
      </c>
      <c r="H9" s="61" t="s">
        <v>21</v>
      </c>
      <c r="I9" s="61" t="s">
        <v>52</v>
      </c>
      <c r="K9" s="1"/>
      <c r="L9" s="1"/>
    </row>
    <row r="10" spans="2:13" x14ac:dyDescent="0.25">
      <c r="B10" s="1">
        <v>2023</v>
      </c>
      <c r="C10" s="70" t="s">
        <v>50</v>
      </c>
      <c r="E10" s="1">
        <v>2023</v>
      </c>
      <c r="F10" s="68"/>
      <c r="H10" s="1">
        <v>2023</v>
      </c>
      <c r="I10" s="68">
        <v>6001</v>
      </c>
      <c r="K10" s="1" t="s">
        <v>7</v>
      </c>
      <c r="L10" s="1" t="s">
        <v>53</v>
      </c>
    </row>
    <row r="11" spans="2:13" x14ac:dyDescent="0.25">
      <c r="B11" s="1">
        <v>2024</v>
      </c>
      <c r="C11" s="70">
        <v>9000</v>
      </c>
      <c r="E11" s="1"/>
      <c r="F11" s="1"/>
      <c r="H11" s="1"/>
      <c r="I11" s="1"/>
    </row>
    <row r="14" spans="2:13" ht="18.75" x14ac:dyDescent="0.3">
      <c r="B14" s="7" t="s">
        <v>54</v>
      </c>
      <c r="E14" s="73" t="s">
        <v>70</v>
      </c>
      <c r="F14" s="73"/>
      <c r="G14" s="73"/>
      <c r="H14" s="73"/>
      <c r="I14" s="73"/>
      <c r="J14" s="73"/>
    </row>
    <row r="15" spans="2:13" ht="15.75" x14ac:dyDescent="0.25">
      <c r="B15" s="69" t="s">
        <v>56</v>
      </c>
      <c r="C15" s="69" t="s">
        <v>55</v>
      </c>
      <c r="E15" s="63" t="s">
        <v>85</v>
      </c>
      <c r="F15" s="63" t="s">
        <v>56</v>
      </c>
      <c r="G15" s="63" t="s">
        <v>86</v>
      </c>
      <c r="H15" s="63" t="s">
        <v>87</v>
      </c>
      <c r="I15" s="63" t="s">
        <v>74</v>
      </c>
      <c r="J15" s="63" t="s">
        <v>0</v>
      </c>
    </row>
    <row r="16" spans="2:13" x14ac:dyDescent="0.25">
      <c r="B16" s="1" t="s">
        <v>53</v>
      </c>
      <c r="C16" s="1" t="s">
        <v>88</v>
      </c>
      <c r="E16" s="1">
        <v>2022</v>
      </c>
      <c r="F16" s="1" t="s">
        <v>71</v>
      </c>
      <c r="G16" s="1" t="s">
        <v>72</v>
      </c>
      <c r="H16" s="1" t="s">
        <v>77</v>
      </c>
      <c r="I16" s="1" t="s">
        <v>76</v>
      </c>
      <c r="J16" s="2" t="s">
        <v>82</v>
      </c>
    </row>
    <row r="17" spans="2:10" x14ac:dyDescent="0.25">
      <c r="B17" s="1" t="s">
        <v>57</v>
      </c>
      <c r="C17" s="1" t="s">
        <v>66</v>
      </c>
      <c r="D17" t="s">
        <v>67</v>
      </c>
      <c r="E17" s="1">
        <v>2022</v>
      </c>
      <c r="F17" s="1" t="s">
        <v>71</v>
      </c>
      <c r="G17" s="1" t="s">
        <v>72</v>
      </c>
      <c r="H17" s="1" t="s">
        <v>78</v>
      </c>
      <c r="I17" s="1" t="s">
        <v>76</v>
      </c>
      <c r="J17" s="2" t="s">
        <v>81</v>
      </c>
    </row>
    <row r="18" spans="2:10" x14ac:dyDescent="0.25">
      <c r="B18" s="1" t="s">
        <v>58</v>
      </c>
      <c r="C18" s="1" t="s">
        <v>68</v>
      </c>
      <c r="E18" s="1">
        <v>2022</v>
      </c>
      <c r="F18" s="1" t="s">
        <v>71</v>
      </c>
      <c r="G18" s="1" t="s">
        <v>72</v>
      </c>
      <c r="H18" s="1" t="s">
        <v>79</v>
      </c>
      <c r="I18" s="1" t="s">
        <v>76</v>
      </c>
      <c r="J18" s="2" t="s">
        <v>83</v>
      </c>
    </row>
    <row r="19" spans="2:10" x14ac:dyDescent="0.25">
      <c r="B19" s="1" t="s">
        <v>59</v>
      </c>
      <c r="C19" s="1" t="s">
        <v>68</v>
      </c>
      <c r="E19" s="1">
        <v>2022</v>
      </c>
      <c r="F19" s="1" t="s">
        <v>71</v>
      </c>
      <c r="G19" s="1" t="s">
        <v>72</v>
      </c>
      <c r="H19" s="1" t="s">
        <v>80</v>
      </c>
      <c r="I19" s="1" t="s">
        <v>76</v>
      </c>
      <c r="J19" s="2" t="s">
        <v>84</v>
      </c>
    </row>
    <row r="20" spans="2:10" x14ac:dyDescent="0.25">
      <c r="B20" s="1" t="s">
        <v>60</v>
      </c>
      <c r="C20" s="1" t="s">
        <v>68</v>
      </c>
      <c r="E20" s="1">
        <v>2025</v>
      </c>
      <c r="F20" s="1" t="s">
        <v>71</v>
      </c>
      <c r="G20" s="1" t="s">
        <v>73</v>
      </c>
      <c r="H20" s="1"/>
      <c r="I20" s="1" t="s">
        <v>75</v>
      </c>
      <c r="J20" s="2"/>
    </row>
    <row r="21" spans="2:10" x14ac:dyDescent="0.25">
      <c r="B21" s="1" t="s">
        <v>61</v>
      </c>
      <c r="C21" s="1" t="s">
        <v>68</v>
      </c>
    </row>
    <row r="22" spans="2:10" x14ac:dyDescent="0.25">
      <c r="B22" s="1" t="s">
        <v>62</v>
      </c>
      <c r="C22" s="1" t="s">
        <v>68</v>
      </c>
    </row>
    <row r="23" spans="2:10" x14ac:dyDescent="0.25">
      <c r="B23" s="1" t="s">
        <v>63</v>
      </c>
      <c r="C23" s="1" t="s">
        <v>68</v>
      </c>
    </row>
    <row r="24" spans="2:10" x14ac:dyDescent="0.25">
      <c r="B24" s="1" t="s">
        <v>64</v>
      </c>
      <c r="C24" s="1" t="s">
        <v>68</v>
      </c>
    </row>
    <row r="25" spans="2:10" x14ac:dyDescent="0.25">
      <c r="B25" s="1" t="s">
        <v>65</v>
      </c>
      <c r="C25" s="1" t="s">
        <v>68</v>
      </c>
    </row>
  </sheetData>
  <mergeCells count="8">
    <mergeCell ref="H8:I8"/>
    <mergeCell ref="E8:F8"/>
    <mergeCell ref="B8:C8"/>
    <mergeCell ref="E14:J14"/>
    <mergeCell ref="K1:L1"/>
    <mergeCell ref="B2:E2"/>
    <mergeCell ref="B3:E3"/>
    <mergeCell ref="B4:E4"/>
  </mergeCells>
  <hyperlinks>
    <hyperlink ref="B1" location="Model!A1" display="Model" xr:uid="{037B445E-BF4A-44CA-946E-7216142BF640}"/>
    <hyperlink ref="C1" location="Deliveries!A1" display="Deliveries" xr:uid="{DC2E86BE-B08B-49E1-9797-D91CE0F408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46B5A-B7A0-44C9-84C2-DFF7588B118C}">
  <dimension ref="A1:AP34"/>
  <sheetViews>
    <sheetView zoomScale="145" zoomScaleNormal="145" workbookViewId="0">
      <pane xSplit="2" ySplit="2" topLeftCell="K3" activePane="bottomRight" state="frozen"/>
      <selection pane="topRight" activeCell="C1" sqref="C1"/>
      <selection pane="bottomLeft" activeCell="A3" sqref="A3"/>
      <selection pane="bottomRight"/>
    </sheetView>
  </sheetViews>
  <sheetFormatPr defaultRowHeight="15" x14ac:dyDescent="0.25"/>
  <cols>
    <col min="1" max="1" width="7.7109375" customWidth="1"/>
    <col min="2" max="2" width="19" customWidth="1"/>
    <col min="3" max="7" width="10.28515625" customWidth="1"/>
    <col min="8" max="11" width="9.85546875" customWidth="1"/>
    <col min="12" max="12" width="10.42578125" customWidth="1"/>
    <col min="13" max="15" width="9.85546875" customWidth="1"/>
    <col min="16" max="16" width="14.28515625" bestFit="1" customWidth="1"/>
    <col min="21" max="22" width="10.28515625" bestFit="1" customWidth="1"/>
    <col min="23" max="23" width="10.5703125" bestFit="1" customWidth="1"/>
  </cols>
  <sheetData>
    <row r="1" spans="1:42" ht="18.75" x14ac:dyDescent="0.25">
      <c r="A1" s="106" t="s">
        <v>16</v>
      </c>
      <c r="B1" s="105" t="s">
        <v>124</v>
      </c>
    </row>
    <row r="2" spans="1:42" s="4" customFormat="1" x14ac:dyDescent="0.25">
      <c r="D2" s="4" t="s">
        <v>117</v>
      </c>
      <c r="E2" s="4" t="s">
        <v>114</v>
      </c>
      <c r="F2" s="4" t="s">
        <v>115</v>
      </c>
      <c r="G2" s="4" t="s">
        <v>116</v>
      </c>
      <c r="H2" s="4" t="s">
        <v>113</v>
      </c>
      <c r="I2" s="4" t="s">
        <v>14</v>
      </c>
      <c r="J2" s="4" t="s">
        <v>15</v>
      </c>
      <c r="K2" s="4" t="s">
        <v>10</v>
      </c>
      <c r="L2" s="4" t="s">
        <v>11</v>
      </c>
      <c r="M2" s="4" t="s">
        <v>12</v>
      </c>
      <c r="N2" s="4" t="s">
        <v>13</v>
      </c>
      <c r="O2" s="4" t="s">
        <v>8</v>
      </c>
      <c r="P2" s="4" t="s">
        <v>9</v>
      </c>
      <c r="S2" s="4">
        <v>2019</v>
      </c>
      <c r="T2" s="4">
        <v>2020</v>
      </c>
      <c r="U2" s="4">
        <v>2021</v>
      </c>
      <c r="V2" s="4">
        <v>2022</v>
      </c>
      <c r="W2" s="4">
        <v>2023</v>
      </c>
      <c r="X2" s="4">
        <v>2024</v>
      </c>
      <c r="Y2" s="4">
        <v>2025</v>
      </c>
      <c r="Z2" s="4">
        <v>2026</v>
      </c>
      <c r="AA2" s="4">
        <v>2027</v>
      </c>
      <c r="AB2" s="4">
        <v>2028</v>
      </c>
      <c r="AC2" s="4">
        <v>2029</v>
      </c>
      <c r="AD2" s="4">
        <v>2030</v>
      </c>
      <c r="AE2" s="4">
        <v>2031</v>
      </c>
      <c r="AF2" s="4">
        <v>2032</v>
      </c>
      <c r="AG2" s="4">
        <v>2033</v>
      </c>
      <c r="AH2" s="4">
        <v>2034</v>
      </c>
      <c r="AI2" s="4">
        <v>2035</v>
      </c>
      <c r="AJ2" s="4">
        <v>2036</v>
      </c>
      <c r="AK2" s="4">
        <v>2037</v>
      </c>
      <c r="AL2" s="4">
        <v>2038</v>
      </c>
      <c r="AM2" s="4">
        <v>2039</v>
      </c>
      <c r="AN2" s="4">
        <v>2040</v>
      </c>
      <c r="AO2" s="4">
        <v>2041</v>
      </c>
      <c r="AP2" s="4">
        <v>2042</v>
      </c>
    </row>
    <row r="3" spans="1:42" s="80" customFormat="1" x14ac:dyDescent="0.25">
      <c r="B3" s="80" t="s">
        <v>93</v>
      </c>
      <c r="D3" s="78">
        <f t="shared" ref="D3:O3" si="0">D4-D5</f>
        <v>-125081</v>
      </c>
      <c r="E3" s="78">
        <f t="shared" si="0"/>
        <v>155</v>
      </c>
      <c r="F3" s="78">
        <f t="shared" si="0"/>
        <v>-188295</v>
      </c>
      <c r="G3" s="78">
        <f t="shared" si="0"/>
        <v>-3088</v>
      </c>
      <c r="H3" s="78">
        <f t="shared" si="0"/>
        <v>-357578</v>
      </c>
      <c r="I3" s="78">
        <f t="shared" si="0"/>
        <v>-188295</v>
      </c>
      <c r="J3" s="78">
        <f t="shared" si="0"/>
        <v>-195006</v>
      </c>
      <c r="K3" s="78">
        <f t="shared" si="0"/>
        <v>-297026</v>
      </c>
      <c r="L3" s="78">
        <f t="shared" si="0"/>
        <v>-357578</v>
      </c>
      <c r="M3" s="78">
        <f t="shared" si="0"/>
        <v>-351092</v>
      </c>
      <c r="N3" s="78">
        <f t="shared" si="0"/>
        <v>-404931</v>
      </c>
      <c r="O3" s="78">
        <f t="shared" si="0"/>
        <v>-331908</v>
      </c>
      <c r="P3" s="78">
        <f>P4-P5</f>
        <v>-252864</v>
      </c>
      <c r="U3" s="78">
        <f>SUM(E3:H3)</f>
        <v>-548806</v>
      </c>
      <c r="V3" s="3">
        <f>SUM(I3:L3)</f>
        <v>-1037905</v>
      </c>
      <c r="W3" s="3">
        <f>SUM(M3:P3)</f>
        <v>-1340795</v>
      </c>
    </row>
    <row r="4" spans="1:42" s="86" customFormat="1" x14ac:dyDescent="0.25">
      <c r="B4" s="87" t="s">
        <v>91</v>
      </c>
      <c r="C4" s="87"/>
      <c r="D4" s="86">
        <v>26392</v>
      </c>
      <c r="E4" s="86">
        <v>174</v>
      </c>
      <c r="F4" s="86">
        <v>57675</v>
      </c>
      <c r="G4" s="86">
        <v>232</v>
      </c>
      <c r="H4" s="86">
        <v>257713</v>
      </c>
      <c r="I4" s="86">
        <v>57675</v>
      </c>
      <c r="J4" s="86">
        <v>97336</v>
      </c>
      <c r="K4" s="86">
        <v>195457</v>
      </c>
      <c r="L4" s="86">
        <v>257713</v>
      </c>
      <c r="M4" s="86">
        <v>149432</v>
      </c>
      <c r="N4" s="86">
        <v>150874</v>
      </c>
      <c r="O4" s="86">
        <v>137814</v>
      </c>
      <c r="P4" s="86">
        <v>157151</v>
      </c>
      <c r="U4" s="86">
        <f>SUM(E4:H4)</f>
        <v>315794</v>
      </c>
      <c r="V4" s="86">
        <f>SUM(I4:L4)</f>
        <v>608181</v>
      </c>
      <c r="W4" s="86">
        <f>SUM(M4:P4)</f>
        <v>595271</v>
      </c>
    </row>
    <row r="5" spans="1:42" s="3" customFormat="1" x14ac:dyDescent="0.25">
      <c r="B5" s="74" t="s">
        <v>92</v>
      </c>
      <c r="C5" s="74"/>
      <c r="D5" s="3">
        <v>151473</v>
      </c>
      <c r="E5" s="3">
        <v>19</v>
      </c>
      <c r="F5" s="3">
        <v>245970</v>
      </c>
      <c r="G5" s="3">
        <v>3320</v>
      </c>
      <c r="H5" s="3">
        <v>615291</v>
      </c>
      <c r="I5" s="3">
        <v>245970</v>
      </c>
      <c r="J5" s="3">
        <v>292342</v>
      </c>
      <c r="K5" s="3">
        <v>492483</v>
      </c>
      <c r="L5" s="3">
        <v>615291</v>
      </c>
      <c r="M5" s="3">
        <v>500524</v>
      </c>
      <c r="N5" s="3">
        <v>555805</v>
      </c>
      <c r="O5" s="3">
        <v>469722</v>
      </c>
      <c r="P5" s="3">
        <v>410015</v>
      </c>
      <c r="U5" s="78">
        <f t="shared" ref="U5:U9" si="1">SUM(E5:H5)</f>
        <v>864600</v>
      </c>
      <c r="V5" s="3">
        <f>SUM(I5:L5)</f>
        <v>1646086</v>
      </c>
      <c r="W5" s="3">
        <f t="shared" ref="W5:W9" si="2">SUM(M5:P5)</f>
        <v>1936066</v>
      </c>
    </row>
    <row r="6" spans="1:42" s="78" customFormat="1" x14ac:dyDescent="0.25">
      <c r="B6" s="77" t="s">
        <v>94</v>
      </c>
      <c r="C6" s="77"/>
      <c r="D6" s="78">
        <v>163606</v>
      </c>
      <c r="E6" s="78">
        <v>176802</v>
      </c>
      <c r="F6" s="78">
        <v>186076</v>
      </c>
      <c r="G6" s="78">
        <v>242408</v>
      </c>
      <c r="H6" s="78">
        <v>221294</v>
      </c>
      <c r="I6" s="78">
        <v>186076</v>
      </c>
      <c r="J6" s="78">
        <v>200381</v>
      </c>
      <c r="K6" s="78">
        <v>213761</v>
      </c>
      <c r="L6" s="78">
        <v>221294</v>
      </c>
      <c r="M6" s="78">
        <v>229803</v>
      </c>
      <c r="N6" s="78">
        <v>233474</v>
      </c>
      <c r="O6" s="78">
        <v>230758</v>
      </c>
      <c r="P6" s="78">
        <v>242977</v>
      </c>
      <c r="U6" s="78">
        <f t="shared" si="1"/>
        <v>826580</v>
      </c>
      <c r="V6" s="3">
        <f t="shared" ref="V6:V9" si="3">SUM(I6:L6)</f>
        <v>821512</v>
      </c>
      <c r="W6" s="3">
        <f t="shared" si="2"/>
        <v>937012</v>
      </c>
    </row>
    <row r="7" spans="1:42" s="3" customFormat="1" x14ac:dyDescent="0.25">
      <c r="B7" s="74" t="s">
        <v>95</v>
      </c>
      <c r="C7" s="74"/>
      <c r="D7" s="3">
        <v>196997</v>
      </c>
      <c r="E7" s="3">
        <v>72272</v>
      </c>
      <c r="F7" s="3">
        <v>223159</v>
      </c>
      <c r="G7" s="3">
        <v>251554</v>
      </c>
      <c r="H7" s="3">
        <v>170867</v>
      </c>
      <c r="I7" s="3">
        <v>223159</v>
      </c>
      <c r="J7" s="3">
        <v>163812</v>
      </c>
      <c r="K7" s="3">
        <v>176736</v>
      </c>
      <c r="L7" s="3">
        <v>170867</v>
      </c>
      <c r="M7" s="3">
        <v>168770</v>
      </c>
      <c r="N7" s="3">
        <v>197748</v>
      </c>
      <c r="O7" s="3">
        <v>189691</v>
      </c>
      <c r="P7" s="3">
        <v>241026</v>
      </c>
      <c r="U7" s="78">
        <f t="shared" si="1"/>
        <v>717852</v>
      </c>
      <c r="V7" s="3">
        <f t="shared" si="3"/>
        <v>734574</v>
      </c>
      <c r="W7" s="3">
        <f t="shared" si="2"/>
        <v>797235</v>
      </c>
    </row>
    <row r="8" spans="1:42" s="3" customFormat="1" x14ac:dyDescent="0.25">
      <c r="B8" s="74" t="s">
        <v>96</v>
      </c>
      <c r="C8" s="74"/>
      <c r="M8" s="3">
        <v>22496</v>
      </c>
      <c r="N8" s="3">
        <v>1532</v>
      </c>
      <c r="O8" s="3">
        <v>518</v>
      </c>
      <c r="P8" s="3">
        <v>0</v>
      </c>
      <c r="U8" s="78">
        <f t="shared" si="1"/>
        <v>0</v>
      </c>
      <c r="V8" s="3">
        <f t="shared" si="3"/>
        <v>0</v>
      </c>
      <c r="W8" s="3">
        <f t="shared" si="2"/>
        <v>24546</v>
      </c>
    </row>
    <row r="9" spans="1:42" s="3" customFormat="1" x14ac:dyDescent="0.25">
      <c r="B9" s="74" t="s">
        <v>97</v>
      </c>
      <c r="C9" s="74"/>
      <c r="D9" s="3">
        <f>SUM(D5:D8)</f>
        <v>512076</v>
      </c>
      <c r="E9" s="3">
        <f>SUM(E5:E8)</f>
        <v>249093</v>
      </c>
      <c r="F9" s="3">
        <f>SUM(F5:F8)</f>
        <v>655205</v>
      </c>
      <c r="G9" s="3">
        <f>SUM(G5:G8)</f>
        <v>497282</v>
      </c>
      <c r="H9" s="3">
        <f>SUM(H5:H8)</f>
        <v>1007452</v>
      </c>
      <c r="I9" s="3">
        <f>SUM(I5:I8)</f>
        <v>655205</v>
      </c>
      <c r="J9" s="3">
        <f>SUM(J5:J8)</f>
        <v>656535</v>
      </c>
      <c r="K9" s="3">
        <f>SUM(K5:K8)</f>
        <v>882980</v>
      </c>
      <c r="L9" s="3">
        <f>SUM(L5:L8)</f>
        <v>1007452</v>
      </c>
      <c r="M9" s="3">
        <f>SUM(M5:M8)</f>
        <v>921593</v>
      </c>
      <c r="N9" s="3">
        <f>SUM(N5:N8)</f>
        <v>988559</v>
      </c>
      <c r="O9" s="3">
        <f>SUM(O5:O8)</f>
        <v>890689</v>
      </c>
      <c r="P9" s="3">
        <f>SUM(P5:P8)</f>
        <v>894018</v>
      </c>
      <c r="U9" s="78">
        <f t="shared" si="1"/>
        <v>2409032</v>
      </c>
      <c r="V9" s="3">
        <f t="shared" si="3"/>
        <v>3202172</v>
      </c>
      <c r="W9" s="3">
        <f t="shared" si="2"/>
        <v>3694859</v>
      </c>
    </row>
    <row r="10" spans="1:42" s="86" customFormat="1" x14ac:dyDescent="0.25">
      <c r="B10" s="87" t="s">
        <v>98</v>
      </c>
      <c r="C10" s="87"/>
      <c r="D10" s="86">
        <f>D4-D9</f>
        <v>-485684</v>
      </c>
      <c r="E10" s="86">
        <f>E4-E9</f>
        <v>-248919</v>
      </c>
      <c r="F10" s="86">
        <f>F4-F9</f>
        <v>-597530</v>
      </c>
      <c r="G10" s="86">
        <f>G4-G9</f>
        <v>-497050</v>
      </c>
      <c r="H10" s="86">
        <f>H4-H9</f>
        <v>-749739</v>
      </c>
      <c r="I10" s="86">
        <f>I4-I9</f>
        <v>-597530</v>
      </c>
      <c r="J10" s="86">
        <f>J4-J9</f>
        <v>-559199</v>
      </c>
      <c r="K10" s="86">
        <f>K4-K9</f>
        <v>-687523</v>
      </c>
      <c r="L10" s="86">
        <f>L4-L9</f>
        <v>-749739</v>
      </c>
      <c r="M10" s="86">
        <f>M4-M9</f>
        <v>-772161</v>
      </c>
      <c r="N10" s="86">
        <f>N4-N9</f>
        <v>-837685</v>
      </c>
      <c r="O10" s="86">
        <f>O4-O9</f>
        <v>-752875</v>
      </c>
      <c r="P10" s="86">
        <f>P4-P9</f>
        <v>-736867</v>
      </c>
      <c r="U10" s="86">
        <f>SUM(E10:H10)</f>
        <v>-2093238</v>
      </c>
      <c r="V10" s="86">
        <f>SUM(I10:L10)</f>
        <v>-2593991</v>
      </c>
      <c r="W10" s="86">
        <f>SUM(M10:P10)</f>
        <v>-3099588</v>
      </c>
    </row>
    <row r="11" spans="1:42" s="76" customFormat="1" x14ac:dyDescent="0.25">
      <c r="B11" s="74" t="s">
        <v>99</v>
      </c>
      <c r="C11" s="74"/>
      <c r="D11" s="3">
        <v>-557973</v>
      </c>
      <c r="E11" s="3">
        <v>-12382</v>
      </c>
      <c r="F11" s="3">
        <v>523330</v>
      </c>
      <c r="G11" s="3">
        <v>-24787</v>
      </c>
      <c r="H11" s="3">
        <v>255899</v>
      </c>
      <c r="I11" s="3">
        <v>523330</v>
      </c>
      <c r="J11" s="3">
        <v>334843</v>
      </c>
      <c r="K11" s="3">
        <v>140146</v>
      </c>
      <c r="L11" s="3">
        <v>255899</v>
      </c>
      <c r="M11" s="3">
        <v>-40802</v>
      </c>
      <c r="N11" s="3">
        <v>42133</v>
      </c>
      <c r="O11" s="3">
        <v>60316</v>
      </c>
      <c r="P11" s="3">
        <f>25279+5999</f>
        <v>31278</v>
      </c>
      <c r="U11" s="78">
        <f t="shared" ref="U11:U14" si="4">SUM(E11:H11)</f>
        <v>742060</v>
      </c>
      <c r="V11" s="3">
        <f t="shared" ref="V11:V15" si="5">SUM(I11:L11)</f>
        <v>1254218</v>
      </c>
      <c r="W11" s="3">
        <f>SUM(M11:P11)</f>
        <v>92925</v>
      </c>
    </row>
    <row r="12" spans="1:42" s="3" customFormat="1" x14ac:dyDescent="0.25">
      <c r="B12" s="3" t="s">
        <v>100</v>
      </c>
      <c r="H12" s="3">
        <v>29472</v>
      </c>
      <c r="J12" s="3">
        <v>2911</v>
      </c>
      <c r="K12" s="3">
        <v>24373</v>
      </c>
      <c r="L12" s="3">
        <v>29472</v>
      </c>
      <c r="M12" s="3">
        <v>40005</v>
      </c>
      <c r="N12" s="3">
        <v>39525</v>
      </c>
      <c r="O12" s="3">
        <v>66064</v>
      </c>
      <c r="P12" s="3">
        <v>58680</v>
      </c>
      <c r="U12" s="78">
        <f t="shared" si="4"/>
        <v>29472</v>
      </c>
      <c r="V12" s="3">
        <f t="shared" si="5"/>
        <v>56756</v>
      </c>
      <c r="W12" s="3">
        <f>SUM(M12:P12)</f>
        <v>204274</v>
      </c>
    </row>
    <row r="13" spans="1:42" s="3" customFormat="1" x14ac:dyDescent="0.25">
      <c r="B13" s="74" t="s">
        <v>101</v>
      </c>
      <c r="C13" s="74"/>
      <c r="D13" s="3">
        <v>-1263</v>
      </c>
      <c r="E13" s="3">
        <v>-30</v>
      </c>
      <c r="F13" s="3">
        <v>-7719</v>
      </c>
      <c r="G13" s="3">
        <v>-76</v>
      </c>
      <c r="H13" s="3">
        <v>-8075</v>
      </c>
      <c r="I13" s="3">
        <v>-7719</v>
      </c>
      <c r="J13" s="3">
        <v>-7189</v>
      </c>
      <c r="K13" s="3">
        <v>-7613</v>
      </c>
      <c r="L13" s="3">
        <v>-8075</v>
      </c>
      <c r="M13" s="3">
        <v>-7108</v>
      </c>
      <c r="N13" s="3">
        <v>-6690</v>
      </c>
      <c r="O13" s="3">
        <v>-3340</v>
      </c>
      <c r="P13" s="3">
        <v>-7777</v>
      </c>
      <c r="U13" s="78">
        <f t="shared" si="4"/>
        <v>-15900</v>
      </c>
      <c r="V13" s="3">
        <f t="shared" si="5"/>
        <v>-30596</v>
      </c>
      <c r="W13" s="3">
        <f t="shared" ref="W13:W17" si="6">SUM(M13:P13)</f>
        <v>-24915</v>
      </c>
    </row>
    <row r="14" spans="1:42" s="3" customFormat="1" x14ac:dyDescent="0.25">
      <c r="B14" s="74" t="s">
        <v>102</v>
      </c>
      <c r="C14" s="74"/>
      <c r="D14" s="3">
        <v>-742</v>
      </c>
      <c r="E14" s="3">
        <v>-390</v>
      </c>
      <c r="F14" s="3">
        <v>956</v>
      </c>
      <c r="G14" s="3">
        <f>-2717+249</f>
        <v>-2468</v>
      </c>
      <c r="H14" s="3">
        <v>-366</v>
      </c>
      <c r="I14" s="3">
        <v>956</v>
      </c>
      <c r="J14" s="3">
        <v>8277</v>
      </c>
      <c r="K14" s="3">
        <v>665</v>
      </c>
      <c r="L14" s="3">
        <v>-366</v>
      </c>
      <c r="M14" s="3">
        <v>667</v>
      </c>
      <c r="N14" s="3">
        <v>-928</v>
      </c>
      <c r="O14" s="3">
        <v>-763</v>
      </c>
      <c r="P14" s="3">
        <v>934</v>
      </c>
      <c r="U14" s="78">
        <f t="shared" si="4"/>
        <v>-2268</v>
      </c>
      <c r="V14" s="3">
        <f t="shared" si="5"/>
        <v>9532</v>
      </c>
      <c r="W14" s="3">
        <f t="shared" si="6"/>
        <v>-90</v>
      </c>
    </row>
    <row r="15" spans="1:42" s="78" customFormat="1" x14ac:dyDescent="0.25">
      <c r="B15" s="77" t="s">
        <v>111</v>
      </c>
      <c r="C15" s="77"/>
      <c r="D15" s="78">
        <f>D11+D12+D13+D14</f>
        <v>-559978</v>
      </c>
      <c r="E15" s="78">
        <f>E11+E12+E13+E14</f>
        <v>-12802</v>
      </c>
      <c r="F15" s="78">
        <f>F11+F12+F13+F14</f>
        <v>516567</v>
      </c>
      <c r="G15" s="78">
        <f>G11+G12+G13+G14</f>
        <v>-27331</v>
      </c>
      <c r="H15" s="78">
        <f>H11+H12+H13+H14</f>
        <v>276930</v>
      </c>
      <c r="I15" s="78">
        <f>I11+I12+I13+I14</f>
        <v>516567</v>
      </c>
      <c r="J15" s="78">
        <f>J11+J12+J13+J14</f>
        <v>338842</v>
      </c>
      <c r="K15" s="78">
        <f>K11+K12+K13+K14</f>
        <v>157571</v>
      </c>
      <c r="L15" s="78">
        <f>L11+L12+L13+L14</f>
        <v>276930</v>
      </c>
      <c r="M15" s="78">
        <f>M11+M12+M13+M14</f>
        <v>-7238</v>
      </c>
      <c r="N15" s="78">
        <f>N11+N12+N13+N14</f>
        <v>74040</v>
      </c>
      <c r="O15" s="78">
        <f>O11+O12+O13+O14</f>
        <v>122277</v>
      </c>
      <c r="P15" s="78">
        <f>P11+P12+P13+P14</f>
        <v>83115</v>
      </c>
      <c r="U15" s="78">
        <f>SUM(E15:H15)</f>
        <v>753364</v>
      </c>
      <c r="V15" s="3">
        <f t="shared" si="5"/>
        <v>1289910</v>
      </c>
      <c r="W15" s="3">
        <f t="shared" si="6"/>
        <v>272194</v>
      </c>
    </row>
    <row r="16" spans="1:42" s="86" customFormat="1" x14ac:dyDescent="0.25">
      <c r="B16" s="87" t="s">
        <v>104</v>
      </c>
      <c r="C16" s="87"/>
      <c r="D16" s="86">
        <f>D10+D15</f>
        <v>-1045662</v>
      </c>
      <c r="E16" s="86">
        <f>E10+E15</f>
        <v>-261721</v>
      </c>
      <c r="F16" s="86">
        <f>F10+F15</f>
        <v>-80963</v>
      </c>
      <c r="G16" s="86">
        <f>G10+G15</f>
        <v>-524381</v>
      </c>
      <c r="H16" s="86">
        <f>H10+H15</f>
        <v>-472809</v>
      </c>
      <c r="I16" s="86">
        <f>I10+I15</f>
        <v>-80963</v>
      </c>
      <c r="J16" s="86">
        <f>J10+J15</f>
        <v>-220357</v>
      </c>
      <c r="K16" s="86">
        <f>K10+K15</f>
        <v>-529952</v>
      </c>
      <c r="L16" s="86">
        <f>L10+L15</f>
        <v>-472809</v>
      </c>
      <c r="M16" s="86">
        <f>M10+M15</f>
        <v>-779399</v>
      </c>
      <c r="N16" s="86">
        <f>N10+N15</f>
        <v>-763645</v>
      </c>
      <c r="O16" s="86">
        <f>O10+O15</f>
        <v>-630598</v>
      </c>
      <c r="P16" s="86">
        <f>P10+P15</f>
        <v>-653752</v>
      </c>
      <c r="U16" s="86">
        <f>SUM(E16:H16)</f>
        <v>-1339874</v>
      </c>
      <c r="V16" s="86">
        <f>SUM(I16:L16)</f>
        <v>-1304081</v>
      </c>
      <c r="W16" s="86">
        <f>SUM(M16:P16)</f>
        <v>-2827394</v>
      </c>
    </row>
    <row r="17" spans="1:23" s="76" customFormat="1" ht="15.75" thickBot="1" x14ac:dyDescent="0.3">
      <c r="B17" s="74" t="s">
        <v>105</v>
      </c>
      <c r="C17" s="74"/>
      <c r="D17" s="3">
        <v>18</v>
      </c>
      <c r="E17" s="3">
        <v>5</v>
      </c>
      <c r="F17" s="3">
        <v>323</v>
      </c>
      <c r="G17" s="3">
        <v>22</v>
      </c>
      <c r="H17" s="3">
        <v>-161</v>
      </c>
      <c r="I17" s="3">
        <v>323</v>
      </c>
      <c r="J17" s="3">
        <v>68</v>
      </c>
      <c r="K17" s="3">
        <v>149</v>
      </c>
      <c r="L17" s="3">
        <v>366</v>
      </c>
      <c r="M17" s="3">
        <v>129</v>
      </c>
      <c r="N17" s="3">
        <v>587</v>
      </c>
      <c r="O17" s="3">
        <v>296</v>
      </c>
      <c r="P17" s="3">
        <v>14</v>
      </c>
      <c r="U17" s="78">
        <f>SUM(E17:H17)</f>
        <v>189</v>
      </c>
      <c r="V17" s="3">
        <f>SUM(I17:L17)</f>
        <v>906</v>
      </c>
      <c r="W17" s="3">
        <f t="shared" si="6"/>
        <v>1026</v>
      </c>
    </row>
    <row r="18" spans="1:23" s="91" customFormat="1" ht="15.75" thickBot="1" x14ac:dyDescent="0.3">
      <c r="A18" s="88"/>
      <c r="B18" s="89" t="s">
        <v>106</v>
      </c>
      <c r="C18" s="89"/>
      <c r="D18" s="90">
        <f>D16-D17</f>
        <v>-1045680</v>
      </c>
      <c r="E18" s="90">
        <f>E16-E17</f>
        <v>-261726</v>
      </c>
      <c r="F18" s="90">
        <f>F16-F17</f>
        <v>-81286</v>
      </c>
      <c r="G18" s="90">
        <f>G16-G17</f>
        <v>-524403</v>
      </c>
      <c r="H18" s="90">
        <f>H16-H17</f>
        <v>-472648</v>
      </c>
      <c r="I18" s="90">
        <f>I16-I17</f>
        <v>-81286</v>
      </c>
      <c r="J18" s="90">
        <f>J16-J17</f>
        <v>-220425</v>
      </c>
      <c r="K18" s="90">
        <f>K16-K17</f>
        <v>-530101</v>
      </c>
      <c r="L18" s="90">
        <f>L16-L17</f>
        <v>-473175</v>
      </c>
      <c r="M18" s="90">
        <f>M16-M17</f>
        <v>-779528</v>
      </c>
      <c r="N18" s="90">
        <f>N16-N17</f>
        <v>-764232</v>
      </c>
      <c r="O18" s="90">
        <f>O16-O17</f>
        <v>-630894</v>
      </c>
      <c r="P18" s="90">
        <f>P16-P17</f>
        <v>-653766</v>
      </c>
      <c r="U18" s="91">
        <f>SUM(E18:H18)</f>
        <v>-1340063</v>
      </c>
      <c r="V18" s="91">
        <f>SUM(I18:L18)</f>
        <v>-1304987</v>
      </c>
      <c r="W18" s="91">
        <f>SUM(M18:P18)</f>
        <v>-2828420</v>
      </c>
    </row>
    <row r="19" spans="1:23" s="83" customFormat="1" x14ac:dyDescent="0.25">
      <c r="B19" s="81" t="s">
        <v>107</v>
      </c>
      <c r="C19" s="81"/>
      <c r="D19" s="82">
        <f>D18/D20</f>
        <v>-0.63908451805293331</v>
      </c>
      <c r="E19" s="82">
        <f>E18/E20</f>
        <v>-7.2103790051095213</v>
      </c>
      <c r="F19" s="82">
        <f>F18/F20</f>
        <v>-4.9135525839368463E-2</v>
      </c>
      <c r="G19" s="82">
        <f>G18/G20</f>
        <v>-0.43088667939486919</v>
      </c>
      <c r="H19" s="82">
        <f>H18/H20</f>
        <v>-0.27592600666374079</v>
      </c>
      <c r="I19" s="82">
        <f>I18/I20</f>
        <v>-4.9135525839368463E-2</v>
      </c>
      <c r="J19" s="82">
        <f>J18/J20</f>
        <v>-0.13067523540352965</v>
      </c>
      <c r="K19" s="82">
        <f>K18/K20</f>
        <v>-0.31349049518363714</v>
      </c>
      <c r="L19" s="82">
        <f>L18/L20</f>
        <v>-0.2762336626900263</v>
      </c>
      <c r="M19" s="82">
        <f>M18/M20</f>
        <v>-0.42557043015183288</v>
      </c>
      <c r="N19" s="82">
        <f>N18/N20</f>
        <v>-0.39960682405610554</v>
      </c>
      <c r="O19" s="82">
        <f>O18/O20</f>
        <v>-0.27616926981835499</v>
      </c>
      <c r="P19" s="82">
        <f>P18/P20</f>
        <v>-0.28523417571771015</v>
      </c>
      <c r="U19" s="78">
        <f t="shared" ref="U19:U23" si="7">SUM(E19:H19)</f>
        <v>-7.9663272170074997</v>
      </c>
      <c r="V19" s="3">
        <f t="shared" ref="V19:V23" si="8">SUM(I19:L19)</f>
        <v>-0.76953491911656158</v>
      </c>
      <c r="W19" s="3">
        <f t="shared" ref="W19:W23" si="9">SUM(M19:P19)</f>
        <v>-1.3865806997440036</v>
      </c>
    </row>
    <row r="20" spans="1:23" s="80" customFormat="1" x14ac:dyDescent="0.25">
      <c r="B20" s="77" t="s">
        <v>1</v>
      </c>
      <c r="C20" s="77"/>
      <c r="D20" s="78">
        <v>1636215.5090000001</v>
      </c>
      <c r="E20" s="78">
        <v>36298.508000000002</v>
      </c>
      <c r="F20" s="78">
        <v>1654322.379</v>
      </c>
      <c r="G20" s="78">
        <v>1217032.2849999999</v>
      </c>
      <c r="H20" s="78">
        <v>1712951.9820000001</v>
      </c>
      <c r="I20" s="78">
        <v>1654322.379</v>
      </c>
      <c r="J20" s="78">
        <v>1686815.4040000001</v>
      </c>
      <c r="K20" s="78">
        <v>1690963.548</v>
      </c>
      <c r="L20" s="78">
        <v>1712951.9820000001</v>
      </c>
      <c r="M20" s="78">
        <v>1831725.0090000001</v>
      </c>
      <c r="N20" s="78">
        <v>1912459.8330000001</v>
      </c>
      <c r="O20" s="78">
        <v>2284446.7829999998</v>
      </c>
      <c r="P20" s="78">
        <v>2292032.497</v>
      </c>
      <c r="U20" s="78">
        <f>AVERAGE(E20:H20)</f>
        <v>1155151.2885</v>
      </c>
      <c r="V20" s="3">
        <f>AVERAGE(I20:L20)</f>
        <v>1686263.32825</v>
      </c>
      <c r="W20" s="3">
        <f>AVERAGE(M20:P20)</f>
        <v>2080166.0304999999</v>
      </c>
    </row>
    <row r="21" spans="1:23" s="79" customFormat="1" x14ac:dyDescent="0.25">
      <c r="B21" s="74" t="s">
        <v>108</v>
      </c>
      <c r="C21" s="74"/>
      <c r="D21" s="3"/>
      <c r="E21" s="3"/>
      <c r="F21" s="3"/>
      <c r="G21" s="3">
        <v>-12575</v>
      </c>
      <c r="H21" s="3">
        <v>1694</v>
      </c>
      <c r="I21" s="3"/>
      <c r="J21" s="3">
        <v>-691</v>
      </c>
      <c r="K21" s="3">
        <v>-12575</v>
      </c>
      <c r="L21" s="3">
        <v>10079</v>
      </c>
      <c r="M21" s="3">
        <v>4035</v>
      </c>
      <c r="N21" s="3">
        <v>-2999</v>
      </c>
      <c r="O21" s="3">
        <v>1554</v>
      </c>
      <c r="P21" s="3">
        <v>10079</v>
      </c>
      <c r="U21" s="78">
        <f t="shared" si="7"/>
        <v>-10881</v>
      </c>
      <c r="V21" s="3">
        <f t="shared" si="8"/>
        <v>-3187</v>
      </c>
      <c r="W21" s="3">
        <f t="shared" si="9"/>
        <v>12669</v>
      </c>
    </row>
    <row r="22" spans="1:23" s="3" customFormat="1" x14ac:dyDescent="0.25">
      <c r="B22" s="74" t="s">
        <v>109</v>
      </c>
      <c r="C22" s="74"/>
      <c r="L22" s="3">
        <v>5134</v>
      </c>
      <c r="N22" s="3">
        <v>586</v>
      </c>
      <c r="O22" s="3">
        <v>-1967</v>
      </c>
      <c r="P22" s="3">
        <v>5134</v>
      </c>
      <c r="U22" s="78">
        <f t="shared" si="7"/>
        <v>0</v>
      </c>
      <c r="V22" s="3">
        <f t="shared" si="8"/>
        <v>5134</v>
      </c>
      <c r="W22" s="3">
        <f t="shared" si="9"/>
        <v>3753</v>
      </c>
    </row>
    <row r="23" spans="1:23" s="3" customFormat="1" x14ac:dyDescent="0.25">
      <c r="B23" s="74" t="s">
        <v>103</v>
      </c>
      <c r="C23" s="74"/>
      <c r="D23" s="3">
        <f>SUM(D21:D22)</f>
        <v>0</v>
      </c>
      <c r="E23" s="3">
        <f>SUM(E21:E22)</f>
        <v>0</v>
      </c>
      <c r="F23" s="3">
        <f>SUM(F21:F22)</f>
        <v>0</v>
      </c>
      <c r="G23" s="3">
        <f>SUM(G21:G22)</f>
        <v>-12575</v>
      </c>
      <c r="H23" s="3">
        <f>SUM(H21:H22)</f>
        <v>1694</v>
      </c>
      <c r="I23" s="3">
        <f>SUM(I21:I22)</f>
        <v>0</v>
      </c>
      <c r="J23" s="3">
        <f>SUM(J21:J22)</f>
        <v>-691</v>
      </c>
      <c r="K23" s="3">
        <f>SUM(K21:K22)</f>
        <v>-12575</v>
      </c>
      <c r="L23" s="3">
        <f>SUM(L21:L22)</f>
        <v>15213</v>
      </c>
      <c r="M23" s="3">
        <f>SUM(M21:M22)</f>
        <v>4035</v>
      </c>
      <c r="N23" s="3">
        <f>SUM(N21:N22)</f>
        <v>-2413</v>
      </c>
      <c r="O23" s="3">
        <f>SUM(O21:O22)</f>
        <v>-413</v>
      </c>
      <c r="P23" s="3">
        <f>SUM(P21:P22)</f>
        <v>15213</v>
      </c>
      <c r="U23" s="78">
        <f t="shared" si="7"/>
        <v>-10881</v>
      </c>
      <c r="V23" s="3">
        <f t="shared" si="8"/>
        <v>1947</v>
      </c>
      <c r="W23" s="3">
        <f t="shared" si="9"/>
        <v>16422</v>
      </c>
    </row>
    <row r="24" spans="1:23" s="92" customFormat="1" ht="15.75" thickBot="1" x14ac:dyDescent="0.3">
      <c r="B24" s="93" t="s">
        <v>110</v>
      </c>
      <c r="C24" s="93"/>
      <c r="D24" s="92">
        <f>D18+D23</f>
        <v>-1045680</v>
      </c>
      <c r="E24" s="92">
        <f>E18+E23</f>
        <v>-261726</v>
      </c>
      <c r="F24" s="92">
        <f>F18+F23</f>
        <v>-81286</v>
      </c>
      <c r="G24" s="92">
        <f>G18+G23</f>
        <v>-536978</v>
      </c>
      <c r="H24" s="92">
        <f>H18+H23</f>
        <v>-470954</v>
      </c>
      <c r="I24" s="92">
        <f>I18+I23</f>
        <v>-81286</v>
      </c>
      <c r="J24" s="92">
        <f>J18+J23</f>
        <v>-221116</v>
      </c>
      <c r="K24" s="92">
        <f>K18+K23</f>
        <v>-542676</v>
      </c>
      <c r="L24" s="92">
        <f>L18+L23</f>
        <v>-457962</v>
      </c>
      <c r="M24" s="92">
        <f>M18+M23</f>
        <v>-775493</v>
      </c>
      <c r="N24" s="92">
        <f>N18+N23</f>
        <v>-766645</v>
      </c>
      <c r="O24" s="92">
        <f>O18+O23</f>
        <v>-631307</v>
      </c>
      <c r="P24" s="92">
        <f>P18+P23</f>
        <v>-638553</v>
      </c>
      <c r="U24" s="92">
        <f>SUM(E24:H24)</f>
        <v>-1350944</v>
      </c>
      <c r="V24" s="92">
        <f>SUM(I24:L24)</f>
        <v>-1303040</v>
      </c>
      <c r="W24" s="92">
        <f>SUM(M24:P24)</f>
        <v>-2811998</v>
      </c>
    </row>
    <row r="25" spans="1:23" s="79" customFormat="1" ht="15.75" thickTop="1" x14ac:dyDescent="0.25">
      <c r="B25" s="79" t="s">
        <v>112</v>
      </c>
      <c r="D25" s="94">
        <f>D24/D20</f>
        <v>-0.63908451805293331</v>
      </c>
      <c r="E25" s="94">
        <f>E24/E20</f>
        <v>-7.2103790051095213</v>
      </c>
      <c r="F25" s="94">
        <f>F24/F20</f>
        <v>-4.9135525839368463E-2</v>
      </c>
      <c r="G25" s="94">
        <f>G24/G20</f>
        <v>-0.44121919082861472</v>
      </c>
      <c r="H25" s="94">
        <f>H24/H20</f>
        <v>-0.27493707059442835</v>
      </c>
      <c r="I25" s="94">
        <f>I24/I20</f>
        <v>-4.9135525839368463E-2</v>
      </c>
      <c r="J25" s="94">
        <f>J24/J20</f>
        <v>-0.13108488307354821</v>
      </c>
      <c r="K25" s="94">
        <f>K24/K20</f>
        <v>-0.32092708363929795</v>
      </c>
      <c r="L25" s="94">
        <f>L24/L20</f>
        <v>-0.26735250305457775</v>
      </c>
      <c r="M25" s="94">
        <f>M24/M20</f>
        <v>-0.42336758857890333</v>
      </c>
      <c r="N25" s="94">
        <f>N24/N20</f>
        <v>-0.40086854990172227</v>
      </c>
      <c r="O25" s="94">
        <f>O24/O20</f>
        <v>-0.27635005757102815</v>
      </c>
      <c r="P25" s="94">
        <f>P24/P20</f>
        <v>-0.27859683526991458</v>
      </c>
      <c r="U25" s="85">
        <f>SUM(E25:H25)</f>
        <v>-7.9756707923719325</v>
      </c>
      <c r="V25" s="84">
        <f>SUM(I25:L25)</f>
        <v>-0.76849999560679239</v>
      </c>
      <c r="W25" s="84">
        <f>SUM(M25:P25)</f>
        <v>-1.3791830313215685</v>
      </c>
    </row>
    <row r="26" spans="1:23" x14ac:dyDescent="0.25">
      <c r="B26" s="75"/>
      <c r="C26" s="75"/>
    </row>
    <row r="27" spans="1:23" s="95" customFormat="1" x14ac:dyDescent="0.25">
      <c r="B27" s="96" t="s">
        <v>118</v>
      </c>
      <c r="C27" s="96"/>
      <c r="G27" s="101"/>
      <c r="H27" s="101">
        <f t="shared" ref="H27:O27" si="10">H4/D4-1</f>
        <v>8.7648150954834794</v>
      </c>
      <c r="I27" s="101">
        <f t="shared" si="10"/>
        <v>330.4655172413793</v>
      </c>
      <c r="J27" s="101">
        <f t="shared" si="10"/>
        <v>0.68766363242306028</v>
      </c>
      <c r="K27" s="101">
        <f t="shared" si="10"/>
        <v>841.48706896551721</v>
      </c>
      <c r="L27" s="101">
        <f t="shared" si="10"/>
        <v>0</v>
      </c>
      <c r="M27" s="101">
        <f t="shared" si="10"/>
        <v>1.5909319462505418</v>
      </c>
      <c r="N27" s="101">
        <f t="shared" si="10"/>
        <v>0.55003287581162152</v>
      </c>
      <c r="O27" s="101">
        <f t="shared" si="10"/>
        <v>-0.2949139708478079</v>
      </c>
      <c r="P27" s="101">
        <f>P4/L4-1</f>
        <v>-0.39020926379344467</v>
      </c>
      <c r="V27" s="101">
        <f>V4/U4-1</f>
        <v>0.92587889573582771</v>
      </c>
      <c r="W27" s="101">
        <f>W4/V4-1</f>
        <v>-2.1227233340074703E-2</v>
      </c>
    </row>
    <row r="28" spans="1:23" s="97" customFormat="1" x14ac:dyDescent="0.25">
      <c r="B28" s="98" t="s">
        <v>119</v>
      </c>
      <c r="C28" s="98"/>
      <c r="E28" s="102">
        <f t="shared" ref="E28:O28" si="11">E4/D4-1</f>
        <v>-0.99340709305850261</v>
      </c>
      <c r="F28" s="102">
        <f t="shared" si="11"/>
        <v>330.4655172413793</v>
      </c>
      <c r="G28" s="102">
        <f t="shared" si="11"/>
        <v>-0.99597745990463804</v>
      </c>
      <c r="H28" s="102">
        <f t="shared" si="11"/>
        <v>1109.8318965517242</v>
      </c>
      <c r="I28" s="102">
        <f t="shared" si="11"/>
        <v>-0.77620453760578623</v>
      </c>
      <c r="J28" s="102">
        <f t="shared" si="11"/>
        <v>0.68766363242306028</v>
      </c>
      <c r="K28" s="102">
        <f t="shared" si="11"/>
        <v>1.0080648475384235</v>
      </c>
      <c r="L28" s="102">
        <f t="shared" si="11"/>
        <v>0.31851506981075128</v>
      </c>
      <c r="M28" s="102">
        <f t="shared" si="11"/>
        <v>-0.42016118705691996</v>
      </c>
      <c r="N28" s="102">
        <f t="shared" si="11"/>
        <v>9.6498741902670826E-3</v>
      </c>
      <c r="O28" s="102">
        <f t="shared" si="11"/>
        <v>-8.6562297016053114E-2</v>
      </c>
      <c r="P28" s="102">
        <f>P4/O4-1</f>
        <v>0.14031230499078462</v>
      </c>
    </row>
    <row r="29" spans="1:23" x14ac:dyDescent="0.25">
      <c r="B29" s="75"/>
      <c r="C29" s="75"/>
    </row>
    <row r="30" spans="1:23" s="95" customFormat="1" x14ac:dyDescent="0.25">
      <c r="B30" s="96" t="s">
        <v>120</v>
      </c>
      <c r="C30" s="96"/>
      <c r="D30" s="101">
        <f t="shared" ref="D30:O30" si="12">D3/D4</f>
        <v>-4.7393528341921796</v>
      </c>
      <c r="E30" s="101">
        <f t="shared" si="12"/>
        <v>0.89080459770114939</v>
      </c>
      <c r="F30" s="101">
        <f t="shared" si="12"/>
        <v>-3.2647594278283485</v>
      </c>
      <c r="G30" s="101">
        <f t="shared" si="12"/>
        <v>-13.310344827586206</v>
      </c>
      <c r="H30" s="101">
        <f t="shared" si="12"/>
        <v>-1.3875047048460885</v>
      </c>
      <c r="I30" s="101">
        <f t="shared" si="12"/>
        <v>-3.2647594278283485</v>
      </c>
      <c r="J30" s="101">
        <f t="shared" si="12"/>
        <v>-2.0034314128380046</v>
      </c>
      <c r="K30" s="101">
        <f t="shared" si="12"/>
        <v>-1.5196488230147807</v>
      </c>
      <c r="L30" s="101">
        <f t="shared" si="12"/>
        <v>-1.3875047048460885</v>
      </c>
      <c r="M30" s="101">
        <f t="shared" si="12"/>
        <v>-2.3495101450827134</v>
      </c>
      <c r="N30" s="101">
        <f t="shared" si="12"/>
        <v>-2.6839017988520224</v>
      </c>
      <c r="O30" s="101">
        <f t="shared" si="12"/>
        <v>-2.4083765074665853</v>
      </c>
      <c r="P30" s="101">
        <f>P3/P4</f>
        <v>-1.609051167348601</v>
      </c>
      <c r="U30" s="101">
        <v>-1.609051167348601</v>
      </c>
      <c r="V30" s="101">
        <f>V3/V4</f>
        <v>-1.7065725499481239</v>
      </c>
      <c r="W30" s="101">
        <f>W3/W4</f>
        <v>-2.2524110867151266</v>
      </c>
    </row>
    <row r="31" spans="1:23" s="99" customFormat="1" x14ac:dyDescent="0.25">
      <c r="B31" s="100" t="s">
        <v>121</v>
      </c>
      <c r="C31" s="100"/>
      <c r="D31" s="103">
        <f t="shared" ref="D31:O31" si="13">D10/D4</f>
        <v>-18.402697787208243</v>
      </c>
      <c r="E31" s="103">
        <f t="shared" si="13"/>
        <v>-1430.5689655172414</v>
      </c>
      <c r="F31" s="103">
        <f t="shared" si="13"/>
        <v>-10.360294755093195</v>
      </c>
      <c r="G31" s="103">
        <f t="shared" si="13"/>
        <v>-2142.4568965517242</v>
      </c>
      <c r="H31" s="103">
        <f t="shared" si="13"/>
        <v>-2.9092013208491618</v>
      </c>
      <c r="I31" s="103">
        <f t="shared" si="13"/>
        <v>-10.360294755093195</v>
      </c>
      <c r="J31" s="103">
        <f t="shared" si="13"/>
        <v>-5.7450378071833645</v>
      </c>
      <c r="K31" s="103">
        <f t="shared" si="13"/>
        <v>-3.5175153614349961</v>
      </c>
      <c r="L31" s="103">
        <f t="shared" si="13"/>
        <v>-2.9092013208491618</v>
      </c>
      <c r="M31" s="103">
        <f t="shared" si="13"/>
        <v>-5.1673068686760537</v>
      </c>
      <c r="N31" s="103">
        <f t="shared" si="13"/>
        <v>-5.5522157561939105</v>
      </c>
      <c r="O31" s="103">
        <f t="shared" si="13"/>
        <v>-5.4629790877559605</v>
      </c>
      <c r="P31" s="103">
        <f>P10/P4</f>
        <v>-4.6889106655382404</v>
      </c>
      <c r="U31" s="103">
        <v>-4.6889106655382404</v>
      </c>
      <c r="V31" s="103">
        <f>V10/V4</f>
        <v>-4.2651628380367033</v>
      </c>
      <c r="W31" s="103">
        <f>W10/W4</f>
        <v>-5.2070199959346244</v>
      </c>
    </row>
    <row r="32" spans="1:23" s="99" customFormat="1" x14ac:dyDescent="0.25">
      <c r="B32" s="100" t="s">
        <v>122</v>
      </c>
      <c r="C32" s="100"/>
      <c r="D32" s="103">
        <f t="shared" ref="D32:O32" si="14">D24/D4</f>
        <v>-39.621097302212789</v>
      </c>
      <c r="E32" s="103">
        <f t="shared" si="14"/>
        <v>-1504.1724137931035</v>
      </c>
      <c r="F32" s="103">
        <f t="shared" si="14"/>
        <v>-1.4093801473775467</v>
      </c>
      <c r="G32" s="103">
        <f t="shared" si="14"/>
        <v>-2314.5603448275861</v>
      </c>
      <c r="H32" s="103">
        <f t="shared" si="14"/>
        <v>-1.8274359461882017</v>
      </c>
      <c r="I32" s="103">
        <f t="shared" si="14"/>
        <v>-1.4093801473775467</v>
      </c>
      <c r="J32" s="103">
        <f t="shared" si="14"/>
        <v>-2.2716774882879922</v>
      </c>
      <c r="K32" s="103">
        <f t="shared" si="14"/>
        <v>-2.7764469934563611</v>
      </c>
      <c r="L32" s="103">
        <f t="shared" si="14"/>
        <v>-1.7770232778323174</v>
      </c>
      <c r="M32" s="103">
        <f t="shared" si="14"/>
        <v>-5.1896046362224961</v>
      </c>
      <c r="N32" s="103">
        <f t="shared" si="14"/>
        <v>-5.0813592799289475</v>
      </c>
      <c r="O32" s="103">
        <f t="shared" si="14"/>
        <v>-4.5808626119262197</v>
      </c>
      <c r="P32" s="103">
        <f>P24/P4</f>
        <v>-4.0633085376485036</v>
      </c>
      <c r="U32" s="103">
        <v>-4.0633085376485036</v>
      </c>
      <c r="V32" s="103">
        <f>V24/V4</f>
        <v>-2.1425200721495741</v>
      </c>
      <c r="W32" s="103">
        <f>W24/W4</f>
        <v>-4.7238955030565908</v>
      </c>
    </row>
    <row r="33" spans="2:23" s="97" customFormat="1" x14ac:dyDescent="0.25">
      <c r="B33" s="98" t="s">
        <v>123</v>
      </c>
      <c r="C33" s="98"/>
      <c r="D33" s="104">
        <f t="shared" ref="D33:M33" si="15">D17/D16</f>
        <v>-1.7213975452871003E-5</v>
      </c>
      <c r="E33" s="104">
        <f t="shared" si="15"/>
        <v>-1.91043133718731E-5</v>
      </c>
      <c r="F33" s="104">
        <f t="shared" si="15"/>
        <v>-3.9894766745303409E-3</v>
      </c>
      <c r="G33" s="104">
        <f t="shared" si="15"/>
        <v>-4.1954227937320384E-5</v>
      </c>
      <c r="H33" s="104">
        <f t="shared" si="15"/>
        <v>3.4051805274434285E-4</v>
      </c>
      <c r="I33" s="104">
        <f t="shared" si="15"/>
        <v>-3.9894766745303409E-3</v>
      </c>
      <c r="J33" s="104">
        <f t="shared" si="15"/>
        <v>-3.0859015143607871E-4</v>
      </c>
      <c r="K33" s="104">
        <f t="shared" si="15"/>
        <v>-2.8115753879596643E-4</v>
      </c>
      <c r="L33" s="104">
        <f t="shared" si="15"/>
        <v>-7.7409693977906517E-4</v>
      </c>
      <c r="M33" s="104">
        <f t="shared" si="15"/>
        <v>-1.6551214461399104E-4</v>
      </c>
      <c r="N33" s="104">
        <f>N17/N16</f>
        <v>-7.6868178276555204E-4</v>
      </c>
      <c r="O33" s="104">
        <f>O17/O16</f>
        <v>-4.6939571644692815E-4</v>
      </c>
      <c r="P33" s="104">
        <f>P17/P16</f>
        <v>-2.1414848444058298E-5</v>
      </c>
      <c r="U33" s="104">
        <v>-2.1414848444058298E-5</v>
      </c>
      <c r="V33" s="104">
        <f>V17/V16</f>
        <v>-6.9474212107990222E-4</v>
      </c>
      <c r="W33" s="104">
        <f>W17/W16</f>
        <v>-3.6287832541202254E-4</v>
      </c>
    </row>
    <row r="34" spans="2:23" x14ac:dyDescent="0.25">
      <c r="B34" s="75"/>
      <c r="C34" s="75"/>
    </row>
  </sheetData>
  <phoneticPr fontId="2" type="noConversion"/>
  <hyperlinks>
    <hyperlink ref="A1" location="LCID!A1" display="Main" xr:uid="{F11DAF57-F530-4668-9C6A-3624BEB892EC}"/>
    <hyperlink ref="B1" location="Deliveries!A1" display="Deliveries" xr:uid="{EC0AF759-9A88-4E07-BB56-F65F6DD63D17}"/>
  </hyperlinks>
  <pageMargins left="0.7" right="0.7" top="0.75" bottom="0.75" header="0.3" footer="0.3"/>
  <ignoredErrors>
    <ignoredError sqref="I23:P23 I9:P9 U5:W16 U21:W25 U4:W4 U17:W19" formulaRange="1"/>
    <ignoredError sqref="U20:W20" formula="1"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F4CC-D72F-428A-B85E-5FB83C73DAE8}">
  <dimension ref="A1:AK39"/>
  <sheetViews>
    <sheetView workbookViewId="0">
      <pane xSplit="2" ySplit="2" topLeftCell="C12" activePane="bottomRight" state="frozen"/>
      <selection pane="topRight" activeCell="C1" sqref="C1"/>
      <selection pane="bottomLeft" activeCell="A3" sqref="A3"/>
      <selection pane="bottomRight" activeCell="C1" sqref="C1"/>
    </sheetView>
  </sheetViews>
  <sheetFormatPr defaultRowHeight="15" x14ac:dyDescent="0.25"/>
  <cols>
    <col min="1" max="1" width="7.7109375" customWidth="1"/>
    <col min="2" max="3" width="13.140625" customWidth="1"/>
    <col min="4" max="4" width="11.5703125" customWidth="1"/>
  </cols>
  <sheetData>
    <row r="1" spans="1:37" ht="18.75" x14ac:dyDescent="0.3">
      <c r="A1" s="17" t="s">
        <v>16</v>
      </c>
      <c r="B1" t="s">
        <v>47</v>
      </c>
      <c r="C1" s="105" t="s">
        <v>86</v>
      </c>
    </row>
    <row r="2" spans="1:37" s="4" customFormat="1" x14ac:dyDescent="0.25">
      <c r="A2" s="18" t="s">
        <v>21</v>
      </c>
      <c r="B2" s="19" t="s">
        <v>22</v>
      </c>
      <c r="C2" s="20" t="s">
        <v>23</v>
      </c>
      <c r="D2" s="20" t="s">
        <v>24</v>
      </c>
      <c r="E2" s="21" t="s">
        <v>25</v>
      </c>
      <c r="F2" s="22" t="s">
        <v>26</v>
      </c>
      <c r="G2" s="21" t="s">
        <v>27</v>
      </c>
      <c r="H2" s="22" t="s">
        <v>28</v>
      </c>
      <c r="I2" s="22" t="s">
        <v>29</v>
      </c>
      <c r="J2" s="21" t="s">
        <v>30</v>
      </c>
      <c r="K2" s="20" t="s">
        <v>29</v>
      </c>
      <c r="N2" s="4">
        <v>2019</v>
      </c>
      <c r="O2" s="4">
        <v>2020</v>
      </c>
      <c r="P2" s="4">
        <v>2021</v>
      </c>
      <c r="Q2" s="4">
        <v>2022</v>
      </c>
      <c r="R2" s="4">
        <v>2023</v>
      </c>
      <c r="S2" s="4">
        <v>2024</v>
      </c>
      <c r="T2" s="4">
        <v>2025</v>
      </c>
      <c r="U2" s="4">
        <v>2026</v>
      </c>
      <c r="V2" s="4">
        <v>2027</v>
      </c>
      <c r="W2" s="4">
        <v>2028</v>
      </c>
      <c r="X2" s="4">
        <v>2029</v>
      </c>
      <c r="Y2" s="4">
        <v>2030</v>
      </c>
      <c r="Z2" s="4">
        <v>2031</v>
      </c>
      <c r="AA2" s="4">
        <v>2032</v>
      </c>
      <c r="AB2" s="4">
        <v>2033</v>
      </c>
      <c r="AC2" s="4">
        <v>2034</v>
      </c>
      <c r="AD2" s="4">
        <v>2035</v>
      </c>
      <c r="AE2" s="4">
        <v>2036</v>
      </c>
      <c r="AF2" s="4">
        <v>2037</v>
      </c>
      <c r="AG2" s="4">
        <v>2038</v>
      </c>
      <c r="AH2" s="4">
        <v>2039</v>
      </c>
      <c r="AI2" s="4">
        <v>2040</v>
      </c>
      <c r="AJ2" s="4">
        <v>2041</v>
      </c>
      <c r="AK2" s="4">
        <v>2042</v>
      </c>
    </row>
    <row r="3" spans="1:37" s="3" customFormat="1" x14ac:dyDescent="0.25">
      <c r="A3" s="23">
        <v>2024</v>
      </c>
      <c r="B3" s="24" t="s">
        <v>31</v>
      </c>
      <c r="C3" s="25"/>
      <c r="D3" s="26" t="e">
        <f>C3/C18-1</f>
        <v>#DIV/0!</v>
      </c>
      <c r="E3" s="27"/>
      <c r="F3" s="28"/>
      <c r="G3" s="27"/>
      <c r="H3" s="28"/>
      <c r="I3" s="28"/>
      <c r="J3" s="27"/>
      <c r="K3" s="29" t="e">
        <f>J3/C3</f>
        <v>#DIV/0!</v>
      </c>
    </row>
    <row r="4" spans="1:37" s="3" customFormat="1" x14ac:dyDescent="0.25">
      <c r="A4" s="23">
        <v>2024</v>
      </c>
      <c r="B4" s="30" t="s">
        <v>32</v>
      </c>
      <c r="C4" s="31"/>
      <c r="D4" s="26" t="e">
        <f>C4/C19-1</f>
        <v>#DIV/0!</v>
      </c>
      <c r="E4" s="32"/>
      <c r="F4" s="33"/>
      <c r="G4" s="32"/>
      <c r="H4" s="33"/>
      <c r="I4" s="33"/>
      <c r="J4" s="32"/>
      <c r="K4" s="29" t="e">
        <f>J4/C4</f>
        <v>#DIV/0!</v>
      </c>
    </row>
    <row r="5" spans="1:37" s="3" customFormat="1" x14ac:dyDescent="0.25">
      <c r="A5" s="23">
        <v>2024</v>
      </c>
      <c r="B5" s="30" t="s">
        <v>33</v>
      </c>
      <c r="C5" s="31">
        <v>1967</v>
      </c>
      <c r="D5" s="26" t="e">
        <f>C5/C20-1</f>
        <v>#DIV/0!</v>
      </c>
      <c r="E5" s="32"/>
      <c r="F5" s="33"/>
      <c r="G5" s="32"/>
      <c r="H5" s="33"/>
      <c r="I5" s="33"/>
      <c r="J5" s="32"/>
      <c r="K5" s="29">
        <f>J5/C5</f>
        <v>0</v>
      </c>
    </row>
    <row r="6" spans="1:37" s="3" customFormat="1" x14ac:dyDescent="0.25">
      <c r="A6" s="23">
        <v>2024</v>
      </c>
      <c r="B6" s="30" t="s">
        <v>34</v>
      </c>
      <c r="C6" s="31"/>
      <c r="D6" s="34"/>
      <c r="E6" s="32"/>
      <c r="F6" s="33"/>
      <c r="G6" s="32"/>
      <c r="H6" s="33"/>
      <c r="I6" s="33"/>
      <c r="J6" s="32"/>
      <c r="K6" s="1"/>
    </row>
    <row r="7" spans="1:37" s="3" customFormat="1" x14ac:dyDescent="0.25">
      <c r="A7" s="23">
        <v>2024</v>
      </c>
      <c r="B7" s="30" t="s">
        <v>35</v>
      </c>
      <c r="C7" s="31"/>
      <c r="D7" s="34"/>
      <c r="E7" s="32"/>
      <c r="F7" s="33"/>
      <c r="G7" s="32"/>
      <c r="H7" s="33"/>
      <c r="I7" s="33"/>
      <c r="J7" s="32"/>
      <c r="K7" s="1"/>
    </row>
    <row r="8" spans="1:37" s="3" customFormat="1" x14ac:dyDescent="0.25">
      <c r="A8" s="23">
        <v>2024</v>
      </c>
      <c r="B8" s="30" t="s">
        <v>36</v>
      </c>
      <c r="C8" s="31"/>
      <c r="D8" s="34"/>
      <c r="E8" s="32"/>
      <c r="F8" s="33"/>
      <c r="G8" s="32"/>
      <c r="H8" s="33"/>
      <c r="I8" s="33"/>
      <c r="J8" s="32"/>
      <c r="K8" s="1"/>
    </row>
    <row r="9" spans="1:37" s="3" customFormat="1" x14ac:dyDescent="0.25">
      <c r="A9" s="23">
        <v>2024</v>
      </c>
      <c r="B9" s="30" t="s">
        <v>37</v>
      </c>
      <c r="C9" s="31"/>
      <c r="D9" s="34"/>
      <c r="E9" s="32"/>
      <c r="F9" s="33"/>
      <c r="G9" s="32"/>
      <c r="H9" s="33"/>
      <c r="I9" s="33"/>
      <c r="J9" s="32"/>
      <c r="K9" s="1"/>
    </row>
    <row r="10" spans="1:37" s="3" customFormat="1" x14ac:dyDescent="0.25">
      <c r="A10" s="23">
        <v>2024</v>
      </c>
      <c r="B10" s="30" t="s">
        <v>38</v>
      </c>
      <c r="C10" s="31"/>
      <c r="D10" s="34"/>
      <c r="E10" s="32"/>
      <c r="F10" s="33"/>
      <c r="G10" s="32"/>
      <c r="H10" s="33"/>
      <c r="I10" s="33"/>
      <c r="J10" s="32"/>
      <c r="K10" s="1"/>
    </row>
    <row r="11" spans="1:37" s="3" customFormat="1" x14ac:dyDescent="0.25">
      <c r="A11" s="23">
        <v>2024</v>
      </c>
      <c r="B11" s="30" t="s">
        <v>39</v>
      </c>
      <c r="C11" s="31"/>
      <c r="D11" s="34"/>
      <c r="E11" s="32"/>
      <c r="F11" s="33"/>
      <c r="G11" s="32"/>
      <c r="H11" s="33"/>
      <c r="I11" s="33"/>
      <c r="J11" s="32"/>
      <c r="K11" s="1"/>
    </row>
    <row r="12" spans="1:37" s="3" customFormat="1" x14ac:dyDescent="0.25">
      <c r="A12" s="23">
        <v>2024</v>
      </c>
      <c r="B12" s="30" t="s">
        <v>40</v>
      </c>
      <c r="C12" s="31"/>
      <c r="D12" s="34"/>
      <c r="E12" s="32"/>
      <c r="F12" s="33"/>
      <c r="G12" s="32"/>
      <c r="H12" s="33"/>
      <c r="I12" s="33"/>
      <c r="J12" s="32"/>
      <c r="K12" s="1"/>
    </row>
    <row r="13" spans="1:37" s="3" customFormat="1" x14ac:dyDescent="0.25">
      <c r="A13" s="23">
        <v>2024</v>
      </c>
      <c r="B13" s="30" t="s">
        <v>41</v>
      </c>
      <c r="C13" s="31"/>
      <c r="D13" s="34"/>
      <c r="E13" s="32"/>
      <c r="F13" s="33"/>
      <c r="G13" s="32"/>
      <c r="H13" s="33"/>
      <c r="I13" s="33"/>
      <c r="J13" s="32"/>
      <c r="K13" s="1"/>
    </row>
    <row r="14" spans="1:37" s="3" customFormat="1" ht="15.75" thickBot="1" x14ac:dyDescent="0.3">
      <c r="A14" s="23">
        <v>2024</v>
      </c>
      <c r="B14" s="30" t="s">
        <v>42</v>
      </c>
      <c r="C14" s="31"/>
      <c r="D14" s="34"/>
      <c r="E14" s="32"/>
      <c r="F14" s="33"/>
      <c r="G14" s="32"/>
      <c r="H14" s="33"/>
      <c r="I14" s="33"/>
      <c r="J14" s="32"/>
      <c r="K14" s="1"/>
    </row>
    <row r="15" spans="1:37" s="3" customFormat="1" ht="15.75" thickBot="1" x14ac:dyDescent="0.3">
      <c r="A15" s="23"/>
      <c r="B15" s="35" t="s">
        <v>43</v>
      </c>
      <c r="C15" s="36">
        <f>SUM(C3:C14)</f>
        <v>1967</v>
      </c>
      <c r="E15" s="37"/>
      <c r="F15" s="37"/>
      <c r="G15" s="37"/>
      <c r="H15" s="37"/>
      <c r="I15" s="37"/>
      <c r="J15" s="37"/>
      <c r="K15" s="37"/>
    </row>
    <row r="16" spans="1:37" s="3" customFormat="1" x14ac:dyDescent="0.25">
      <c r="A16" s="23"/>
      <c r="B16" s="38"/>
      <c r="E16" s="37"/>
      <c r="F16" s="37"/>
      <c r="G16" s="37"/>
      <c r="H16" s="37"/>
      <c r="I16" s="37"/>
      <c r="J16" s="37"/>
      <c r="K16" s="37"/>
    </row>
    <row r="17" spans="1:11" s="3" customFormat="1" x14ac:dyDescent="0.25">
      <c r="A17" s="18" t="s">
        <v>21</v>
      </c>
      <c r="B17" s="19" t="s">
        <v>22</v>
      </c>
      <c r="C17" s="39" t="s">
        <v>23</v>
      </c>
      <c r="D17" s="20"/>
      <c r="E17" s="40" t="s">
        <v>25</v>
      </c>
      <c r="F17" s="22" t="s">
        <v>26</v>
      </c>
      <c r="G17" s="21" t="s">
        <v>27</v>
      </c>
      <c r="H17" s="22" t="s">
        <v>28</v>
      </c>
      <c r="I17" s="22" t="s">
        <v>29</v>
      </c>
      <c r="J17" s="21" t="s">
        <v>30</v>
      </c>
      <c r="K17" s="20" t="s">
        <v>29</v>
      </c>
    </row>
    <row r="18" spans="1:11" x14ac:dyDescent="0.25">
      <c r="A18" s="41">
        <v>2023</v>
      </c>
      <c r="B18" s="42" t="s">
        <v>44</v>
      </c>
      <c r="C18" s="43"/>
      <c r="D18" s="44"/>
      <c r="E18" s="45"/>
      <c r="F18" s="46"/>
      <c r="G18" s="47"/>
      <c r="H18" s="48"/>
      <c r="I18" s="48"/>
      <c r="J18" s="47"/>
      <c r="K18" s="49"/>
    </row>
    <row r="19" spans="1:11" x14ac:dyDescent="0.25">
      <c r="A19" s="41">
        <v>2023</v>
      </c>
      <c r="B19" s="42" t="s">
        <v>32</v>
      </c>
      <c r="C19" s="43"/>
      <c r="D19" s="44"/>
      <c r="E19" s="50"/>
      <c r="F19" s="51"/>
      <c r="G19" s="27"/>
      <c r="H19" s="28"/>
      <c r="I19" s="28"/>
      <c r="J19" s="27"/>
      <c r="K19" s="44"/>
    </row>
    <row r="20" spans="1:11" x14ac:dyDescent="0.25">
      <c r="A20" s="41">
        <v>2023</v>
      </c>
      <c r="B20" s="42" t="s">
        <v>33</v>
      </c>
      <c r="C20" s="43"/>
      <c r="D20" s="44"/>
      <c r="E20" s="50"/>
      <c r="F20" s="51"/>
      <c r="G20" s="27"/>
      <c r="H20" s="28"/>
      <c r="I20" s="28"/>
      <c r="J20" s="27"/>
      <c r="K20" s="44"/>
    </row>
    <row r="21" spans="1:11" x14ac:dyDescent="0.25">
      <c r="A21" s="41">
        <v>2023</v>
      </c>
      <c r="B21" s="42" t="s">
        <v>34</v>
      </c>
      <c r="C21" s="43"/>
      <c r="D21" s="44"/>
      <c r="E21" s="50"/>
      <c r="F21" s="51"/>
      <c r="G21" s="27"/>
      <c r="H21" s="28"/>
      <c r="I21" s="28"/>
      <c r="J21" s="27"/>
      <c r="K21" s="44"/>
    </row>
    <row r="22" spans="1:11" x14ac:dyDescent="0.25">
      <c r="A22" s="41">
        <v>2023</v>
      </c>
      <c r="B22" s="42" t="s">
        <v>35</v>
      </c>
      <c r="C22" s="43"/>
      <c r="D22" s="44"/>
      <c r="E22" s="50"/>
      <c r="F22" s="51"/>
      <c r="G22" s="27"/>
      <c r="H22" s="28"/>
      <c r="I22" s="28"/>
      <c r="J22" s="27"/>
      <c r="K22" s="44"/>
    </row>
    <row r="23" spans="1:11" x14ac:dyDescent="0.25">
      <c r="A23" s="41">
        <v>2023</v>
      </c>
      <c r="B23" s="42" t="s">
        <v>36</v>
      </c>
      <c r="C23" s="43"/>
      <c r="D23" s="44"/>
      <c r="E23" s="50"/>
      <c r="F23" s="51"/>
      <c r="G23" s="27"/>
      <c r="H23" s="28"/>
      <c r="I23" s="28"/>
      <c r="J23" s="27"/>
      <c r="K23" s="44"/>
    </row>
    <row r="24" spans="1:11" x14ac:dyDescent="0.25">
      <c r="A24" s="23">
        <v>2023</v>
      </c>
      <c r="B24" s="42" t="s">
        <v>37</v>
      </c>
      <c r="C24" s="43"/>
      <c r="D24" s="44"/>
      <c r="E24" s="50"/>
      <c r="F24" s="51"/>
      <c r="G24" s="27"/>
      <c r="H24" s="28"/>
      <c r="I24" s="52" t="e">
        <f>H24/C24</f>
        <v>#DIV/0!</v>
      </c>
      <c r="J24" s="27"/>
      <c r="K24" s="44"/>
    </row>
    <row r="25" spans="1:11" x14ac:dyDescent="0.25">
      <c r="A25" s="23">
        <v>2023</v>
      </c>
      <c r="B25" s="42" t="s">
        <v>38</v>
      </c>
      <c r="C25" s="43"/>
      <c r="D25" s="44"/>
      <c r="E25" s="50"/>
      <c r="F25" s="51"/>
      <c r="G25" s="27"/>
      <c r="H25" s="28"/>
      <c r="I25" s="52" t="e">
        <f>H25/C25</f>
        <v>#DIV/0!</v>
      </c>
      <c r="J25" s="27"/>
      <c r="K25" s="44"/>
    </row>
    <row r="26" spans="1:11" x14ac:dyDescent="0.25">
      <c r="A26" s="23">
        <v>2023</v>
      </c>
      <c r="B26" s="42" t="s">
        <v>39</v>
      </c>
      <c r="C26" s="43"/>
      <c r="D26" s="44"/>
      <c r="E26" s="50"/>
      <c r="F26" s="28"/>
      <c r="G26" s="27"/>
      <c r="H26" s="28"/>
      <c r="I26" s="53"/>
      <c r="J26" s="27"/>
      <c r="K26" s="44"/>
    </row>
    <row r="27" spans="1:11" x14ac:dyDescent="0.25">
      <c r="A27" s="23">
        <v>2023</v>
      </c>
      <c r="B27" s="42" t="s">
        <v>40</v>
      </c>
      <c r="C27" s="43"/>
      <c r="D27" s="44"/>
      <c r="E27" s="50"/>
      <c r="F27" s="28"/>
      <c r="G27" s="27"/>
      <c r="H27" s="28"/>
      <c r="I27" s="52" t="e">
        <f>H27/C27</f>
        <v>#DIV/0!</v>
      </c>
      <c r="J27" s="27"/>
      <c r="K27" s="44"/>
    </row>
    <row r="28" spans="1:11" x14ac:dyDescent="0.25">
      <c r="A28" s="23">
        <v>2023</v>
      </c>
      <c r="B28" s="42" t="s">
        <v>41</v>
      </c>
      <c r="C28" s="43"/>
      <c r="D28" s="44"/>
      <c r="E28" s="50"/>
      <c r="F28" s="28"/>
      <c r="G28" s="27"/>
      <c r="H28" s="28"/>
      <c r="I28" s="52" t="e">
        <f>H28/C28</f>
        <v>#DIV/0!</v>
      </c>
      <c r="J28" s="27"/>
      <c r="K28" s="44"/>
    </row>
    <row r="29" spans="1:11" ht="15.75" thickBot="1" x14ac:dyDescent="0.3">
      <c r="A29" s="23">
        <v>2023</v>
      </c>
      <c r="B29" s="54" t="s">
        <v>42</v>
      </c>
      <c r="C29" s="43"/>
      <c r="D29" s="55"/>
      <c r="E29" s="50"/>
      <c r="F29" s="28"/>
      <c r="G29" s="27"/>
      <c r="H29" s="28"/>
      <c r="I29" s="28"/>
      <c r="J29" s="27"/>
      <c r="K29" s="44"/>
    </row>
    <row r="30" spans="1:11" ht="15.75" thickBot="1" x14ac:dyDescent="0.3">
      <c r="A30" s="41"/>
      <c r="B30" s="56" t="s">
        <v>43</v>
      </c>
      <c r="C30" s="57">
        <f>SUM(C18:C29)</f>
        <v>0</v>
      </c>
      <c r="D30" s="58" t="e">
        <f>C30/C37-1</f>
        <v>#DIV/0!</v>
      </c>
      <c r="E30" s="59"/>
      <c r="F30" s="59"/>
      <c r="G30" s="59"/>
      <c r="H30" s="59"/>
      <c r="I30" s="59"/>
      <c r="J30" s="60"/>
      <c r="K30" s="59"/>
    </row>
    <row r="32" spans="1:11" x14ac:dyDescent="0.25">
      <c r="B32" s="61" t="s">
        <v>21</v>
      </c>
      <c r="C32" s="62" t="s">
        <v>45</v>
      </c>
      <c r="D32" s="63" t="s">
        <v>24</v>
      </c>
    </row>
    <row r="33" spans="2:4" x14ac:dyDescent="0.25">
      <c r="B33" s="61">
        <v>2018</v>
      </c>
      <c r="C33" s="34"/>
      <c r="D33" s="2"/>
    </row>
    <row r="34" spans="2:4" x14ac:dyDescent="0.25">
      <c r="B34" s="61">
        <v>2019</v>
      </c>
      <c r="C34" s="34"/>
      <c r="D34" s="64" t="e">
        <f>C34/C33-1</f>
        <v>#DIV/0!</v>
      </c>
    </row>
    <row r="35" spans="2:4" x14ac:dyDescent="0.25">
      <c r="B35" s="61">
        <v>2020</v>
      </c>
      <c r="C35" s="34"/>
      <c r="D35" s="64" t="e">
        <f>C35/C34-1</f>
        <v>#DIV/0!</v>
      </c>
    </row>
    <row r="36" spans="2:4" x14ac:dyDescent="0.25">
      <c r="B36" s="61">
        <v>2021</v>
      </c>
      <c r="C36" s="34"/>
      <c r="D36" s="64" t="e">
        <f>C36/C35-1</f>
        <v>#DIV/0!</v>
      </c>
    </row>
    <row r="37" spans="2:4" x14ac:dyDescent="0.25">
      <c r="B37" s="61">
        <v>2022</v>
      </c>
      <c r="C37" s="34"/>
      <c r="D37" s="64" t="e">
        <f>C37/C36-1</f>
        <v>#DIV/0!</v>
      </c>
    </row>
    <row r="38" spans="2:4" x14ac:dyDescent="0.25">
      <c r="B38" s="61">
        <v>2023</v>
      </c>
      <c r="C38" s="34"/>
      <c r="D38" s="64" t="e">
        <f>C38/C37-1</f>
        <v>#DIV/0!</v>
      </c>
    </row>
    <row r="39" spans="2:4" x14ac:dyDescent="0.25">
      <c r="B39" s="61">
        <v>2024</v>
      </c>
      <c r="C39" s="34"/>
      <c r="D39" s="65" t="s">
        <v>46</v>
      </c>
    </row>
  </sheetData>
  <hyperlinks>
    <hyperlink ref="A1" location="LCID!A1" display="Main" xr:uid="{195635BB-C5B0-49B3-A0F7-D13B7494D72B}"/>
    <hyperlink ref="C1" location="Model!A1" display="Model" xr:uid="{2A393CC0-C534-4CB7-A61F-77DB02F0DA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LCID</vt:lpstr>
      <vt:lpstr>Model</vt:lpstr>
      <vt:lpstr>Deliveries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Guðmundsson</dc:creator>
  <cp:lastModifiedBy>Herbert Guðmundsson</cp:lastModifiedBy>
  <dcterms:created xsi:type="dcterms:W3CDTF">2024-04-17T23:07:06Z</dcterms:created>
  <dcterms:modified xsi:type="dcterms:W3CDTF">2024-04-20T05:38:51Z</dcterms:modified>
</cp:coreProperties>
</file>