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"/>
    </mc:Choice>
  </mc:AlternateContent>
  <xr:revisionPtr revIDLastSave="0" documentId="8_{25FE45F3-C530-4B5A-938C-89A5E61CE5EF}" xr6:coauthVersionLast="47" xr6:coauthVersionMax="47" xr10:uidLastSave="{00000000-0000-0000-0000-000000000000}"/>
  <bookViews>
    <workbookView xWindow="-105" yWindow="0" windowWidth="15585" windowHeight="16305" firstSheet="1" activeTab="1" xr2:uid="{4AB036D5-7740-481D-8306-C2D7ADCD2593}"/>
  </bookViews>
  <sheets>
    <sheet name="MBLY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2" l="1"/>
  <c r="AB12" i="2"/>
  <c r="AB11" i="2"/>
  <c r="AB8" i="2"/>
  <c r="AB7" i="2"/>
  <c r="AB6" i="2"/>
  <c r="AB3" i="2"/>
  <c r="AB25" i="2" s="1"/>
  <c r="V26" i="2"/>
  <c r="U26" i="2"/>
  <c r="T26" i="2"/>
  <c r="S26" i="2"/>
  <c r="V25" i="2"/>
  <c r="V9" i="2"/>
  <c r="V4" i="2"/>
  <c r="V5" i="2" s="1"/>
  <c r="V20" i="2" s="1"/>
  <c r="U25" i="2"/>
  <c r="AB13" i="2"/>
  <c r="U8" i="2"/>
  <c r="U9" i="2" s="1"/>
  <c r="U4" i="2"/>
  <c r="U5" i="2" s="1"/>
  <c r="T4" i="2"/>
  <c r="T5" i="2" s="1"/>
  <c r="T20" i="2" s="1"/>
  <c r="T25" i="2"/>
  <c r="T15" i="2"/>
  <c r="T8" i="2"/>
  <c r="S25" i="2"/>
  <c r="S15" i="2"/>
  <c r="S9" i="2"/>
  <c r="S8" i="2"/>
  <c r="Q25" i="2"/>
  <c r="P25" i="2"/>
  <c r="O25" i="2"/>
  <c r="N25" i="2"/>
  <c r="M25" i="2"/>
  <c r="R25" i="2"/>
  <c r="Q26" i="2"/>
  <c r="P26" i="2"/>
  <c r="O26" i="2"/>
  <c r="N26" i="2"/>
  <c r="M26" i="2"/>
  <c r="L26" i="2"/>
  <c r="K26" i="2"/>
  <c r="J26" i="2"/>
  <c r="Q23" i="2"/>
  <c r="P23" i="2"/>
  <c r="O23" i="2"/>
  <c r="N23" i="2"/>
  <c r="M23" i="2"/>
  <c r="L23" i="2"/>
  <c r="K23" i="2"/>
  <c r="J23" i="2"/>
  <c r="I23" i="2"/>
  <c r="Q22" i="2"/>
  <c r="P22" i="2"/>
  <c r="O22" i="2"/>
  <c r="N22" i="2"/>
  <c r="M22" i="2"/>
  <c r="L22" i="2"/>
  <c r="K22" i="2"/>
  <c r="J22" i="2"/>
  <c r="I22" i="2"/>
  <c r="Q21" i="2"/>
  <c r="P21" i="2"/>
  <c r="O21" i="2"/>
  <c r="N21" i="2"/>
  <c r="M21" i="2"/>
  <c r="L21" i="2"/>
  <c r="K21" i="2"/>
  <c r="J21" i="2"/>
  <c r="I21" i="2"/>
  <c r="Q20" i="2"/>
  <c r="P20" i="2"/>
  <c r="O20" i="2"/>
  <c r="N20" i="2"/>
  <c r="M20" i="2"/>
  <c r="L20" i="2"/>
  <c r="K20" i="2"/>
  <c r="J20" i="2"/>
  <c r="I20" i="2"/>
  <c r="R26" i="2"/>
  <c r="R23" i="2"/>
  <c r="R22" i="2"/>
  <c r="R21" i="2"/>
  <c r="R20" i="2"/>
  <c r="Y25" i="2"/>
  <c r="Z25" i="2"/>
  <c r="AA25" i="2"/>
  <c r="Z23" i="2"/>
  <c r="Y23" i="2"/>
  <c r="X23" i="2"/>
  <c r="Z22" i="2"/>
  <c r="Y22" i="2"/>
  <c r="X22" i="2"/>
  <c r="Z21" i="2"/>
  <c r="Y21" i="2"/>
  <c r="X21" i="2"/>
  <c r="Z20" i="2"/>
  <c r="Y20" i="2"/>
  <c r="X20" i="2"/>
  <c r="AA20" i="2"/>
  <c r="AA23" i="2"/>
  <c r="AA22" i="2"/>
  <c r="AA21" i="2"/>
  <c r="X9" i="2"/>
  <c r="X5" i="2"/>
  <c r="Y9" i="2"/>
  <c r="Y5" i="2"/>
  <c r="Z8" i="2"/>
  <c r="Z7" i="2"/>
  <c r="Z6" i="2"/>
  <c r="AA13" i="2"/>
  <c r="AA12" i="2"/>
  <c r="AA11" i="2"/>
  <c r="AA7" i="2"/>
  <c r="I9" i="2"/>
  <c r="J9" i="2" s="1"/>
  <c r="I5" i="2"/>
  <c r="J8" i="2"/>
  <c r="J3" i="2"/>
  <c r="D17" i="2"/>
  <c r="C17" i="2"/>
  <c r="G17" i="2"/>
  <c r="J15" i="2"/>
  <c r="J13" i="2"/>
  <c r="J11" i="2"/>
  <c r="J7" i="2"/>
  <c r="J6" i="2"/>
  <c r="J4" i="2"/>
  <c r="N15" i="2"/>
  <c r="Z15" i="2" s="1"/>
  <c r="N13" i="2"/>
  <c r="Z13" i="2" s="1"/>
  <c r="N12" i="2"/>
  <c r="Z12" i="2" s="1"/>
  <c r="N11" i="2"/>
  <c r="Z11" i="2" s="1"/>
  <c r="N8" i="2"/>
  <c r="N7" i="2"/>
  <c r="N6" i="2"/>
  <c r="N4" i="2"/>
  <c r="Z4" i="2" s="1"/>
  <c r="N3" i="2"/>
  <c r="Z3" i="2" s="1"/>
  <c r="K9" i="2"/>
  <c r="K5" i="2"/>
  <c r="O9" i="2"/>
  <c r="O5" i="2"/>
  <c r="L9" i="2"/>
  <c r="L5" i="2"/>
  <c r="P9" i="2"/>
  <c r="P5" i="2"/>
  <c r="M9" i="2"/>
  <c r="M5" i="2"/>
  <c r="Q9" i="2"/>
  <c r="Q5" i="2"/>
  <c r="Q10" i="2" s="1"/>
  <c r="Q14" i="2" s="1"/>
  <c r="Q16" i="2" s="1"/>
  <c r="Q17" i="2" s="1"/>
  <c r="R8" i="2"/>
  <c r="AA8" i="2" s="1"/>
  <c r="R13" i="2"/>
  <c r="R6" i="2"/>
  <c r="AA6" i="2" s="1"/>
  <c r="R3" i="2"/>
  <c r="AA3" i="2" s="1"/>
  <c r="R15" i="2"/>
  <c r="AA15" i="2" s="1"/>
  <c r="R7" i="2"/>
  <c r="L8" i="1"/>
  <c r="L7" i="1"/>
  <c r="L4" i="1"/>
  <c r="V10" i="2" l="1"/>
  <c r="AB5" i="2"/>
  <c r="AB20" i="2" s="1"/>
  <c r="U10" i="2"/>
  <c r="AB4" i="2"/>
  <c r="U20" i="2"/>
  <c r="T9" i="2"/>
  <c r="T10" i="2" s="1"/>
  <c r="S4" i="2"/>
  <c r="S5" i="2" s="1"/>
  <c r="X10" i="2"/>
  <c r="X14" i="2" s="1"/>
  <c r="X16" i="2" s="1"/>
  <c r="X17" i="2" s="1"/>
  <c r="N9" i="2"/>
  <c r="Z9" i="2"/>
  <c r="N5" i="2"/>
  <c r="Z5" i="2" s="1"/>
  <c r="Y10" i="2"/>
  <c r="Y14" i="2" s="1"/>
  <c r="I10" i="2"/>
  <c r="I14" i="2" s="1"/>
  <c r="I16" i="2" s="1"/>
  <c r="H17" i="2"/>
  <c r="J5" i="2"/>
  <c r="K10" i="2"/>
  <c r="O10" i="2"/>
  <c r="R9" i="2"/>
  <c r="AA9" i="2" s="1"/>
  <c r="L10" i="2"/>
  <c r="L14" i="2" s="1"/>
  <c r="L16" i="2" s="1"/>
  <c r="L17" i="2" s="1"/>
  <c r="P10" i="2"/>
  <c r="P14" i="2" s="1"/>
  <c r="P16" i="2" s="1"/>
  <c r="R5" i="2"/>
  <c r="AA5" i="2" s="1"/>
  <c r="R10" i="2"/>
  <c r="M10" i="2"/>
  <c r="R4" i="2"/>
  <c r="AA4" i="2" s="1"/>
  <c r="AB9" i="2" l="1"/>
  <c r="T14" i="2"/>
  <c r="T21" i="2"/>
  <c r="V14" i="2"/>
  <c r="V21" i="2"/>
  <c r="U14" i="2"/>
  <c r="U21" i="2"/>
  <c r="S20" i="2"/>
  <c r="S10" i="2"/>
  <c r="O14" i="2"/>
  <c r="AA10" i="2"/>
  <c r="Z10" i="2"/>
  <c r="Y16" i="2"/>
  <c r="Y17" i="2" s="1"/>
  <c r="J10" i="2"/>
  <c r="J14" i="2"/>
  <c r="M14" i="2"/>
  <c r="M16" i="2" s="1"/>
  <c r="M17" i="2" s="1"/>
  <c r="K14" i="2"/>
  <c r="N10" i="2"/>
  <c r="R14" i="2"/>
  <c r="P17" i="2"/>
  <c r="S14" i="2" l="1"/>
  <c r="AB14" i="2" s="1"/>
  <c r="AB23" i="2" s="1"/>
  <c r="S21" i="2"/>
  <c r="AB10" i="2"/>
  <c r="AB21" i="2" s="1"/>
  <c r="T16" i="2"/>
  <c r="T23" i="2"/>
  <c r="V16" i="2"/>
  <c r="V23" i="2"/>
  <c r="U16" i="2"/>
  <c r="U23" i="2"/>
  <c r="O16" i="2"/>
  <c r="AA14" i="2"/>
  <c r="E17" i="2"/>
  <c r="F17" i="2"/>
  <c r="J16" i="2"/>
  <c r="J17" i="2" s="1"/>
  <c r="I17" i="2"/>
  <c r="K16" i="2"/>
  <c r="N14" i="2"/>
  <c r="Z14" i="2" s="1"/>
  <c r="S16" i="2" l="1"/>
  <c r="S23" i="2"/>
  <c r="T17" i="2"/>
  <c r="T22" i="2"/>
  <c r="V17" i="2"/>
  <c r="V22" i="2"/>
  <c r="U22" i="2"/>
  <c r="U17" i="2"/>
  <c r="O17" i="2"/>
  <c r="R16" i="2"/>
  <c r="R17" i="2" s="1"/>
  <c r="K17" i="2"/>
  <c r="N16" i="2"/>
  <c r="N17" i="2" s="1"/>
  <c r="S17" i="2" l="1"/>
  <c r="S22" i="2"/>
  <c r="AB16" i="2"/>
  <c r="Z16" i="2"/>
  <c r="Z17" i="2" s="1"/>
  <c r="AA16" i="2"/>
  <c r="AA17" i="2" s="1"/>
  <c r="AB17" i="2" l="1"/>
  <c r="AB22" i="2"/>
</calcChain>
</file>

<file path=xl/sharedStrings.xml><?xml version="1.0" encoding="utf-8"?>
<sst xmlns="http://schemas.openxmlformats.org/spreadsheetml/2006/main" count="130" uniqueCount="105">
  <si>
    <t>MBLY</t>
  </si>
  <si>
    <t>Incorporated</t>
  </si>
  <si>
    <t>Price</t>
  </si>
  <si>
    <t>HQ</t>
  </si>
  <si>
    <t>Israel</t>
  </si>
  <si>
    <t>Shares</t>
  </si>
  <si>
    <t>I.P.O.</t>
  </si>
  <si>
    <t>MC</t>
  </si>
  <si>
    <t>Subsidiary of Intel since 2017 - bought for $15.3 billion.</t>
  </si>
  <si>
    <t>Cash</t>
  </si>
  <si>
    <t>Reorganization and the Mobileye IPO in October 2022</t>
  </si>
  <si>
    <t>Debt</t>
  </si>
  <si>
    <t>EV</t>
  </si>
  <si>
    <t>Products</t>
  </si>
  <si>
    <t>Net cash</t>
  </si>
  <si>
    <t>EyeQ</t>
  </si>
  <si>
    <t>Software</t>
  </si>
  <si>
    <t>REM</t>
  </si>
  <si>
    <t>Road experience management (ADAS)</t>
  </si>
  <si>
    <t>CEO</t>
  </si>
  <si>
    <t>Amnon Shashua</t>
  </si>
  <si>
    <t>True Redundancy</t>
  </si>
  <si>
    <t>Camera and lidar</t>
  </si>
  <si>
    <t>Mobileye SuperVision</t>
  </si>
  <si>
    <t>Mobileye Chauffeur</t>
  </si>
  <si>
    <t>Mobileye Drive</t>
  </si>
  <si>
    <t>Partnered with STMicroelectronics</t>
  </si>
  <si>
    <t>Tier1 Automotive Supplier</t>
  </si>
  <si>
    <t>Bosch, Continental and Denso.</t>
  </si>
  <si>
    <t>Silicon provider competitors</t>
  </si>
  <si>
    <t>Ambarella, Advanced Micro Devices, Arriver / Qualcomm, Black Sesame Technologies, Horizon Robotics, Huawei, NVIDIA.</t>
  </si>
  <si>
    <t>NXP, Renesas Electronics and Texas Instruments.</t>
  </si>
  <si>
    <t>OEM who have their own inhouse solutions and are direct competitors.</t>
  </si>
  <si>
    <t>Tesla, Mercedes Benz, GM, NIO, Volvo Cars, Xpeng Motors, Huawei, Li Auto also pursuing in-house solutions for portions of the</t>
  </si>
  <si>
    <t>advanced ADAS software stack.</t>
  </si>
  <si>
    <t>Tier1 Automotive  as well as robotaxi providers. AMaaS competitors Cruise, Motional, Waymo, Yandex, Zoox.</t>
  </si>
  <si>
    <t xml:space="preserve">Auto X, Baidu, Deeproute.ai, Didi Chuxing, Momenta, and WeRide in China. </t>
  </si>
  <si>
    <t>Consumer AV competitors include Sony, Tesla who are developing self-driving vehicles for consumers.</t>
  </si>
  <si>
    <t>Employees</t>
  </si>
  <si>
    <t>Patents</t>
  </si>
  <si>
    <t>U.S.</t>
  </si>
  <si>
    <t>European</t>
  </si>
  <si>
    <t>U.S. patent applications</t>
  </si>
  <si>
    <t>European patent applications</t>
  </si>
  <si>
    <t>Non us</t>
  </si>
  <si>
    <t>Intel owns 88.3% of outstanding shares</t>
  </si>
  <si>
    <t>98.7% of the voting power</t>
  </si>
  <si>
    <t>Executives:</t>
  </si>
  <si>
    <t>Name</t>
  </si>
  <si>
    <t>Role</t>
  </si>
  <si>
    <t>Age</t>
  </si>
  <si>
    <t>Co-founder</t>
  </si>
  <si>
    <t>Moran Shemesh Rojansky</t>
  </si>
  <si>
    <t>CFO</t>
  </si>
  <si>
    <t>Since 2023</t>
  </si>
  <si>
    <t>Gavriel Hayon</t>
  </si>
  <si>
    <t>Exec. VP &amp; RD</t>
  </si>
  <si>
    <t>Since 2018</t>
  </si>
  <si>
    <t>Shai Shalev-Shwartz</t>
  </si>
  <si>
    <t>CTO</t>
  </si>
  <si>
    <t>Nimrod Nehushtan</t>
  </si>
  <si>
    <t>Exec VP Business Dev and Strategy</t>
  </si>
  <si>
    <t>Main</t>
  </si>
  <si>
    <t>In millions of dollar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</si>
  <si>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</si>
  <si>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</si>
  <si>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</si>
  <si>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</si>
  <si>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</si>
  <si>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</si>
  <si>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</si>
  <si>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</si>
  <si>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</si>
  <si>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</si>
  <si>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</si>
  <si>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</si>
  <si>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</si>
  <si>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</si>
  <si>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</si>
  <si>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</si>
  <si>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</si>
  <si>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</si>
  <si>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</si>
  <si>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</si>
  <si>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</si>
  <si>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</si>
  <si>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</si>
  <si>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</si>
  <si>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</si>
  <si>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</si>
  <si>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</si>
  <si>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</si>
  <si>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 related party</t>
  </si>
  <si>
    <t>Interest expense related party</t>
  </si>
  <si>
    <t>Other financial income</t>
  </si>
  <si>
    <t>Pretax</t>
  </si>
  <si>
    <t>Taxes</t>
  </si>
  <si>
    <t>Net income</t>
  </si>
  <si>
    <t>EPS</t>
  </si>
  <si>
    <t>Gross Margin %</t>
  </si>
  <si>
    <t>Operating Margin %</t>
  </si>
  <si>
    <t>Net Margin %</t>
  </si>
  <si>
    <t>Tax Rate %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</si>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</sst>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/>
    <xf numFmtId="4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3" fontId="1" fillId="0" borderId="2" xfId="0" applyNumberFormat="1" applyFont="1" applyBorder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7326</xdr:colOff>
      <xdr:row>0</xdr:row>
      <xdr:rowOff>124558</xdr:rowOff>
    </xdr:from>
    <xdr:to>
      <xdr:col>18</xdr:col>
      <xdr:colOff>7326</xdr:colOff>
      <xdr:row>30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BC0FB4-6C54-A68A-CB2B-4D05F64EFF37}"/>
            </a:ext>
          </a:extLst>
        </xdr:cNvPr>
        <xdr:cNvCxnSpPr/>
      </xdr:nvCxnSpPr>
      <xdr:spPr>
        <a:xfrm>
          <a:off x="11005038" y="124558"/>
          <a:ext cx="0" cy="5487865"/>
        </a:xfrm>
        <a:prstGeom prst="line">
          <a:avLst/>
        </a:prstGeom>
        <a:ln w="63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</xdr:row>
      <xdr:rowOff>36634</xdr:rowOff>
    </xdr:from>
    <xdr:to>
      <xdr:col>27</xdr:col>
      <xdr:colOff>0</xdr:colOff>
      <xdr:row>30</xdr:row>
      <xdr:rowOff>190499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21AA-970C-40C7-B716-B48FE900429C}"/>
            </a:ext>
          </a:extLst>
        </xdr:cNvPr>
        <xdr:cNvCxnSpPr/>
      </xdr:nvCxnSpPr>
      <xdr:spPr>
        <a:xfrm>
          <a:off x="16771327" y="278422"/>
          <a:ext cx="0" cy="5678365"/>
        </a:xfrm>
        <a:prstGeom prst="line">
          <a:avLst/>
        </a:prstGeom>
        <a:ln w="63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7896-DB91-4F54-858F-505D126528AD}">
  <dimension ref="B1:L52"/>
  <sheetViews>
    <sheetView workbookViewId="0"/>
  </sheetViews>
  <sheetFormatPr defaultRowHeight="15"/>
  <cols>
    <col min="2" max="2" width="17.28515625" customWidth="1"/>
    <col min="3" max="3" width="15" customWidth="1"/>
    <col min="12" max="12" width="15.5703125" bestFit="1" customWidth="1"/>
  </cols>
  <sheetData>
    <row r="1" spans="2:12" ht="21">
      <c r="K1" s="15" t="s">
        <v>0</v>
      </c>
      <c r="L1" s="15"/>
    </row>
    <row r="2" spans="2:12">
      <c r="B2" t="s">
        <v>1</v>
      </c>
      <c r="C2" s="2">
        <v>1999</v>
      </c>
      <c r="K2" t="s">
        <v>2</v>
      </c>
      <c r="L2">
        <v>31.53</v>
      </c>
    </row>
    <row r="3" spans="2:12">
      <c r="B3" t="s">
        <v>3</v>
      </c>
      <c r="C3" s="2" t="s">
        <v>4</v>
      </c>
      <c r="K3" t="s">
        <v>5</v>
      </c>
      <c r="L3" s="1">
        <v>806231.40700000001</v>
      </c>
    </row>
    <row r="4" spans="2:12">
      <c r="B4" t="s">
        <v>6</v>
      </c>
      <c r="C4" s="2">
        <v>2014</v>
      </c>
      <c r="K4" t="s">
        <v>7</v>
      </c>
      <c r="L4" s="1">
        <f>L2*L3</f>
        <v>25420476.262710001</v>
      </c>
    </row>
    <row r="5" spans="2:12">
      <c r="B5" t="s">
        <v>8</v>
      </c>
      <c r="K5" t="s">
        <v>9</v>
      </c>
      <c r="L5" s="1">
        <v>1212000</v>
      </c>
    </row>
    <row r="6" spans="2:12">
      <c r="B6" t="s">
        <v>10</v>
      </c>
      <c r="K6" t="s">
        <v>11</v>
      </c>
      <c r="L6" s="1">
        <v>48000</v>
      </c>
    </row>
    <row r="7" spans="2:12">
      <c r="K7" t="s">
        <v>12</v>
      </c>
      <c r="L7" s="1">
        <f>L4-L5+L6</f>
        <v>24256476.262710001</v>
      </c>
    </row>
    <row r="8" spans="2:12">
      <c r="B8" t="s">
        <v>13</v>
      </c>
      <c r="K8" t="s">
        <v>14</v>
      </c>
      <c r="L8" s="1">
        <f>L5-L6</f>
        <v>1164000</v>
      </c>
    </row>
    <row r="9" spans="2:12">
      <c r="B9" t="s">
        <v>15</v>
      </c>
      <c r="C9" t="s">
        <v>16</v>
      </c>
    </row>
    <row r="10" spans="2:12">
      <c r="B10" t="s">
        <v>17</v>
      </c>
      <c r="C10" t="s">
        <v>16</v>
      </c>
      <c r="D10" t="s">
        <v>18</v>
      </c>
      <c r="K10" t="s">
        <v>19</v>
      </c>
      <c r="L10" t="s">
        <v>20</v>
      </c>
    </row>
    <row r="11" spans="2:12">
      <c r="B11" t="s">
        <v>21</v>
      </c>
      <c r="C11" t="s">
        <v>16</v>
      </c>
      <c r="D11" t="s">
        <v>22</v>
      </c>
    </row>
    <row r="12" spans="2:12">
      <c r="B12" t="s">
        <v>23</v>
      </c>
    </row>
    <row r="13" spans="2:12">
      <c r="B13" t="s">
        <v>24</v>
      </c>
    </row>
    <row r="14" spans="2:12">
      <c r="B14" t="s">
        <v>25</v>
      </c>
    </row>
    <row r="17" spans="2:2">
      <c r="B17" t="s">
        <v>26</v>
      </c>
    </row>
    <row r="19" spans="2:2">
      <c r="B19" t="s">
        <v>27</v>
      </c>
    </row>
    <row r="20" spans="2:2">
      <c r="B20" t="s">
        <v>28</v>
      </c>
    </row>
    <row r="22" spans="2:2">
      <c r="B22" t="s">
        <v>29</v>
      </c>
    </row>
    <row r="23" spans="2:2">
      <c r="B23" t="s">
        <v>30</v>
      </c>
    </row>
    <row r="24" spans="2:2">
      <c r="B24" t="s">
        <v>31</v>
      </c>
    </row>
    <row r="26" spans="2:2">
      <c r="B26" t="s">
        <v>32</v>
      </c>
    </row>
    <row r="27" spans="2:2">
      <c r="B27" t="s">
        <v>33</v>
      </c>
    </row>
    <row r="28" spans="2:2">
      <c r="B28" t="s">
        <v>34</v>
      </c>
    </row>
    <row r="30" spans="2:2">
      <c r="B30" t="s">
        <v>35</v>
      </c>
    </row>
    <row r="31" spans="2:2">
      <c r="B31" t="s">
        <v>36</v>
      </c>
    </row>
    <row r="33" spans="2:8">
      <c r="B33" t="s">
        <v>37</v>
      </c>
    </row>
    <row r="35" spans="2:8">
      <c r="B35" s="3" t="s">
        <v>38</v>
      </c>
      <c r="E35" t="s">
        <v>39</v>
      </c>
    </row>
    <row r="36" spans="2:8">
      <c r="B36" s="3">
        <v>2019</v>
      </c>
      <c r="C36">
        <v>2000</v>
      </c>
      <c r="E36" t="s">
        <v>40</v>
      </c>
      <c r="H36">
        <v>334</v>
      </c>
    </row>
    <row r="37" spans="2:8">
      <c r="B37" s="3">
        <v>2020</v>
      </c>
      <c r="C37">
        <v>2500</v>
      </c>
      <c r="E37" t="s">
        <v>41</v>
      </c>
      <c r="H37">
        <v>48</v>
      </c>
    </row>
    <row r="38" spans="2:8">
      <c r="B38" s="3">
        <v>2021</v>
      </c>
      <c r="C38">
        <v>2900</v>
      </c>
      <c r="E38" t="s">
        <v>42</v>
      </c>
      <c r="H38">
        <v>192</v>
      </c>
    </row>
    <row r="39" spans="2:8">
      <c r="B39" s="3">
        <v>2022</v>
      </c>
      <c r="C39">
        <v>3500</v>
      </c>
      <c r="E39" t="s">
        <v>43</v>
      </c>
      <c r="H39">
        <v>521</v>
      </c>
    </row>
    <row r="40" spans="2:8">
      <c r="B40" s="3">
        <v>2023</v>
      </c>
      <c r="C40">
        <v>3700</v>
      </c>
      <c r="E40" t="s">
        <v>44</v>
      </c>
    </row>
    <row r="43" spans="2:8">
      <c r="B43" t="s">
        <v>45</v>
      </c>
    </row>
    <row r="44" spans="2:8">
      <c r="B44" t="s">
        <v>46</v>
      </c>
    </row>
    <row r="46" spans="2:8">
      <c r="B46" t="s">
        <v>47</v>
      </c>
    </row>
    <row r="47" spans="2:8">
      <c r="B47" t="s">
        <v>48</v>
      </c>
      <c r="C47" t="s">
        <v>49</v>
      </c>
      <c r="D47" t="s">
        <v>50</v>
      </c>
    </row>
    <row r="48" spans="2:8">
      <c r="B48" t="s">
        <v>20</v>
      </c>
      <c r="C48" t="s">
        <v>19</v>
      </c>
      <c r="D48">
        <v>63</v>
      </c>
      <c r="E48" t="s">
        <v>51</v>
      </c>
    </row>
    <row r="49" spans="2:5">
      <c r="B49" t="s">
        <v>52</v>
      </c>
      <c r="C49" t="s">
        <v>53</v>
      </c>
      <c r="D49">
        <v>43</v>
      </c>
      <c r="E49" t="s">
        <v>54</v>
      </c>
    </row>
    <row r="50" spans="2:5">
      <c r="B50" t="s">
        <v>55</v>
      </c>
      <c r="C50" t="s">
        <v>56</v>
      </c>
      <c r="D50">
        <v>54</v>
      </c>
      <c r="E50" t="s">
        <v>57</v>
      </c>
    </row>
    <row r="51" spans="2:5">
      <c r="B51" t="s">
        <v>58</v>
      </c>
      <c r="C51" t="s">
        <v>59</v>
      </c>
      <c r="D51">
        <v>48</v>
      </c>
      <c r="E51" t="s">
        <v>57</v>
      </c>
    </row>
    <row r="52" spans="2:5">
      <c r="B52" t="s">
        <v>60</v>
      </c>
      <c r="C52" t="s">
        <v>61</v>
      </c>
      <c r="D52">
        <v>34</v>
      </c>
      <c r="E52">
        <v>2017</v>
      </c>
    </row>
  </sheetData>
  <mergeCells count="1">
    <mergeCell ref="K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F803-FECD-4811-9325-A708BC6AB362}">
  <dimension ref="A1:BJ26"/>
  <sheetViews>
    <sheetView tabSelected="1" zoomScale="130" zoomScaleNormal="130" workbookViewId="0">
      <pane xSplit="2" ySplit="2" topLeftCell="X3" activePane="bottomRight" state="frozen"/>
      <selection pane="bottomRight" activeCell="AE13" sqref="AE13"/>
      <selection pane="bottomLeft" activeCell="A3" sqref="A3"/>
      <selection pane="topRight" activeCell="C1" sqref="C1"/>
    </sheetView>
  </sheetViews>
  <sheetFormatPr defaultRowHeight="15"/>
  <cols>
    <col min="1" max="1" width="7.5703125" customWidth="1"/>
    <col min="2" max="2" width="20.5703125" customWidth="1"/>
    <col min="15" max="15" width="11" bestFit="1" customWidth="1"/>
    <col min="16" max="17" width="10.42578125" bestFit="1" customWidth="1"/>
  </cols>
  <sheetData>
    <row r="1" spans="1:62" ht="18.75">
      <c r="A1" s="4" t="s">
        <v>62</v>
      </c>
      <c r="C1" s="8" t="s">
        <v>63</v>
      </c>
      <c r="E1" s="8" t="s">
        <v>63</v>
      </c>
      <c r="F1" s="8"/>
      <c r="H1" s="8" t="s">
        <v>63</v>
      </c>
      <c r="J1" s="8" t="s">
        <v>63</v>
      </c>
      <c r="L1" s="8" t="s">
        <v>63</v>
      </c>
      <c r="N1" s="8" t="s">
        <v>63</v>
      </c>
      <c r="P1" s="8" t="s">
        <v>63</v>
      </c>
      <c r="R1" s="8" t="s">
        <v>63</v>
      </c>
      <c r="T1" s="8" t="s">
        <v>63</v>
      </c>
      <c r="V1" s="8" t="s">
        <v>63</v>
      </c>
      <c r="Y1" s="8" t="s">
        <v>63</v>
      </c>
      <c r="AA1" s="8" t="s">
        <v>63</v>
      </c>
      <c r="AC1" s="8" t="s">
        <v>63</v>
      </c>
      <c r="AE1" s="8" t="s">
        <v>63</v>
      </c>
      <c r="AG1" s="8" t="s">
        <v>63</v>
      </c>
      <c r="AI1" s="8" t="s">
        <v>63</v>
      </c>
      <c r="AK1" s="8" t="s">
        <v>63</v>
      </c>
      <c r="AL1" s="8"/>
      <c r="AM1" s="8" t="s">
        <v>63</v>
      </c>
      <c r="AO1" s="8" t="s">
        <v>63</v>
      </c>
      <c r="AQ1" s="8" t="s">
        <v>63</v>
      </c>
    </row>
    <row r="2" spans="1:62" s="7" customFormat="1">
      <c r="C2" s="7" t="s">
        <v>64</v>
      </c>
      <c r="D2" s="7" t="s">
        <v>65</v>
      </c>
      <c r="E2" s="7" t="s">
        <v>66</v>
      </c>
      <c r="F2" s="7" t="s">
        <v>67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81</v>
      </c>
      <c r="U2" s="7" t="s">
        <v>82</v>
      </c>
      <c r="V2" s="7" t="s">
        <v>83</v>
      </c>
      <c r="X2" s="7">
        <v>2020</v>
      </c>
      <c r="Y2" s="7">
        <v>2021</v>
      </c>
      <c r="Z2" s="7">
        <v>2022</v>
      </c>
      <c r="AA2" s="7">
        <v>2023</v>
      </c>
      <c r="AB2" s="7">
        <v>2024</v>
      </c>
      <c r="AC2" s="7">
        <v>2025</v>
      </c>
      <c r="AD2" s="7">
        <v>2026</v>
      </c>
      <c r="AE2" s="7">
        <v>2027</v>
      </c>
      <c r="AF2" s="7">
        <v>2028</v>
      </c>
      <c r="AG2" s="7">
        <v>2029</v>
      </c>
      <c r="AH2" s="7">
        <v>2030</v>
      </c>
      <c r="AI2" s="7">
        <v>2031</v>
      </c>
      <c r="AJ2" s="7">
        <v>2032</v>
      </c>
      <c r="AK2" s="7">
        <v>2033</v>
      </c>
      <c r="AL2" s="7">
        <v>2034</v>
      </c>
      <c r="AM2" s="7">
        <v>2035</v>
      </c>
      <c r="AN2" s="7">
        <v>2036</v>
      </c>
      <c r="AO2" s="7">
        <v>2037</v>
      </c>
      <c r="AP2" s="7">
        <v>2038</v>
      </c>
      <c r="AQ2" s="7">
        <v>2039</v>
      </c>
      <c r="AR2" s="7">
        <v>2040</v>
      </c>
      <c r="AS2" s="7">
        <v>2041</v>
      </c>
      <c r="AT2" s="7">
        <v>2042</v>
      </c>
      <c r="AU2" s="7">
        <v>2043</v>
      </c>
      <c r="AV2" s="7">
        <v>2044</v>
      </c>
      <c r="AW2" s="7">
        <v>2045</v>
      </c>
      <c r="AX2" s="7">
        <v>2046</v>
      </c>
      <c r="AY2" s="7">
        <v>2047</v>
      </c>
      <c r="AZ2" s="7">
        <v>2048</v>
      </c>
      <c r="BA2" s="7">
        <v>2049</v>
      </c>
      <c r="BB2" s="7">
        <v>2050</v>
      </c>
      <c r="BC2" s="7">
        <v>2051</v>
      </c>
      <c r="BD2" s="7">
        <v>2052</v>
      </c>
      <c r="BE2" s="7">
        <v>2053</v>
      </c>
      <c r="BF2" s="7">
        <v>2054</v>
      </c>
      <c r="BG2" s="7">
        <v>2055</v>
      </c>
      <c r="BH2" s="7">
        <v>2056</v>
      </c>
      <c r="BI2" s="7">
        <v>2057</v>
      </c>
      <c r="BJ2" s="7">
        <v>2058</v>
      </c>
    </row>
    <row r="3" spans="1:62" s="10" customFormat="1">
      <c r="B3" s="10" t="s">
        <v>84</v>
      </c>
      <c r="I3" s="10">
        <v>326</v>
      </c>
      <c r="J3" s="10">
        <f>1386-G3-H3-I3</f>
        <v>1060</v>
      </c>
      <c r="K3" s="10">
        <v>394</v>
      </c>
      <c r="L3" s="10">
        <v>460</v>
      </c>
      <c r="M3" s="10">
        <v>450</v>
      </c>
      <c r="N3" s="10">
        <f>1869-K3-L3-M3</f>
        <v>565</v>
      </c>
      <c r="O3" s="10">
        <v>458</v>
      </c>
      <c r="P3" s="10">
        <v>454</v>
      </c>
      <c r="Q3" s="10">
        <v>530</v>
      </c>
      <c r="R3" s="10">
        <f>2079-O3-P3-Q3</f>
        <v>637</v>
      </c>
      <c r="S3" s="10">
        <v>231</v>
      </c>
      <c r="T3" s="10">
        <v>440.87</v>
      </c>
      <c r="U3" s="10">
        <v>550</v>
      </c>
      <c r="V3" s="10">
        <v>650</v>
      </c>
      <c r="X3" s="10">
        <v>967</v>
      </c>
      <c r="Y3" s="10">
        <v>1386</v>
      </c>
      <c r="Z3" s="10">
        <f>SUM(K3:N3)</f>
        <v>1869</v>
      </c>
      <c r="AA3" s="10">
        <f>SUM(O3:R3)</f>
        <v>2079</v>
      </c>
      <c r="AB3" s="10">
        <f>SUM(S3:V3)</f>
        <v>1871.87</v>
      </c>
    </row>
    <row r="4" spans="1:62" s="1" customFormat="1">
      <c r="B4" s="1" t="s">
        <v>85</v>
      </c>
      <c r="I4" s="1">
        <v>173</v>
      </c>
      <c r="J4" s="1">
        <f>731-G4-H4-I4</f>
        <v>558</v>
      </c>
      <c r="K4" s="1">
        <v>218</v>
      </c>
      <c r="L4" s="1">
        <v>231</v>
      </c>
      <c r="M4" s="1">
        <v>233</v>
      </c>
      <c r="N4" s="1">
        <f>947-K4-L4-M4</f>
        <v>265</v>
      </c>
      <c r="O4" s="1">
        <v>251</v>
      </c>
      <c r="P4" s="1">
        <v>230</v>
      </c>
      <c r="Q4" s="1">
        <v>258</v>
      </c>
      <c r="R4" s="1">
        <f>1032-O4-P4-Q4</f>
        <v>293</v>
      </c>
      <c r="S4" s="1">
        <f>S3*0.55</f>
        <v>127.05000000000001</v>
      </c>
      <c r="T4" s="1">
        <f>T3*0.5</f>
        <v>220.435</v>
      </c>
      <c r="U4" s="1">
        <f>U3*0.5</f>
        <v>275</v>
      </c>
      <c r="V4" s="1">
        <f>V3*0.5</f>
        <v>325</v>
      </c>
      <c r="X4" s="1">
        <v>591</v>
      </c>
      <c r="Y4" s="1">
        <v>731</v>
      </c>
      <c r="Z4" s="1">
        <f t="shared" ref="Z4:Z16" si="0">SUM(K4:N4)</f>
        <v>947</v>
      </c>
      <c r="AA4" s="1">
        <f>SUM(O4:R4)</f>
        <v>1032</v>
      </c>
      <c r="AB4" s="1">
        <f>SUM(S4:V4)</f>
        <v>947.48500000000001</v>
      </c>
    </row>
    <row r="5" spans="1:62" s="12" customFormat="1">
      <c r="B5" s="12" t="s">
        <v>86</v>
      </c>
      <c r="I5" s="12">
        <f>I3-I4</f>
        <v>153</v>
      </c>
      <c r="J5" s="12">
        <f>655-G5-H5-I5</f>
        <v>502</v>
      </c>
      <c r="K5" s="12">
        <f>K3-K4</f>
        <v>176</v>
      </c>
      <c r="L5" s="12">
        <f>L3-L4</f>
        <v>229</v>
      </c>
      <c r="M5" s="12">
        <f>M3-M4</f>
        <v>217</v>
      </c>
      <c r="N5" s="12">
        <f>922-K5-L5-M5</f>
        <v>300</v>
      </c>
      <c r="O5" s="12">
        <f>O3-O4</f>
        <v>207</v>
      </c>
      <c r="P5" s="12">
        <f>P3-P4</f>
        <v>224</v>
      </c>
      <c r="Q5" s="12">
        <f>Q3-Q4</f>
        <v>272</v>
      </c>
      <c r="R5" s="12">
        <f>1047-O5-P5-Q5</f>
        <v>344</v>
      </c>
      <c r="S5" s="12">
        <f>S3-S4</f>
        <v>103.94999999999999</v>
      </c>
      <c r="T5" s="12">
        <f>T3-T4</f>
        <v>220.435</v>
      </c>
      <c r="U5" s="12">
        <f>U3-U4</f>
        <v>275</v>
      </c>
      <c r="V5" s="12">
        <f>V3-V4</f>
        <v>325</v>
      </c>
      <c r="X5" s="12">
        <f>X3-X4</f>
        <v>376</v>
      </c>
      <c r="Y5" s="12">
        <f>Y3-Y4</f>
        <v>655</v>
      </c>
      <c r="Z5" s="12">
        <f t="shared" si="0"/>
        <v>922</v>
      </c>
      <c r="AA5" s="12">
        <f>SUM(O5:R5)</f>
        <v>1047</v>
      </c>
      <c r="AB5" s="12">
        <f>SUM(S5:V5)</f>
        <v>924.38499999999999</v>
      </c>
    </row>
    <row r="6" spans="1:62" s="1" customFormat="1">
      <c r="B6" s="1" t="s">
        <v>87</v>
      </c>
      <c r="I6" s="1">
        <v>132</v>
      </c>
      <c r="J6" s="1">
        <f>544-G6-H6-I6</f>
        <v>412</v>
      </c>
      <c r="K6" s="1">
        <v>180</v>
      </c>
      <c r="L6" s="1">
        <v>179</v>
      </c>
      <c r="M6" s="1">
        <v>206</v>
      </c>
      <c r="N6" s="1">
        <f>789-K6-L6-M6</f>
        <v>224</v>
      </c>
      <c r="O6" s="1">
        <v>235</v>
      </c>
      <c r="P6" s="1">
        <v>211</v>
      </c>
      <c r="Q6" s="1">
        <v>218</v>
      </c>
      <c r="R6" s="1">
        <f>889-O6-P6-Q6</f>
        <v>225</v>
      </c>
      <c r="S6" s="1">
        <v>130</v>
      </c>
      <c r="T6" s="1">
        <v>170</v>
      </c>
      <c r="U6" s="1">
        <v>180</v>
      </c>
      <c r="V6" s="1">
        <v>190</v>
      </c>
      <c r="X6" s="1">
        <v>440</v>
      </c>
      <c r="Y6" s="1">
        <v>544</v>
      </c>
      <c r="Z6" s="1">
        <f t="shared" si="0"/>
        <v>789</v>
      </c>
      <c r="AA6" s="1">
        <f>SUM(O6:R6)</f>
        <v>889</v>
      </c>
      <c r="AB6" s="1">
        <f t="shared" ref="AB6:AB9" si="1">SUM(S6:V6)</f>
        <v>670</v>
      </c>
    </row>
    <row r="7" spans="1:62" s="1" customFormat="1">
      <c r="B7" s="1" t="s">
        <v>88</v>
      </c>
      <c r="I7" s="1">
        <v>33</v>
      </c>
      <c r="J7" s="1">
        <f>134-G7-H7-I7</f>
        <v>101</v>
      </c>
      <c r="K7" s="1">
        <v>35</v>
      </c>
      <c r="L7" s="1">
        <v>29</v>
      </c>
      <c r="M7" s="1">
        <v>27</v>
      </c>
      <c r="N7" s="1">
        <f>120-K7-L7-M7</f>
        <v>29</v>
      </c>
      <c r="O7" s="1">
        <v>33</v>
      </c>
      <c r="P7" s="1">
        <v>29</v>
      </c>
      <c r="Q7" s="1">
        <v>28</v>
      </c>
      <c r="R7" s="1">
        <f>118-O7-P7-Q7</f>
        <v>28</v>
      </c>
      <c r="S7" s="1">
        <v>22</v>
      </c>
      <c r="T7" s="1">
        <v>20</v>
      </c>
      <c r="U7" s="1">
        <v>20</v>
      </c>
      <c r="V7" s="1">
        <v>25</v>
      </c>
      <c r="X7" s="1">
        <v>116</v>
      </c>
      <c r="Y7" s="1">
        <v>134</v>
      </c>
      <c r="Z7" s="1">
        <f t="shared" si="0"/>
        <v>120</v>
      </c>
      <c r="AA7" s="1">
        <f>SUM(O7:R7)</f>
        <v>118</v>
      </c>
      <c r="AB7" s="1">
        <f t="shared" si="1"/>
        <v>87</v>
      </c>
    </row>
    <row r="8" spans="1:62" s="1" customFormat="1">
      <c r="B8" s="1" t="s">
        <v>89</v>
      </c>
      <c r="I8" s="1">
        <v>8</v>
      </c>
      <c r="J8" s="1">
        <f>34-G8-H8-I8</f>
        <v>26</v>
      </c>
      <c r="K8" s="1">
        <v>7</v>
      </c>
      <c r="L8" s="1">
        <v>11</v>
      </c>
      <c r="M8" s="1">
        <v>9</v>
      </c>
      <c r="N8" s="1">
        <f>50-K8-L8-M8</f>
        <v>23</v>
      </c>
      <c r="O8" s="1">
        <v>20</v>
      </c>
      <c r="P8" s="1">
        <v>17</v>
      </c>
      <c r="Q8" s="1">
        <v>18</v>
      </c>
      <c r="R8" s="1">
        <f>79-O8-P8-Q8</f>
        <v>24</v>
      </c>
      <c r="S8" s="1">
        <f>AVERAGE(O8:R8)</f>
        <v>19.75</v>
      </c>
      <c r="T8" s="1">
        <f>AVERAGE(P8:S8)</f>
        <v>19.6875</v>
      </c>
      <c r="U8" s="1">
        <f>AVERAGE(Q8:T8)</f>
        <v>20.359375</v>
      </c>
      <c r="V8" s="1">
        <v>18</v>
      </c>
      <c r="X8" s="1">
        <v>33</v>
      </c>
      <c r="Y8" s="1">
        <v>34</v>
      </c>
      <c r="Z8" s="1">
        <f t="shared" si="0"/>
        <v>50</v>
      </c>
      <c r="AA8" s="1">
        <f>SUM(O8:R8)</f>
        <v>79</v>
      </c>
      <c r="AB8" s="1">
        <f t="shared" si="1"/>
        <v>77.796875</v>
      </c>
    </row>
    <row r="9" spans="1:62" s="1" customFormat="1">
      <c r="B9" s="1" t="s">
        <v>90</v>
      </c>
      <c r="I9" s="1">
        <f>I6+I7+I8</f>
        <v>173</v>
      </c>
      <c r="J9" s="1">
        <f>712-G9-H9-I9</f>
        <v>539</v>
      </c>
      <c r="K9" s="1">
        <f>K6+K7+K8</f>
        <v>222</v>
      </c>
      <c r="L9" s="1">
        <f>L6+L7+L8</f>
        <v>219</v>
      </c>
      <c r="M9" s="1">
        <f>M6+M7+M8</f>
        <v>242</v>
      </c>
      <c r="N9" s="1">
        <f>959-K9-L9-M9</f>
        <v>276</v>
      </c>
      <c r="O9" s="1">
        <f>O6+O7+O8</f>
        <v>288</v>
      </c>
      <c r="P9" s="1">
        <f>P6+P7+P8</f>
        <v>257</v>
      </c>
      <c r="Q9" s="1">
        <f>Q6+Q7+Q8</f>
        <v>264</v>
      </c>
      <c r="R9" s="1">
        <f>1080-O9-P9-Q9</f>
        <v>271</v>
      </c>
      <c r="S9" s="5">
        <f>SUM(S6:S8)</f>
        <v>171.75</v>
      </c>
      <c r="T9" s="5">
        <f>SUM(T6:T8)</f>
        <v>209.6875</v>
      </c>
      <c r="U9" s="5">
        <f>SUM(U6:U8)</f>
        <v>220.359375</v>
      </c>
      <c r="V9" s="5">
        <f>SUM(V6:V8)</f>
        <v>233</v>
      </c>
      <c r="X9" s="1">
        <f>X6+X7+X8</f>
        <v>589</v>
      </c>
      <c r="Y9" s="1">
        <f>Y6+Y7+Y8</f>
        <v>712</v>
      </c>
      <c r="Z9" s="1">
        <f t="shared" si="0"/>
        <v>959</v>
      </c>
      <c r="AA9" s="1">
        <f>SUM(O9:R9)</f>
        <v>1080</v>
      </c>
      <c r="AB9" s="1">
        <f t="shared" si="1"/>
        <v>834.796875</v>
      </c>
    </row>
    <row r="10" spans="1:62" s="12" customFormat="1">
      <c r="B10" s="12" t="s">
        <v>91</v>
      </c>
      <c r="I10" s="12">
        <f>I5-I9</f>
        <v>-20</v>
      </c>
      <c r="J10" s="12">
        <f>-47-G10-H10-I10</f>
        <v>-27</v>
      </c>
      <c r="K10" s="12">
        <f>K5-K9</f>
        <v>-46</v>
      </c>
      <c r="L10" s="12">
        <f>L5-L9</f>
        <v>10</v>
      </c>
      <c r="M10" s="12">
        <f>M5-M9</f>
        <v>-25</v>
      </c>
      <c r="N10" s="12">
        <f>-37-K10-L10-M10</f>
        <v>24</v>
      </c>
      <c r="O10" s="12">
        <f>O5-O9</f>
        <v>-81</v>
      </c>
      <c r="P10" s="12">
        <f>P5-P9</f>
        <v>-33</v>
      </c>
      <c r="Q10" s="12">
        <f>Q5-Q9</f>
        <v>8</v>
      </c>
      <c r="R10" s="12">
        <f>-33-O10-P10-Q10</f>
        <v>73</v>
      </c>
      <c r="S10" s="12">
        <f>S5-S9</f>
        <v>-67.800000000000011</v>
      </c>
      <c r="T10" s="12">
        <f>T5-T9</f>
        <v>10.747500000000002</v>
      </c>
      <c r="U10" s="12">
        <f>U5-U9</f>
        <v>54.640625</v>
      </c>
      <c r="V10" s="12">
        <f>V5-V9</f>
        <v>92</v>
      </c>
      <c r="X10" s="12">
        <f>X5-X9</f>
        <v>-213</v>
      </c>
      <c r="Y10" s="12">
        <f>Y5-Y9</f>
        <v>-57</v>
      </c>
      <c r="Z10" s="12">
        <f t="shared" si="0"/>
        <v>-37</v>
      </c>
      <c r="AA10" s="12">
        <f>SUM(O10:R10)</f>
        <v>-33</v>
      </c>
      <c r="AB10" s="12">
        <f>SUM(S10:V10)</f>
        <v>89.588124999999991</v>
      </c>
    </row>
    <row r="11" spans="1:62" s="1" customFormat="1">
      <c r="B11" s="1" t="s">
        <v>92</v>
      </c>
      <c r="J11" s="1">
        <f>3-G11-H11-I11</f>
        <v>3</v>
      </c>
      <c r="K11" s="1">
        <v>1</v>
      </c>
      <c r="L11" s="1">
        <v>3</v>
      </c>
      <c r="M11" s="1">
        <v>5</v>
      </c>
      <c r="N11" s="1">
        <f>18-K11-L11-M11</f>
        <v>9</v>
      </c>
      <c r="R11" s="1">
        <v>0</v>
      </c>
      <c r="X11" s="1">
        <v>6</v>
      </c>
      <c r="Y11" s="1">
        <v>3</v>
      </c>
      <c r="Z11" s="1">
        <f t="shared" si="0"/>
        <v>18</v>
      </c>
      <c r="AA11" s="1">
        <f>SUM(O11:R11)</f>
        <v>0</v>
      </c>
      <c r="AB11" s="1">
        <f t="shared" ref="AB11:AB13" si="2">SUM(S11:V11)</f>
        <v>0</v>
      </c>
    </row>
    <row r="12" spans="1:62" s="1" customFormat="1">
      <c r="B12" s="1" t="s">
        <v>93</v>
      </c>
      <c r="L12" s="1">
        <v>-9</v>
      </c>
      <c r="M12" s="1">
        <v>-11</v>
      </c>
      <c r="N12" s="1">
        <f>-24-K12-L12-M12</f>
        <v>-4</v>
      </c>
      <c r="Z12" s="1">
        <f t="shared" si="0"/>
        <v>-24</v>
      </c>
      <c r="AA12" s="1">
        <f>SUM(O12:R12)</f>
        <v>0</v>
      </c>
      <c r="AB12" s="1">
        <f t="shared" si="2"/>
        <v>0</v>
      </c>
    </row>
    <row r="13" spans="1:62" s="1" customFormat="1">
      <c r="B13" s="1" t="s">
        <v>94</v>
      </c>
      <c r="J13" s="1">
        <f>-3-G13-H13-I13</f>
        <v>-3</v>
      </c>
      <c r="K13" s="1">
        <v>1</v>
      </c>
      <c r="L13" s="1">
        <v>4</v>
      </c>
      <c r="M13" s="1">
        <v>1</v>
      </c>
      <c r="N13" s="1">
        <f>-32-K13-L13-M13</f>
        <v>-38</v>
      </c>
      <c r="O13" s="1">
        <v>8</v>
      </c>
      <c r="P13" s="1">
        <v>15</v>
      </c>
      <c r="Q13" s="1">
        <v>15</v>
      </c>
      <c r="R13" s="1">
        <f>49-O13-P13-Q13</f>
        <v>11</v>
      </c>
      <c r="S13" s="1">
        <v>8</v>
      </c>
      <c r="T13" s="1">
        <v>15</v>
      </c>
      <c r="U13" s="1">
        <v>10</v>
      </c>
      <c r="V13" s="1">
        <v>16</v>
      </c>
      <c r="X13" s="1">
        <v>-5</v>
      </c>
      <c r="Y13" s="1">
        <v>-3</v>
      </c>
      <c r="Z13" s="1">
        <f t="shared" si="0"/>
        <v>-32</v>
      </c>
      <c r="AA13" s="1">
        <f>SUM(O13:R13)</f>
        <v>49</v>
      </c>
      <c r="AB13" s="1">
        <f t="shared" si="2"/>
        <v>49</v>
      </c>
    </row>
    <row r="14" spans="1:62" s="12" customFormat="1">
      <c r="B14" s="12" t="s">
        <v>95</v>
      </c>
      <c r="I14" s="12">
        <f>I10+I13+I11+I12</f>
        <v>-20</v>
      </c>
      <c r="J14" s="12">
        <f>-57-G14-H14-I14</f>
        <v>-37</v>
      </c>
      <c r="K14" s="12">
        <f>K10+K13+K11+K12</f>
        <v>-44</v>
      </c>
      <c r="L14" s="12">
        <f>L10+L13+L11+L12</f>
        <v>8</v>
      </c>
      <c r="M14" s="12">
        <f>M10+M13+M11+M12</f>
        <v>-30</v>
      </c>
      <c r="N14" s="12">
        <f>-32-K14-L14-M14</f>
        <v>34</v>
      </c>
      <c r="O14" s="12">
        <f>O10+O13+O11+O12</f>
        <v>-73</v>
      </c>
      <c r="P14" s="12">
        <f>P10+P13+P11+P12</f>
        <v>-18</v>
      </c>
      <c r="Q14" s="12">
        <f>Q10+Q13</f>
        <v>23</v>
      </c>
      <c r="R14" s="12">
        <f>16-O14-P14-Q14</f>
        <v>84</v>
      </c>
      <c r="S14" s="12">
        <f>S10+S13</f>
        <v>-59.800000000000011</v>
      </c>
      <c r="T14" s="12">
        <f>T10+T13</f>
        <v>25.747500000000002</v>
      </c>
      <c r="U14" s="12">
        <f>U10+U13</f>
        <v>64.640625</v>
      </c>
      <c r="V14" s="12">
        <f>V10+V13</f>
        <v>108</v>
      </c>
      <c r="X14" s="12">
        <f>X10+X13+X11+X12</f>
        <v>-212</v>
      </c>
      <c r="Y14" s="12">
        <f>Y10+Y13+Y11+Y12</f>
        <v>-57</v>
      </c>
      <c r="Z14" s="12">
        <f t="shared" si="0"/>
        <v>-32</v>
      </c>
      <c r="AA14" s="12">
        <f>SUM(O14:R14)</f>
        <v>16</v>
      </c>
      <c r="AB14" s="12">
        <f>SUM(S14:V14)</f>
        <v>138.58812499999999</v>
      </c>
    </row>
    <row r="15" spans="1:62" s="1" customFormat="1">
      <c r="B15" s="1" t="s">
        <v>96</v>
      </c>
      <c r="I15" s="1">
        <v>-6</v>
      </c>
      <c r="J15" s="1">
        <f>-18-G15-H15-I15</f>
        <v>-12</v>
      </c>
      <c r="K15" s="1">
        <v>-16</v>
      </c>
      <c r="L15" s="1">
        <v>-15</v>
      </c>
      <c r="M15" s="1">
        <v>6</v>
      </c>
      <c r="N15" s="1">
        <f>-50-K15-L15-M15</f>
        <v>-25</v>
      </c>
      <c r="O15" s="1">
        <v>-6</v>
      </c>
      <c r="P15" s="1">
        <v>-10</v>
      </c>
      <c r="Q15" s="1">
        <v>6</v>
      </c>
      <c r="R15" s="1">
        <f>-43-O15-P15-Q15</f>
        <v>-33</v>
      </c>
      <c r="S15" s="1">
        <f>AVERAGE(O15:R15)</f>
        <v>-10.75</v>
      </c>
      <c r="T15" s="1">
        <f>AVERAGE(P15:S15)</f>
        <v>-11.9375</v>
      </c>
      <c r="U15" s="1">
        <v>6</v>
      </c>
      <c r="V15" s="1">
        <v>-11</v>
      </c>
      <c r="X15" s="1">
        <v>16</v>
      </c>
      <c r="Y15" s="1">
        <v>-18</v>
      </c>
      <c r="Z15" s="1">
        <f t="shared" si="0"/>
        <v>-50</v>
      </c>
      <c r="AA15" s="1">
        <f>SUM(O15:R15)</f>
        <v>-43</v>
      </c>
      <c r="AB15" s="1">
        <f>SUM(S15:V15)</f>
        <v>-27.6875</v>
      </c>
    </row>
    <row r="16" spans="1:62" s="11" customFormat="1" ht="15.75" thickBot="1">
      <c r="B16" s="11" t="s">
        <v>97</v>
      </c>
      <c r="I16" s="11">
        <f>I14+I15</f>
        <v>-26</v>
      </c>
      <c r="J16" s="11">
        <f>-75-G16-H16-I16</f>
        <v>-49</v>
      </c>
      <c r="K16" s="11">
        <f>K14+K15</f>
        <v>-60</v>
      </c>
      <c r="L16" s="11">
        <f>L14+L15</f>
        <v>-7</v>
      </c>
      <c r="M16" s="11">
        <f>M14-M15</f>
        <v>-36</v>
      </c>
      <c r="N16" s="11">
        <f>-82-K16-L16-M16</f>
        <v>21</v>
      </c>
      <c r="O16" s="11">
        <f>O14+O15</f>
        <v>-79</v>
      </c>
      <c r="P16" s="11">
        <f>P14+P15</f>
        <v>-28</v>
      </c>
      <c r="Q16" s="11">
        <f>Q14-Q15</f>
        <v>17</v>
      </c>
      <c r="R16" s="11">
        <f>-27-O16-P16-Q16</f>
        <v>63</v>
      </c>
      <c r="S16" s="11">
        <f>S14+S15</f>
        <v>-70.550000000000011</v>
      </c>
      <c r="T16" s="11">
        <f>T14+T15</f>
        <v>13.810000000000002</v>
      </c>
      <c r="U16" s="11">
        <f>U14+U15</f>
        <v>70.640625</v>
      </c>
      <c r="V16" s="11">
        <f>V14+V15</f>
        <v>97</v>
      </c>
      <c r="X16" s="11">
        <f>X14+X15</f>
        <v>-196</v>
      </c>
      <c r="Y16" s="11">
        <f>Y14+Y15</f>
        <v>-75</v>
      </c>
      <c r="Z16" s="11">
        <f t="shared" si="0"/>
        <v>-82</v>
      </c>
      <c r="AA16" s="11">
        <f>SUM(O16:R16)</f>
        <v>-27</v>
      </c>
      <c r="AB16" s="11">
        <f>SUM(S16:V16)</f>
        <v>110.90062499999999</v>
      </c>
    </row>
    <row r="17" spans="2:28" ht="15.75" thickTop="1">
      <c r="B17" t="s">
        <v>98</v>
      </c>
      <c r="C17" s="6" t="e">
        <f t="shared" ref="C17" si="3">C16/C18</f>
        <v>#DIV/0!</v>
      </c>
      <c r="D17" s="6" t="e">
        <f t="shared" ref="D17" si="4">D16/D18</f>
        <v>#DIV/0!</v>
      </c>
      <c r="E17" s="6" t="e">
        <f t="shared" ref="E17" si="5">E16/E18</f>
        <v>#DIV/0!</v>
      </c>
      <c r="F17" s="6">
        <f t="shared" ref="F17" si="6">F16/F18</f>
        <v>0</v>
      </c>
      <c r="G17" s="6" t="e">
        <f t="shared" ref="G17:I17" si="7">G16/G18</f>
        <v>#DIV/0!</v>
      </c>
      <c r="H17" s="6" t="e">
        <f t="shared" si="7"/>
        <v>#DIV/0!</v>
      </c>
      <c r="I17" s="6">
        <f t="shared" si="7"/>
        <v>-3.4666666666666665E-2</v>
      </c>
      <c r="J17" s="6">
        <f>J16/J18</f>
        <v>-6.5333333333333327E-2</v>
      </c>
      <c r="K17" s="6">
        <f>K16/K18</f>
        <v>-0.08</v>
      </c>
      <c r="L17" s="6">
        <f>L16/L18</f>
        <v>-9.3333333333333341E-3</v>
      </c>
      <c r="M17" s="6">
        <f>M16/M18</f>
        <v>-4.8000000000000001E-2</v>
      </c>
      <c r="N17" s="6">
        <f>N16/N18</f>
        <v>2.766798418972332E-2</v>
      </c>
      <c r="O17" s="6">
        <f>O16/O18</f>
        <v>-9.8503740648379051E-2</v>
      </c>
      <c r="P17" s="6">
        <f>P16/P18</f>
        <v>-3.4782608695652174E-2</v>
      </c>
      <c r="Q17" s="6">
        <f>Q16/Q18</f>
        <v>2.0987654320987655E-2</v>
      </c>
      <c r="R17" s="6">
        <f>R16/R18</f>
        <v>7.8260869565217397E-2</v>
      </c>
      <c r="S17" s="6">
        <f>S16/S18</f>
        <v>-8.7639751552795048E-2</v>
      </c>
      <c r="T17" s="6">
        <f>T16/T18</f>
        <v>1.7155279503105594E-2</v>
      </c>
      <c r="U17" s="6">
        <f>U16/U18</f>
        <v>8.775232919254658E-2</v>
      </c>
      <c r="V17" s="6">
        <f>V16/V18</f>
        <v>0.12049689440993788</v>
      </c>
      <c r="X17" s="6">
        <f>X16/X18</f>
        <v>-0.26133333333333331</v>
      </c>
      <c r="Y17" s="6">
        <f>Y16/Y18</f>
        <v>-0.1</v>
      </c>
      <c r="Z17" s="9">
        <f>Z16/Z18</f>
        <v>-0.1080368906455863</v>
      </c>
      <c r="AA17" s="9">
        <f>AA16/AA18</f>
        <v>-3.354037267080745E-2</v>
      </c>
      <c r="AB17" s="9">
        <f>AB16/AB18</f>
        <v>0.13776475155279502</v>
      </c>
    </row>
    <row r="18" spans="2:28" s="1" customFormat="1">
      <c r="B18" s="1" t="s">
        <v>5</v>
      </c>
      <c r="F18" s="1">
        <v>750</v>
      </c>
      <c r="I18" s="1">
        <v>750</v>
      </c>
      <c r="J18" s="1">
        <v>750</v>
      </c>
      <c r="K18" s="1">
        <v>750</v>
      </c>
      <c r="L18" s="1">
        <v>750</v>
      </c>
      <c r="M18" s="1">
        <v>750</v>
      </c>
      <c r="N18" s="1">
        <v>759</v>
      </c>
      <c r="O18" s="1">
        <v>802</v>
      </c>
      <c r="P18" s="1">
        <v>805</v>
      </c>
      <c r="Q18" s="1">
        <v>810</v>
      </c>
      <c r="R18" s="1">
        <v>805</v>
      </c>
      <c r="S18" s="1">
        <v>805</v>
      </c>
      <c r="T18" s="1">
        <v>805</v>
      </c>
      <c r="U18" s="1">
        <v>805</v>
      </c>
      <c r="V18" s="1">
        <v>805</v>
      </c>
      <c r="X18" s="1">
        <v>750</v>
      </c>
      <c r="Y18" s="1">
        <v>750</v>
      </c>
      <c r="Z18" s="1">
        <v>759</v>
      </c>
      <c r="AA18" s="1">
        <v>805</v>
      </c>
      <c r="AB18" s="1">
        <v>805</v>
      </c>
    </row>
    <row r="20" spans="2:28">
      <c r="B20" t="s">
        <v>99</v>
      </c>
      <c r="I20" s="13">
        <f t="shared" ref="I20:Q20" si="8">I5/I3</f>
        <v>0.46932515337423314</v>
      </c>
      <c r="J20" s="13">
        <f t="shared" si="8"/>
        <v>0.47358490566037736</v>
      </c>
      <c r="K20" s="13">
        <f t="shared" si="8"/>
        <v>0.4467005076142132</v>
      </c>
      <c r="L20" s="13">
        <f t="shared" si="8"/>
        <v>0.49782608695652175</v>
      </c>
      <c r="M20" s="13">
        <f t="shared" si="8"/>
        <v>0.48222222222222222</v>
      </c>
      <c r="N20" s="13">
        <f t="shared" si="8"/>
        <v>0.53097345132743368</v>
      </c>
      <c r="O20" s="13">
        <f t="shared" si="8"/>
        <v>0.45196506550218341</v>
      </c>
      <c r="P20" s="13">
        <f t="shared" si="8"/>
        <v>0.4933920704845815</v>
      </c>
      <c r="Q20" s="13">
        <f t="shared" si="8"/>
        <v>0.51320754716981132</v>
      </c>
      <c r="R20" s="13">
        <f>R5/R3</f>
        <v>0.5400313971742543</v>
      </c>
      <c r="S20" s="13">
        <f>S5/S3</f>
        <v>0.44999999999999996</v>
      </c>
      <c r="T20" s="13">
        <f>T5/T3</f>
        <v>0.5</v>
      </c>
      <c r="U20" s="13">
        <f>U5/U3</f>
        <v>0.5</v>
      </c>
      <c r="V20" s="13">
        <f>V5/V3</f>
        <v>0.5</v>
      </c>
      <c r="X20" s="13">
        <f t="shared" ref="X20:Z20" si="9">X5/X3</f>
        <v>0.38883143743536713</v>
      </c>
      <c r="Y20" s="13">
        <f t="shared" si="9"/>
        <v>0.4725829725829726</v>
      </c>
      <c r="Z20" s="13">
        <f t="shared" si="9"/>
        <v>0.49331193151417868</v>
      </c>
      <c r="AA20" s="13">
        <f>AA5/AA3</f>
        <v>0.50360750360750361</v>
      </c>
      <c r="AB20" s="13">
        <f>AB5/AB3</f>
        <v>0.49382969971205265</v>
      </c>
    </row>
    <row r="21" spans="2:28">
      <c r="B21" t="s">
        <v>100</v>
      </c>
      <c r="I21" s="13">
        <f t="shared" ref="I21:Q21" si="10">I10/I5</f>
        <v>-0.13071895424836602</v>
      </c>
      <c r="J21" s="13">
        <f t="shared" si="10"/>
        <v>-5.3784860557768925E-2</v>
      </c>
      <c r="K21" s="13">
        <f t="shared" si="10"/>
        <v>-0.26136363636363635</v>
      </c>
      <c r="L21" s="13">
        <f t="shared" si="10"/>
        <v>4.3668122270742356E-2</v>
      </c>
      <c r="M21" s="13">
        <f t="shared" si="10"/>
        <v>-0.1152073732718894</v>
      </c>
      <c r="N21" s="13">
        <f t="shared" si="10"/>
        <v>0.08</v>
      </c>
      <c r="O21" s="13">
        <f t="shared" si="10"/>
        <v>-0.39130434782608697</v>
      </c>
      <c r="P21" s="13">
        <f t="shared" si="10"/>
        <v>-0.14732142857142858</v>
      </c>
      <c r="Q21" s="13">
        <f t="shared" si="10"/>
        <v>2.9411764705882353E-2</v>
      </c>
      <c r="R21" s="13">
        <f>R10/R5</f>
        <v>0.21220930232558138</v>
      </c>
      <c r="S21" s="13">
        <f>S10/S5</f>
        <v>-0.65223665223665239</v>
      </c>
      <c r="T21" s="13">
        <f>T10/T5</f>
        <v>4.8755869077052205E-2</v>
      </c>
      <c r="U21" s="13">
        <f>U10/U5</f>
        <v>0.19869318181818182</v>
      </c>
      <c r="V21" s="13">
        <f>V10/V5</f>
        <v>0.28307692307692306</v>
      </c>
      <c r="X21" s="13">
        <f t="shared" ref="X21:Z21" si="11">X10/X5</f>
        <v>-0.56648936170212771</v>
      </c>
      <c r="Y21" s="13">
        <f t="shared" si="11"/>
        <v>-8.7022900763358779E-2</v>
      </c>
      <c r="Z21" s="13">
        <f t="shared" si="11"/>
        <v>-4.0130151843817789E-2</v>
      </c>
      <c r="AA21" s="13">
        <f>AA10/AA5</f>
        <v>-3.151862464183381E-2</v>
      </c>
      <c r="AB21" s="13">
        <f>AB10/AB5</f>
        <v>9.6916463378354245E-2</v>
      </c>
    </row>
    <row r="22" spans="2:28">
      <c r="B22" t="s">
        <v>101</v>
      </c>
      <c r="I22" s="13">
        <f t="shared" ref="I22:Q22" si="12">I16/I3</f>
        <v>-7.9754601226993863E-2</v>
      </c>
      <c r="J22" s="13">
        <f t="shared" si="12"/>
        <v>-4.6226415094339619E-2</v>
      </c>
      <c r="K22" s="13">
        <f t="shared" si="12"/>
        <v>-0.15228426395939088</v>
      </c>
      <c r="L22" s="13">
        <f t="shared" si="12"/>
        <v>-1.5217391304347827E-2</v>
      </c>
      <c r="M22" s="13">
        <f t="shared" si="12"/>
        <v>-0.08</v>
      </c>
      <c r="N22" s="13">
        <f t="shared" si="12"/>
        <v>3.7168141592920353E-2</v>
      </c>
      <c r="O22" s="13">
        <f t="shared" si="12"/>
        <v>-0.17248908296943233</v>
      </c>
      <c r="P22" s="13">
        <f t="shared" si="12"/>
        <v>-6.1674008810572688E-2</v>
      </c>
      <c r="Q22" s="13">
        <f t="shared" si="12"/>
        <v>3.2075471698113207E-2</v>
      </c>
      <c r="R22" s="13">
        <f>R16/R3</f>
        <v>9.8901098901098897E-2</v>
      </c>
      <c r="S22" s="13">
        <f>S16/S3</f>
        <v>-0.30541125541125547</v>
      </c>
      <c r="T22" s="13">
        <f>T16/T3</f>
        <v>3.1324426701748821E-2</v>
      </c>
      <c r="U22" s="13">
        <f>U16/U3</f>
        <v>0.12843750000000001</v>
      </c>
      <c r="V22" s="13">
        <f>V16/V3</f>
        <v>0.14923076923076922</v>
      </c>
      <c r="X22" s="13">
        <f t="shared" ref="X22:Z22" si="13">X16/X3</f>
        <v>-0.20268872802481902</v>
      </c>
      <c r="Y22" s="13">
        <f t="shared" si="13"/>
        <v>-5.4112554112554112E-2</v>
      </c>
      <c r="Z22" s="13">
        <f t="shared" si="13"/>
        <v>-4.3873729266987696E-2</v>
      </c>
      <c r="AA22" s="13">
        <f>AA16/AA3</f>
        <v>-1.2987012987012988E-2</v>
      </c>
      <c r="AB22" s="13">
        <f>AB16/AB3</f>
        <v>5.9245901157665863E-2</v>
      </c>
    </row>
    <row r="23" spans="2:28">
      <c r="B23" t="s">
        <v>102</v>
      </c>
      <c r="I23" s="13">
        <f t="shared" ref="I23:Q23" si="14">I15/I14</f>
        <v>0.3</v>
      </c>
      <c r="J23" s="13">
        <f t="shared" si="14"/>
        <v>0.32432432432432434</v>
      </c>
      <c r="K23" s="13">
        <f t="shared" si="14"/>
        <v>0.36363636363636365</v>
      </c>
      <c r="L23" s="13">
        <f t="shared" si="14"/>
        <v>-1.875</v>
      </c>
      <c r="M23" s="13">
        <f t="shared" si="14"/>
        <v>-0.2</v>
      </c>
      <c r="N23" s="13">
        <f t="shared" si="14"/>
        <v>-0.73529411764705888</v>
      </c>
      <c r="O23" s="13">
        <f t="shared" si="14"/>
        <v>8.2191780821917804E-2</v>
      </c>
      <c r="P23" s="13">
        <f t="shared" si="14"/>
        <v>0.55555555555555558</v>
      </c>
      <c r="Q23" s="13">
        <f t="shared" si="14"/>
        <v>0.2608695652173913</v>
      </c>
      <c r="R23" s="13">
        <f>R15/R14</f>
        <v>-0.39285714285714285</v>
      </c>
      <c r="S23" s="13">
        <f>S15/S14</f>
        <v>0.17976588628762538</v>
      </c>
      <c r="T23" s="13">
        <f>T15/T14</f>
        <v>-0.46363724633459558</v>
      </c>
      <c r="U23" s="13">
        <f>U15/U14</f>
        <v>9.2820884699057291E-2</v>
      </c>
      <c r="V23" s="13">
        <f>V15/V14</f>
        <v>-0.10185185185185185</v>
      </c>
      <c r="X23" s="13">
        <f t="shared" ref="X23:Z23" si="15">X15/X14</f>
        <v>-7.5471698113207544E-2</v>
      </c>
      <c r="Y23" s="13">
        <f t="shared" si="15"/>
        <v>0.31578947368421051</v>
      </c>
      <c r="Z23" s="13">
        <f t="shared" si="15"/>
        <v>1.5625</v>
      </c>
      <c r="AA23" s="13">
        <f>AA15/AA14</f>
        <v>-2.6875</v>
      </c>
      <c r="AB23" s="13">
        <f>AB15/AB14</f>
        <v>-0.1997826292837139</v>
      </c>
    </row>
    <row r="24" spans="2:28">
      <c r="I24" s="13"/>
      <c r="J24" s="13"/>
      <c r="K24" s="13"/>
      <c r="L24" s="13"/>
      <c r="M24" s="13"/>
      <c r="N24" s="13"/>
      <c r="O24" s="13"/>
      <c r="P24" s="13"/>
      <c r="Q24" s="13"/>
      <c r="R24" s="13"/>
      <c r="X24" s="13"/>
      <c r="Y24" s="13"/>
      <c r="Z24" s="13"/>
      <c r="AA24" s="13"/>
      <c r="AB24" s="13"/>
    </row>
    <row r="25" spans="2:28">
      <c r="B25" t="s">
        <v>103</v>
      </c>
      <c r="I25" s="13"/>
      <c r="J25" s="13"/>
      <c r="K25" s="13"/>
      <c r="L25" s="13"/>
      <c r="M25" s="13">
        <f t="shared" ref="I25:Q25" si="16">M3/I3-1</f>
        <v>0.38036809815950923</v>
      </c>
      <c r="N25" s="13">
        <f t="shared" si="16"/>
        <v>-0.46698113207547165</v>
      </c>
      <c r="O25" s="13">
        <f t="shared" si="16"/>
        <v>0.1624365482233503</v>
      </c>
      <c r="P25" s="13">
        <f t="shared" si="16"/>
        <v>-1.3043478260869601E-2</v>
      </c>
      <c r="Q25" s="13">
        <f t="shared" si="16"/>
        <v>0.17777777777777781</v>
      </c>
      <c r="R25" s="13">
        <f>R3/N3-1</f>
        <v>0.12743362831858418</v>
      </c>
      <c r="S25" s="14">
        <f>S3/O3-1</f>
        <v>-0.49563318777292575</v>
      </c>
      <c r="T25" s="14">
        <f>T3/P3-1</f>
        <v>-2.8920704845814993E-2</v>
      </c>
      <c r="U25" s="14">
        <f>U3/Q3-1</f>
        <v>3.7735849056603765E-2</v>
      </c>
      <c r="V25" s="14">
        <f>V3/R3-1</f>
        <v>2.0408163265306145E-2</v>
      </c>
      <c r="X25" s="13"/>
      <c r="Y25" s="13">
        <f>Y3/X3-1</f>
        <v>0.43329886246122018</v>
      </c>
      <c r="Z25" s="13">
        <f>Z3/Y3-1</f>
        <v>0.3484848484848484</v>
      </c>
      <c r="AA25" s="13">
        <f>AA3/Z3-1</f>
        <v>0.11235955056179781</v>
      </c>
      <c r="AB25" s="13">
        <f>AB3/AA3-1</f>
        <v>-9.9629629629629735E-2</v>
      </c>
    </row>
    <row r="26" spans="2:28">
      <c r="B26" t="s">
        <v>104</v>
      </c>
      <c r="I26" s="13"/>
      <c r="J26" s="13">
        <f>J3/I3-1</f>
        <v>2.2515337423312882</v>
      </c>
      <c r="K26" s="13">
        <f>K3/J3-1</f>
        <v>-0.6283018867924528</v>
      </c>
      <c r="L26" s="13">
        <f>L3/K3-1</f>
        <v>0.1675126903553299</v>
      </c>
      <c r="M26" s="13">
        <f>M3/L3-1</f>
        <v>-2.1739130434782594E-2</v>
      </c>
      <c r="N26" s="13">
        <f>N3/M3-1</f>
        <v>0.25555555555555554</v>
      </c>
      <c r="O26" s="13">
        <f>O3/N3-1</f>
        <v>-0.18938053097345131</v>
      </c>
      <c r="P26" s="13">
        <f>P3/O3-1</f>
        <v>-8.733624454148492E-3</v>
      </c>
      <c r="Q26" s="13">
        <f>Q3/P3-1</f>
        <v>0.16740088105726869</v>
      </c>
      <c r="R26" s="13">
        <f>R3/Q3-1</f>
        <v>0.20188679245283025</v>
      </c>
      <c r="S26" s="13">
        <f>S3/R3-1</f>
        <v>-0.63736263736263732</v>
      </c>
      <c r="T26" s="13">
        <f>T3/S3-1</f>
        <v>0.90852813852813852</v>
      </c>
      <c r="U26" s="13">
        <f>U3/T3-1</f>
        <v>0.24753328645632489</v>
      </c>
      <c r="V26" s="13">
        <f>V3/U3-1</f>
        <v>0.18181818181818188</v>
      </c>
    </row>
  </sheetData>
  <phoneticPr fontId="5" type="noConversion"/>
  <hyperlinks>
    <hyperlink ref="A1" location="MBLY!A1" display="Main" xr:uid="{C0A7B5A3-70C5-4CCB-80B0-C9B3AB1809E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Herbert Guðmundsson</dc:creator>
  <cp:keywords/>
  <dc:description/>
  <cp:lastModifiedBy>Herbert Guðmundsson</cp:lastModifiedBy>
  <cp:revision/>
  <dcterms:created xsi:type="dcterms:W3CDTF">2024-04-15T15:07:13Z</dcterms:created>
  <dcterms:modified xsi:type="dcterms:W3CDTF">2024-04-15T18:55:37Z</dcterms:modified>
  <cp:category/>
  <cp:contentStatus/>
</cp:coreProperties>
</file>