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1116" documentId="8_{A88275F6-823F-4780-A4F1-E95B114B75DD}" xr6:coauthVersionLast="47" xr6:coauthVersionMax="47" xr10:uidLastSave="{1C1DEAC5-5891-4C59-9913-2600F7187787}"/>
  <bookViews>
    <workbookView xWindow="-108" yWindow="-108" windowWidth="30936" windowHeight="17496" activeTab="1" xr2:uid="{8AE3CAB9-1DDD-4C7A-BCF0-E281925CF4F9}"/>
  </bookViews>
  <sheets>
    <sheet name="Main" sheetId="2" r:id="rId1"/>
    <sheet name="Model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3" i="1" l="1"/>
  <c r="AJ13" i="1"/>
  <c r="AI13" i="1"/>
  <c r="AH13" i="1"/>
  <c r="AG13" i="1"/>
  <c r="AF13" i="1"/>
  <c r="AE13" i="1"/>
  <c r="AD13" i="1"/>
  <c r="AC13" i="1"/>
  <c r="AB13" i="1"/>
  <c r="S13" i="1"/>
  <c r="R13" i="1"/>
  <c r="Q13" i="1"/>
  <c r="AK11" i="1"/>
  <c r="AJ11" i="1"/>
  <c r="AI11" i="1"/>
  <c r="AH11" i="1"/>
  <c r="AG11" i="1"/>
  <c r="AF11" i="1"/>
  <c r="AE11" i="1"/>
  <c r="AD11" i="1"/>
  <c r="AC11" i="1"/>
  <c r="AB11" i="1"/>
  <c r="AK8" i="1"/>
  <c r="AJ8" i="1"/>
  <c r="AI8" i="1"/>
  <c r="AH8" i="1"/>
  <c r="AG8" i="1"/>
  <c r="AF8" i="1"/>
  <c r="AE8" i="1"/>
  <c r="AD8" i="1"/>
  <c r="AC8" i="1"/>
  <c r="AB8" i="1"/>
  <c r="AK7" i="1"/>
  <c r="AJ7" i="1"/>
  <c r="AI7" i="1"/>
  <c r="AH7" i="1"/>
  <c r="AG7" i="1"/>
  <c r="AF7" i="1"/>
  <c r="AE7" i="1"/>
  <c r="AD7" i="1"/>
  <c r="AC7" i="1"/>
  <c r="AB7" i="1"/>
  <c r="AK6" i="1"/>
  <c r="AJ6" i="1"/>
  <c r="AI6" i="1"/>
  <c r="AH6" i="1"/>
  <c r="AG6" i="1"/>
  <c r="AF6" i="1"/>
  <c r="AE6" i="1"/>
  <c r="AD6" i="1"/>
  <c r="AC6" i="1"/>
  <c r="AB6" i="1"/>
  <c r="AK4" i="1"/>
  <c r="AJ4" i="1"/>
  <c r="AI4" i="1"/>
  <c r="AH4" i="1"/>
  <c r="AG4" i="1"/>
  <c r="AF4" i="1"/>
  <c r="AE4" i="1"/>
  <c r="AD4" i="1"/>
  <c r="AC4" i="1"/>
  <c r="AB4" i="1"/>
  <c r="S11" i="1"/>
  <c r="R11" i="1"/>
  <c r="Q11" i="1"/>
  <c r="Q22" i="1" s="1"/>
  <c r="S8" i="1"/>
  <c r="R8" i="1"/>
  <c r="Q8" i="1"/>
  <c r="S7" i="1"/>
  <c r="R7" i="1"/>
  <c r="Q7" i="1"/>
  <c r="S6" i="1"/>
  <c r="R6" i="1"/>
  <c r="Q6" i="1"/>
  <c r="S4" i="1"/>
  <c r="R4" i="1"/>
  <c r="Q4" i="1"/>
  <c r="Q5" i="1" s="1"/>
  <c r="Q33" i="1" s="1"/>
  <c r="O22" i="1"/>
  <c r="N22" i="1"/>
  <c r="M22" i="1"/>
  <c r="L22" i="1"/>
  <c r="K22" i="1"/>
  <c r="J22" i="1"/>
  <c r="I22" i="1"/>
  <c r="H22" i="1"/>
  <c r="O21" i="1"/>
  <c r="N21" i="1"/>
  <c r="M21" i="1"/>
  <c r="L21" i="1"/>
  <c r="K21" i="1"/>
  <c r="J21" i="1"/>
  <c r="I21" i="1"/>
  <c r="H21" i="1"/>
  <c r="O20" i="1"/>
  <c r="N20" i="1"/>
  <c r="M20" i="1"/>
  <c r="L20" i="1"/>
  <c r="K20" i="1"/>
  <c r="J20" i="1"/>
  <c r="I20" i="1"/>
  <c r="H20" i="1"/>
  <c r="O19" i="1"/>
  <c r="N19" i="1"/>
  <c r="M19" i="1"/>
  <c r="L19" i="1"/>
  <c r="K19" i="1"/>
  <c r="J19" i="1"/>
  <c r="I19" i="1"/>
  <c r="H19" i="1"/>
  <c r="O18" i="1"/>
  <c r="N18" i="1"/>
  <c r="M18" i="1"/>
  <c r="L18" i="1"/>
  <c r="K18" i="1"/>
  <c r="J18" i="1"/>
  <c r="I18" i="1"/>
  <c r="H18" i="1"/>
  <c r="P22" i="1"/>
  <c r="P21" i="1"/>
  <c r="P20" i="1"/>
  <c r="P19" i="1"/>
  <c r="P18" i="1"/>
  <c r="P5" i="1"/>
  <c r="P121" i="1"/>
  <c r="Z103" i="1"/>
  <c r="Z102" i="1"/>
  <c r="Z101" i="1"/>
  <c r="Z99" i="1"/>
  <c r="Z98" i="1"/>
  <c r="Z97" i="1"/>
  <c r="Z95" i="1"/>
  <c r="Z94" i="1"/>
  <c r="Z90" i="1"/>
  <c r="Z89" i="1"/>
  <c r="Z88" i="1"/>
  <c r="Z87" i="1"/>
  <c r="P85" i="1"/>
  <c r="Z84" i="1"/>
  <c r="Z83" i="1"/>
  <c r="Z81" i="1"/>
  <c r="Z80" i="1"/>
  <c r="Z79" i="1"/>
  <c r="Z78" i="1"/>
  <c r="Z75" i="1"/>
  <c r="Z74" i="1"/>
  <c r="Z73" i="1"/>
  <c r="Z72" i="1"/>
  <c r="S65" i="1"/>
  <c r="R65" i="1"/>
  <c r="Q65" i="1"/>
  <c r="Z65" i="1"/>
  <c r="S60" i="1"/>
  <c r="R60" i="1"/>
  <c r="Q60" i="1"/>
  <c r="S54" i="1"/>
  <c r="R54" i="1"/>
  <c r="Q54" i="1"/>
  <c r="S48" i="1"/>
  <c r="R48" i="1"/>
  <c r="Q48" i="1"/>
  <c r="S44" i="1"/>
  <c r="S43" i="1" s="1"/>
  <c r="R44" i="1"/>
  <c r="R43" i="1" s="1"/>
  <c r="Q44" i="1"/>
  <c r="Q43" i="1" s="1"/>
  <c r="P44" i="1"/>
  <c r="S109" i="1"/>
  <c r="R109" i="1"/>
  <c r="Q109" i="1"/>
  <c r="P109" i="1"/>
  <c r="S104" i="1"/>
  <c r="R104" i="1"/>
  <c r="Q104" i="1"/>
  <c r="P104" i="1"/>
  <c r="S100" i="1"/>
  <c r="R100" i="1"/>
  <c r="Q100" i="1"/>
  <c r="P100" i="1"/>
  <c r="S93" i="1"/>
  <c r="R93" i="1"/>
  <c r="Q93" i="1"/>
  <c r="P93" i="1"/>
  <c r="S86" i="1"/>
  <c r="S112" i="1" s="1"/>
  <c r="R86" i="1"/>
  <c r="R112" i="1" s="1"/>
  <c r="Q86" i="1"/>
  <c r="Q112" i="1" s="1"/>
  <c r="P86" i="1"/>
  <c r="P112" i="1" s="1"/>
  <c r="P65" i="1"/>
  <c r="P60" i="1"/>
  <c r="P54" i="1"/>
  <c r="P45" i="1"/>
  <c r="P48" i="1" s="1"/>
  <c r="AD16" i="1"/>
  <c r="AC16" i="1"/>
  <c r="AB16" i="1"/>
  <c r="AA16" i="1"/>
  <c r="R3" i="1"/>
  <c r="S3" i="1" s="1"/>
  <c r="Q31" i="1"/>
  <c r="P31" i="1"/>
  <c r="Q30" i="1"/>
  <c r="P30" i="1"/>
  <c r="R30" i="1" l="1"/>
  <c r="Q66" i="1"/>
  <c r="Q68" i="1" s="1"/>
  <c r="R66" i="1"/>
  <c r="R68" i="1" s="1"/>
  <c r="P118" i="1"/>
  <c r="P120" i="1" s="1"/>
  <c r="R31" i="1"/>
  <c r="AF16" i="1"/>
  <c r="Q111" i="1"/>
  <c r="S111" i="1"/>
  <c r="P43" i="1"/>
  <c r="R55" i="1"/>
  <c r="R5" i="1"/>
  <c r="R33" i="1" s="1"/>
  <c r="R111" i="1"/>
  <c r="P9" i="1"/>
  <c r="P10" i="1" s="1"/>
  <c r="AE16" i="1"/>
  <c r="P111" i="1"/>
  <c r="P117" i="1" s="1"/>
  <c r="S5" i="1"/>
  <c r="AA3" i="1"/>
  <c r="S30" i="1"/>
  <c r="S31" i="1"/>
  <c r="Q55" i="1"/>
  <c r="S66" i="1"/>
  <c r="S68" i="1" s="1"/>
  <c r="P33" i="1"/>
  <c r="S55" i="1"/>
  <c r="P55" i="1"/>
  <c r="P66" i="1"/>
  <c r="P68" i="1" s="1"/>
  <c r="N121" i="1"/>
  <c r="M121" i="1"/>
  <c r="L121" i="1"/>
  <c r="O121" i="1"/>
  <c r="N85" i="1"/>
  <c r="M85" i="1"/>
  <c r="L85" i="1"/>
  <c r="O85" i="1"/>
  <c r="Z92" i="1"/>
  <c r="Z91" i="1"/>
  <c r="Z82" i="1"/>
  <c r="Z77" i="1"/>
  <c r="Z76" i="1"/>
  <c r="Z121" i="1"/>
  <c r="Z71" i="1"/>
  <c r="Z60" i="1"/>
  <c r="Z66" i="1" s="1"/>
  <c r="Z52" i="1"/>
  <c r="Z45" i="1"/>
  <c r="Z44" i="1"/>
  <c r="Y16" i="1"/>
  <c r="Y13" i="1"/>
  <c r="Y11" i="1"/>
  <c r="Y8" i="1"/>
  <c r="Y7" i="1"/>
  <c r="Y6" i="1"/>
  <c r="Y4" i="1"/>
  <c r="Y3" i="1"/>
  <c r="Z16" i="1"/>
  <c r="AK16" i="1" s="1"/>
  <c r="Z13" i="1"/>
  <c r="Z11" i="1"/>
  <c r="Z8" i="1"/>
  <c r="Z7" i="1"/>
  <c r="Z6" i="1"/>
  <c r="Z4" i="1"/>
  <c r="Z3" i="1"/>
  <c r="N44" i="1"/>
  <c r="M44" i="1"/>
  <c r="L44" i="1"/>
  <c r="O44" i="1"/>
  <c r="N31" i="1"/>
  <c r="M31" i="1"/>
  <c r="L31" i="1"/>
  <c r="K31" i="1"/>
  <c r="J31" i="1"/>
  <c r="I31" i="1"/>
  <c r="N30" i="1"/>
  <c r="M30" i="1"/>
  <c r="L30" i="1"/>
  <c r="O30" i="1"/>
  <c r="O31" i="1"/>
  <c r="L86" i="1"/>
  <c r="L112" i="1" s="1"/>
  <c r="L52" i="1"/>
  <c r="L54" i="1" s="1"/>
  <c r="L45" i="1"/>
  <c r="L48" i="1" s="1"/>
  <c r="M52" i="1"/>
  <c r="M54" i="1" s="1"/>
  <c r="M45" i="1"/>
  <c r="M48" i="1" s="1"/>
  <c r="L109" i="1"/>
  <c r="M109" i="1"/>
  <c r="N109" i="1"/>
  <c r="L65" i="1"/>
  <c r="M65" i="1"/>
  <c r="N65" i="1"/>
  <c r="N52" i="1"/>
  <c r="N54" i="1" s="1"/>
  <c r="N60" i="1"/>
  <c r="M60" i="1"/>
  <c r="L60" i="1"/>
  <c r="N45" i="1"/>
  <c r="N48" i="1" s="1"/>
  <c r="O109" i="1"/>
  <c r="N104" i="1"/>
  <c r="M104" i="1"/>
  <c r="L104" i="1"/>
  <c r="O104" i="1"/>
  <c r="Z104" i="1" s="1"/>
  <c r="N100" i="1"/>
  <c r="M100" i="1"/>
  <c r="L100" i="1"/>
  <c r="O100" i="1"/>
  <c r="N86" i="1"/>
  <c r="N112" i="1" s="1"/>
  <c r="M86" i="1"/>
  <c r="M112" i="1" s="1"/>
  <c r="N93" i="1"/>
  <c r="M93" i="1"/>
  <c r="L93" i="1"/>
  <c r="O93" i="1"/>
  <c r="O86" i="1"/>
  <c r="O112" i="1" s="1"/>
  <c r="O65" i="1"/>
  <c r="O60" i="1"/>
  <c r="O52" i="1"/>
  <c r="O54" i="1" s="1"/>
  <c r="O45" i="1"/>
  <c r="O48" i="1" s="1"/>
  <c r="K9" i="1"/>
  <c r="K10" i="1" s="1"/>
  <c r="K12" i="1" s="1"/>
  <c r="K14" i="1" s="1"/>
  <c r="K15" i="1" s="1"/>
  <c r="K5" i="1"/>
  <c r="K33" i="1" s="1"/>
  <c r="O9" i="1"/>
  <c r="O10" i="1" s="1"/>
  <c r="O12" i="1" s="1"/>
  <c r="O14" i="1" s="1"/>
  <c r="O5" i="1"/>
  <c r="O33" i="1" s="1"/>
  <c r="H9" i="1"/>
  <c r="H10" i="1" s="1"/>
  <c r="H12" i="1" s="1"/>
  <c r="H14" i="1" s="1"/>
  <c r="H15" i="1" s="1"/>
  <c r="H5" i="1"/>
  <c r="H33" i="1" s="1"/>
  <c r="L9" i="1"/>
  <c r="L10" i="1" s="1"/>
  <c r="L12" i="1" s="1"/>
  <c r="L14" i="1" s="1"/>
  <c r="L5" i="1"/>
  <c r="I9" i="1"/>
  <c r="I10" i="1" s="1"/>
  <c r="I12" i="1" s="1"/>
  <c r="I14" i="1" s="1"/>
  <c r="I15" i="1" s="1"/>
  <c r="I5" i="1"/>
  <c r="I33" i="1" s="1"/>
  <c r="M9" i="1"/>
  <c r="M10" i="1" s="1"/>
  <c r="M12" i="1" s="1"/>
  <c r="M14" i="1" s="1"/>
  <c r="M5" i="1"/>
  <c r="M33" i="1" s="1"/>
  <c r="J9" i="1"/>
  <c r="J10" i="1" s="1"/>
  <c r="J34" i="1" s="1"/>
  <c r="J5" i="1"/>
  <c r="J33" i="1" s="1"/>
  <c r="N9" i="1"/>
  <c r="N10" i="1" s="1"/>
  <c r="N12" i="1" s="1"/>
  <c r="N14" i="1" s="1"/>
  <c r="N5" i="1"/>
  <c r="N33" i="1" s="1"/>
  <c r="L3" i="2"/>
  <c r="L4" i="2" s="1"/>
  <c r="L7" i="2" s="1"/>
  <c r="L5" i="2"/>
  <c r="L8" i="2"/>
  <c r="Z30" i="1" l="1"/>
  <c r="O118" i="1"/>
  <c r="O120" i="1" s="1"/>
  <c r="AA4" i="1"/>
  <c r="Q9" i="1"/>
  <c r="Q10" i="1" s="1"/>
  <c r="AA8" i="1"/>
  <c r="AA7" i="1"/>
  <c r="S33" i="1"/>
  <c r="AA5" i="1"/>
  <c r="AA33" i="1" s="1"/>
  <c r="L33" i="1"/>
  <c r="AM40" i="1"/>
  <c r="AI16" i="1"/>
  <c r="AH16" i="1"/>
  <c r="AG16" i="1"/>
  <c r="P12" i="1"/>
  <c r="P34" i="1"/>
  <c r="AA30" i="1"/>
  <c r="AB3" i="1"/>
  <c r="AJ16" i="1"/>
  <c r="AA11" i="1"/>
  <c r="N15" i="1"/>
  <c r="N39" i="1"/>
  <c r="M15" i="1"/>
  <c r="M39" i="1"/>
  <c r="L15" i="1"/>
  <c r="L39" i="1"/>
  <c r="O15" i="1"/>
  <c r="O39" i="1"/>
  <c r="Z85" i="1"/>
  <c r="L120" i="1"/>
  <c r="M120" i="1"/>
  <c r="N120" i="1"/>
  <c r="Z54" i="1"/>
  <c r="Z120" i="1"/>
  <c r="Z86" i="1"/>
  <c r="Z112" i="1" s="1"/>
  <c r="Z100" i="1"/>
  <c r="Z68" i="1"/>
  <c r="Z93" i="1"/>
  <c r="Y5" i="1"/>
  <c r="Y33" i="1" s="1"/>
  <c r="Z5" i="1"/>
  <c r="Z33" i="1" s="1"/>
  <c r="Z10" i="1"/>
  <c r="Y10" i="1"/>
  <c r="Y34" i="1" s="1"/>
  <c r="Z12" i="1"/>
  <c r="Z36" i="1" s="1"/>
  <c r="Z14" i="1"/>
  <c r="Z43" i="1"/>
  <c r="Z9" i="1"/>
  <c r="Y9" i="1"/>
  <c r="Z48" i="1"/>
  <c r="O43" i="1"/>
  <c r="L43" i="1"/>
  <c r="O34" i="1"/>
  <c r="M43" i="1"/>
  <c r="N43" i="1"/>
  <c r="M34" i="1"/>
  <c r="N34" i="1"/>
  <c r="N35" i="1"/>
  <c r="L36" i="1"/>
  <c r="L122" i="1" s="1"/>
  <c r="L40" i="1" s="1"/>
  <c r="H36" i="1"/>
  <c r="O35" i="1"/>
  <c r="H35" i="1"/>
  <c r="I36" i="1"/>
  <c r="O36" i="1"/>
  <c r="O122" i="1" s="1"/>
  <c r="O40" i="1" s="1"/>
  <c r="H34" i="1"/>
  <c r="I35" i="1"/>
  <c r="K36" i="1"/>
  <c r="K34" i="1"/>
  <c r="L35" i="1"/>
  <c r="M36" i="1"/>
  <c r="M122" i="1" s="1"/>
  <c r="M40" i="1" s="1"/>
  <c r="I34" i="1"/>
  <c r="K35" i="1"/>
  <c r="L34" i="1"/>
  <c r="M35" i="1"/>
  <c r="N36" i="1"/>
  <c r="N122" i="1" s="1"/>
  <c r="N40" i="1" s="1"/>
  <c r="O111" i="1"/>
  <c r="O117" i="1" s="1"/>
  <c r="O66" i="1"/>
  <c r="O68" i="1" s="1"/>
  <c r="L111" i="1"/>
  <c r="M111" i="1"/>
  <c r="N111" i="1"/>
  <c r="N55" i="1"/>
  <c r="O70" i="1"/>
  <c r="O55" i="1"/>
  <c r="N70" i="1"/>
  <c r="N66" i="1"/>
  <c r="N68" i="1" s="1"/>
  <c r="L70" i="1"/>
  <c r="M70" i="1"/>
  <c r="L66" i="1"/>
  <c r="L68" i="1" s="1"/>
  <c r="L55" i="1"/>
  <c r="M55" i="1"/>
  <c r="M66" i="1"/>
  <c r="M68" i="1" s="1"/>
  <c r="J12" i="1"/>
  <c r="Y12" i="1" s="1"/>
  <c r="Y36" i="1" s="1"/>
  <c r="Z15" i="1" l="1"/>
  <c r="P115" i="1"/>
  <c r="Z55" i="1"/>
  <c r="Z111" i="1"/>
  <c r="AC3" i="1"/>
  <c r="AB5" i="1"/>
  <c r="AB33" i="1" s="1"/>
  <c r="AB30" i="1"/>
  <c r="R9" i="1"/>
  <c r="Q12" i="1"/>
  <c r="Q34" i="1"/>
  <c r="Z34" i="1"/>
  <c r="Z122" i="1"/>
  <c r="Z40" i="1" s="1"/>
  <c r="O115" i="1"/>
  <c r="O38" i="1" s="1"/>
  <c r="Z115" i="1"/>
  <c r="Z38" i="1" s="1"/>
  <c r="Z35" i="1"/>
  <c r="Z39" i="1"/>
  <c r="Z70" i="1"/>
  <c r="J14" i="1"/>
  <c r="Y14" i="1" s="1"/>
  <c r="Y35" i="1" s="1"/>
  <c r="J36" i="1"/>
  <c r="R10" i="1" l="1"/>
  <c r="P36" i="1"/>
  <c r="P122" i="1" s="1"/>
  <c r="P40" i="1" s="1"/>
  <c r="Q36" i="1"/>
  <c r="P14" i="1"/>
  <c r="S9" i="1"/>
  <c r="S10" i="1" s="1"/>
  <c r="AA6" i="1"/>
  <c r="AD3" i="1"/>
  <c r="AC5" i="1"/>
  <c r="AC33" i="1" s="1"/>
  <c r="AC30" i="1"/>
  <c r="J15" i="1"/>
  <c r="Y15" i="1" s="1"/>
  <c r="J35" i="1"/>
  <c r="P70" i="1" l="1"/>
  <c r="P39" i="1"/>
  <c r="P38" i="1"/>
  <c r="AB9" i="1"/>
  <c r="AB10" i="1" s="1"/>
  <c r="AB12" i="1" s="1"/>
  <c r="Q14" i="1"/>
  <c r="Q35" i="1" s="1"/>
  <c r="AC9" i="1"/>
  <c r="AC10" i="1" s="1"/>
  <c r="AE3" i="1"/>
  <c r="AD30" i="1"/>
  <c r="AD9" i="1"/>
  <c r="AD10" i="1" s="1"/>
  <c r="P35" i="1"/>
  <c r="P15" i="1"/>
  <c r="S34" i="1"/>
  <c r="S12" i="1"/>
  <c r="AA9" i="1"/>
  <c r="R34" i="1"/>
  <c r="R12" i="1"/>
  <c r="AA10" i="1"/>
  <c r="AA34" i="1" s="1"/>
  <c r="AB34" i="1" l="1"/>
  <c r="Q15" i="1"/>
  <c r="AD34" i="1"/>
  <c r="AD12" i="1"/>
  <c r="AD5" i="1"/>
  <c r="AD33" i="1" s="1"/>
  <c r="AE30" i="1"/>
  <c r="AF3" i="1"/>
  <c r="AE9" i="1"/>
  <c r="AE10" i="1" s="1"/>
  <c r="AB36" i="1"/>
  <c r="S36" i="1"/>
  <c r="R14" i="1"/>
  <c r="AA12" i="1"/>
  <c r="AC12" i="1"/>
  <c r="AC34" i="1"/>
  <c r="AB14" i="1" l="1"/>
  <c r="AE34" i="1"/>
  <c r="AE12" i="1"/>
  <c r="R36" i="1"/>
  <c r="AA13" i="1"/>
  <c r="AA36" i="1" s="1"/>
  <c r="AF9" i="1"/>
  <c r="AF10" i="1" s="1"/>
  <c r="AG3" i="1"/>
  <c r="AF30" i="1"/>
  <c r="S14" i="1"/>
  <c r="AC36" i="1"/>
  <c r="AD14" i="1"/>
  <c r="AD36" i="1"/>
  <c r="R15" i="1"/>
  <c r="R35" i="1"/>
  <c r="AB15" i="1"/>
  <c r="AB35" i="1"/>
  <c r="AE5" i="1"/>
  <c r="AE33" i="1" s="1"/>
  <c r="AC14" i="1" l="1"/>
  <c r="AC35" i="1" s="1"/>
  <c r="AF34" i="1"/>
  <c r="AF12" i="1"/>
  <c r="AD15" i="1"/>
  <c r="AD35" i="1"/>
  <c r="AF5" i="1"/>
  <c r="AF33" i="1" s="1"/>
  <c r="S15" i="1"/>
  <c r="AA15" i="1" s="1"/>
  <c r="S35" i="1"/>
  <c r="AA14" i="1"/>
  <c r="AE14" i="1"/>
  <c r="AE36" i="1"/>
  <c r="AG30" i="1"/>
  <c r="AH3" i="1"/>
  <c r="AG9" i="1"/>
  <c r="AG10" i="1" s="1"/>
  <c r="AC15" i="1" l="1"/>
  <c r="AG5" i="1"/>
  <c r="AG33" i="1" s="1"/>
  <c r="AG34" i="1"/>
  <c r="AG12" i="1"/>
  <c r="AA35" i="1"/>
  <c r="AF14" i="1"/>
  <c r="AF36" i="1"/>
  <c r="AE15" i="1"/>
  <c r="AE35" i="1"/>
  <c r="AH30" i="1"/>
  <c r="AI3" i="1"/>
  <c r="AH9" i="1"/>
  <c r="AH10" i="1" s="1"/>
  <c r="AH34" i="1" l="1"/>
  <c r="AH12" i="1"/>
  <c r="AJ3" i="1"/>
  <c r="AI30" i="1"/>
  <c r="AI9" i="1"/>
  <c r="AI10" i="1" s="1"/>
  <c r="AH5" i="1"/>
  <c r="AH33" i="1" s="1"/>
  <c r="AG14" i="1"/>
  <c r="AG36" i="1"/>
  <c r="AF15" i="1"/>
  <c r="AF35" i="1"/>
  <c r="AI34" i="1" l="1"/>
  <c r="AI12" i="1"/>
  <c r="AI5" i="1"/>
  <c r="AI33" i="1" s="1"/>
  <c r="AJ30" i="1"/>
  <c r="AJ9" i="1"/>
  <c r="AJ10" i="1" s="1"/>
  <c r="AK3" i="1"/>
  <c r="AH14" i="1"/>
  <c r="AH36" i="1"/>
  <c r="AG15" i="1"/>
  <c r="AG35" i="1"/>
  <c r="AJ34" i="1" l="1"/>
  <c r="AJ12" i="1"/>
  <c r="AJ5" i="1"/>
  <c r="AJ33" i="1" s="1"/>
  <c r="AK9" i="1"/>
  <c r="AK10" i="1" s="1"/>
  <c r="AK30" i="1"/>
  <c r="AI14" i="1"/>
  <c r="AI36" i="1"/>
  <c r="AH15" i="1"/>
  <c r="AH35" i="1"/>
  <c r="AK5" i="1" l="1"/>
  <c r="AK33" i="1" s="1"/>
  <c r="AK34" i="1"/>
  <c r="AK12" i="1"/>
  <c r="AI15" i="1"/>
  <c r="AI35" i="1"/>
  <c r="AJ14" i="1"/>
  <c r="AJ36" i="1"/>
  <c r="AJ15" i="1" l="1"/>
  <c r="AJ35" i="1"/>
  <c r="AK14" i="1"/>
  <c r="AK36" i="1"/>
  <c r="AK15" i="1" l="1"/>
  <c r="AK35" i="1"/>
  <c r="AL14" i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AM39" i="1" l="1"/>
  <c r="AM41" i="1" s="1"/>
  <c r="AM42" i="1" s="1"/>
</calcChain>
</file>

<file path=xl/sharedStrings.xml><?xml version="1.0" encoding="utf-8"?>
<sst xmlns="http://schemas.openxmlformats.org/spreadsheetml/2006/main" count="165" uniqueCount="139">
  <si>
    <t>META</t>
  </si>
  <si>
    <t>META PLATFORMS, INC</t>
  </si>
  <si>
    <t>Price</t>
  </si>
  <si>
    <t>Shares</t>
  </si>
  <si>
    <t>MC</t>
  </si>
  <si>
    <t>Cash</t>
  </si>
  <si>
    <t>Debt</t>
  </si>
  <si>
    <t>EV</t>
  </si>
  <si>
    <t>Net Cash</t>
  </si>
  <si>
    <t>CEO</t>
  </si>
  <si>
    <t>Mark Zuckerberg</t>
  </si>
  <si>
    <t>Board Of Directors</t>
  </si>
  <si>
    <t/>
  </si>
  <si>
    <t>Name</t>
  </si>
  <si>
    <t>Role</t>
  </si>
  <si>
    <t>Board Chair and CEO</t>
  </si>
  <si>
    <t>Susan Li</t>
  </si>
  <si>
    <t>CFO</t>
  </si>
  <si>
    <t>Aaron Anderson</t>
  </si>
  <si>
    <t>CAO</t>
  </si>
  <si>
    <t>Peggy Alford</t>
  </si>
  <si>
    <t>Director</t>
  </si>
  <si>
    <t>Marc L. Andreessen</t>
  </si>
  <si>
    <t>Andrew W. Houston</t>
  </si>
  <si>
    <t>Nancy Killefer</t>
  </si>
  <si>
    <t>Robert M. Kimmitt</t>
  </si>
  <si>
    <t>Sheryl K. Sandberg</t>
  </si>
  <si>
    <t>Tracey T. Travis</t>
  </si>
  <si>
    <t>Tony Xu</t>
  </si>
  <si>
    <t>Main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</si>
  <si>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</si>
  <si>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</si>
  <si>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</si>
  <si>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</si>
  <si>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</si>
  <si>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</si>
  <si>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</si>
  <si>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</si>
  <si>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</si>
  <si>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</si>
  <si>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</si>
  <si>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</si>
  <si>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</si>
  <si>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</si>
  <si>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</si>
  <si>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</si>
  <si>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</si>
  <si>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COGS</t>
  </si>
  <si>
    <t>Gross Profit</t>
  </si>
  <si>
    <t>R&amp;D</t>
  </si>
  <si>
    <t>Marketing and Sales</t>
  </si>
  <si>
    <t>G&amp;A</t>
  </si>
  <si>
    <t>Operating expenses</t>
  </si>
  <si>
    <t>Operating income</t>
  </si>
  <si>
    <t>Interest and other</t>
  </si>
  <si>
    <t>Pretax</t>
  </si>
  <si>
    <t>Taxes</t>
  </si>
  <si>
    <t>Net income</t>
  </si>
  <si>
    <t>EPS</t>
  </si>
  <si>
    <t>Revenue Y/Y</t>
  </si>
  <si>
    <t>Revenue Q/Q</t>
  </si>
  <si>
    <t>Gross Margin %</t>
  </si>
  <si>
    <t>Operatin Margin %</t>
  </si>
  <si>
    <t>Net Margin %</t>
  </si>
  <si>
    <t>Tax Rate %</t>
  </si>
  <si>
    <t>ROA</t>
  </si>
  <si>
    <t>ROE</t>
  </si>
  <si>
    <t>ROIC</t>
  </si>
  <si>
    <t>WACC</t>
  </si>
  <si>
    <t>A/R</t>
  </si>
  <si>
    <t xml:space="preserve">Prepaids </t>
  </si>
  <si>
    <t>Current assets</t>
  </si>
  <si>
    <t>Non-marketable securities</t>
  </si>
  <si>
    <t>P&amp;E</t>
  </si>
  <si>
    <t>Leases</t>
  </si>
  <si>
    <t>Intangibles</t>
  </si>
  <si>
    <t>Other assets</t>
  </si>
  <si>
    <t>Non-current assets</t>
  </si>
  <si>
    <t>Assets</t>
  </si>
  <si>
    <t>A/P</t>
  </si>
  <si>
    <t>Partners payable</t>
  </si>
  <si>
    <t>Accrued expenses</t>
  </si>
  <si>
    <t>Current liabilities</t>
  </si>
  <si>
    <t>Operating leases</t>
  </si>
  <si>
    <t xml:space="preserve">Other </t>
  </si>
  <si>
    <t>Non-current</t>
  </si>
  <si>
    <t>Liabilities</t>
  </si>
  <si>
    <t>SE</t>
  </si>
  <si>
    <t>L+SE</t>
  </si>
  <si>
    <t>Model NI</t>
  </si>
  <si>
    <t>Reported NI</t>
  </si>
  <si>
    <t>D&amp;A</t>
  </si>
  <si>
    <t>SBC</t>
  </si>
  <si>
    <t>DT</t>
  </si>
  <si>
    <t>Impairment charges for facilities</t>
  </si>
  <si>
    <t>Data center assets abandonment</t>
  </si>
  <si>
    <t>Other</t>
  </si>
  <si>
    <t>Prepaids</t>
  </si>
  <si>
    <t>OA</t>
  </si>
  <si>
    <t>AP</t>
  </si>
  <si>
    <t>Partners Payable</t>
  </si>
  <si>
    <t>WC</t>
  </si>
  <si>
    <t>CFFO</t>
  </si>
  <si>
    <t>PP&amp;E</t>
  </si>
  <si>
    <t>Proceeds relating to PP&amp;E</t>
  </si>
  <si>
    <t>Purchases of marketable securities</t>
  </si>
  <si>
    <t>Sales and maturities of marketable debt securities</t>
  </si>
  <si>
    <t>Acquisitions of businesses and intangibles</t>
  </si>
  <si>
    <t>CFFI</t>
  </si>
  <si>
    <t>Taxes paid related to net share settlement of equity awards</t>
  </si>
  <si>
    <t>Repurchases of Class A</t>
  </si>
  <si>
    <t>Issuance of long-term debt</t>
  </si>
  <si>
    <t>Payments on finance leases</t>
  </si>
  <si>
    <t>CFFF</t>
  </si>
  <si>
    <t>Exhange rate</t>
  </si>
  <si>
    <t>Cash increase (decrease)</t>
  </si>
  <si>
    <t>Cas at the beginning of period</t>
  </si>
  <si>
    <t>Cash at the end of period</t>
  </si>
  <si>
    <t>Reconciliation</t>
  </si>
  <si>
    <t>Restricted cash</t>
  </si>
  <si>
    <t>Restricted cash, included in other assets</t>
  </si>
  <si>
    <t>Total cash</t>
  </si>
  <si>
    <t>Cash Flow</t>
  </si>
  <si>
    <t>FCF</t>
  </si>
  <si>
    <t>Average totlal assets</t>
  </si>
  <si>
    <t>NWC</t>
  </si>
  <si>
    <t>Invested capital (Operating)</t>
  </si>
  <si>
    <t>Invested capital (Financing)</t>
  </si>
  <si>
    <t>NOPAT</t>
  </si>
  <si>
    <t>Maturity</t>
  </si>
  <si>
    <t>Discount</t>
  </si>
  <si>
    <t>NPV</t>
  </si>
  <si>
    <t>Value</t>
  </si>
  <si>
    <t>Per share</t>
  </si>
  <si>
    <t>Long-term income taxes</t>
  </si>
  <si>
    <t>Dividends payments</t>
  </si>
  <si>
    <t>MS</t>
  </si>
  <si>
    <t>GA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</si>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</sst>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3" fontId="0" fillId="0" borderId="1" xfId="0" applyNumberFormat="1" applyBorder="1"/>
    <xf numFmtId="2" fontId="0" fillId="0" borderId="1" xfId="0" applyNumberFormat="1" applyBorder="1"/>
    <xf numFmtId="0" fontId="0" fillId="0" borderId="0" xfId="0" quotePrefix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0" applyFont="1"/>
    <xf numFmtId="3" fontId="10" fillId="0" borderId="3" xfId="0" applyNumberFormat="1" applyFont="1" applyBorder="1"/>
    <xf numFmtId="3" fontId="8" fillId="0" borderId="0" xfId="0" applyNumberFormat="1" applyFont="1"/>
    <xf numFmtId="3" fontId="8" fillId="0" borderId="3" xfId="0" applyNumberFormat="1" applyFont="1" applyBorder="1"/>
    <xf numFmtId="4" fontId="8" fillId="0" borderId="0" xfId="0" applyNumberFormat="1" applyFont="1"/>
    <xf numFmtId="3" fontId="11" fillId="0" borderId="5" xfId="0" applyNumberFormat="1" applyFont="1" applyBorder="1"/>
    <xf numFmtId="9" fontId="11" fillId="0" borderId="5" xfId="0" applyNumberFormat="1" applyFont="1" applyBorder="1"/>
    <xf numFmtId="3" fontId="11" fillId="0" borderId="2" xfId="0" applyNumberFormat="1" applyFont="1" applyBorder="1"/>
    <xf numFmtId="9" fontId="11" fillId="0" borderId="2" xfId="0" applyNumberFormat="1" applyFont="1" applyBorder="1"/>
    <xf numFmtId="3" fontId="11" fillId="0" borderId="0" xfId="0" applyNumberFormat="1" applyFont="1"/>
    <xf numFmtId="9" fontId="11" fillId="0" borderId="0" xfId="0" applyNumberFormat="1" applyFont="1"/>
    <xf numFmtId="164" fontId="11" fillId="0" borderId="0" xfId="0" applyNumberFormat="1" applyFont="1"/>
    <xf numFmtId="10" fontId="11" fillId="0" borderId="0" xfId="0" applyNumberFormat="1" applyFont="1"/>
    <xf numFmtId="3" fontId="12" fillId="0" borderId="5" xfId="0" applyNumberFormat="1" applyFont="1" applyBorder="1"/>
    <xf numFmtId="0" fontId="12" fillId="0" borderId="5" xfId="0" applyFont="1" applyBorder="1"/>
    <xf numFmtId="0" fontId="11" fillId="0" borderId="2" xfId="0" applyFont="1" applyBorder="1"/>
    <xf numFmtId="3" fontId="10" fillId="0" borderId="4" xfId="0" applyNumberFormat="1" applyFont="1" applyBorder="1"/>
    <xf numFmtId="3" fontId="10" fillId="0" borderId="0" xfId="0" applyNumberFormat="1" applyFont="1"/>
    <xf numFmtId="0" fontId="11" fillId="0" borderId="5" xfId="0" applyFont="1" applyBorder="1"/>
    <xf numFmtId="0" fontId="9" fillId="0" borderId="0" xfId="0" applyFont="1" applyAlignment="1">
      <alignment horizontal="right"/>
    </xf>
    <xf numFmtId="10" fontId="8" fillId="0" borderId="0" xfId="0" applyNumberFormat="1" applyFont="1"/>
    <xf numFmtId="10" fontId="11" fillId="0" borderId="2" xfId="0" applyNumberFormat="1" applyFont="1" applyBorder="1"/>
    <xf numFmtId="2" fontId="10" fillId="0" borderId="0" xfId="0" applyNumberFormat="1" applyFont="1"/>
  </cellXfs>
  <cellStyles count="2">
    <cellStyle name="Tengill" xfId="1" builtinId="8"/>
    <cellStyle name="Venjulegt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</xdr:row>
      <xdr:rowOff>9525</xdr:rowOff>
    </xdr:from>
    <xdr:to>
      <xdr:col>26</xdr:col>
      <xdr:colOff>0</xdr:colOff>
      <xdr:row>125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67430CE-0EA9-C74D-3AE4-917713666680}"/>
            </a:ext>
          </a:extLst>
        </xdr:cNvPr>
        <xdr:cNvCxnSpPr/>
      </xdr:nvCxnSpPr>
      <xdr:spPr>
        <a:xfrm>
          <a:off x="17430750" y="200025"/>
          <a:ext cx="0" cy="21050250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0</xdr:rowOff>
    </xdr:from>
    <xdr:to>
      <xdr:col>16</xdr:col>
      <xdr:colOff>0</xdr:colOff>
      <xdr:row>125</xdr:row>
      <xdr:rowOff>95250</xdr:rowOff>
    </xdr:to>
    <xdr:cxnSp macro="">
      <xdr:nvCxnSpPr>
        <xdr:cNvPr id="2" name="Straight Connector 4">
          <a:extLst>
            <a:ext uri="{FF2B5EF4-FFF2-40B4-BE49-F238E27FC236}">
              <a16:creationId xmlns:a16="http://schemas.microsoft.com/office/drawing/2014/main" id="{04DA6580-FD1C-45FA-8C4E-B77C3F8C1290}"/>
            </a:ext>
          </a:extLst>
        </xdr:cNvPr>
        <xdr:cNvCxnSpPr/>
      </xdr:nvCxnSpPr>
      <xdr:spPr>
        <a:xfrm>
          <a:off x="11414760" y="182880"/>
          <a:ext cx="0" cy="20577810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M28"/>
  <sheetViews>
    <sheetView topLeftCell="B1" workbookViewId="0">
      <selection activeCell="L11" sqref="K11:L12"/>
    </sheetView>
  </sheetViews>
  <sheetFormatPr defaultRowHeight="14.4" x14ac:dyDescent="0.3"/>
  <cols>
    <col min="2" max="2" width="20.109375" customWidth="1"/>
    <col min="3" max="3" width="19.6640625" customWidth="1"/>
    <col min="12" max="12" width="15.6640625" bestFit="1" customWidth="1"/>
    <col min="13" max="13" width="9.109375" customWidth="1"/>
  </cols>
  <sheetData>
    <row r="1" spans="2:13" ht="21" x14ac:dyDescent="0.4">
      <c r="K1" s="6" t="s">
        <v>0</v>
      </c>
      <c r="L1" s="6"/>
    </row>
    <row r="2" spans="2:13" ht="22.8" x14ac:dyDescent="0.3">
      <c r="B2" s="7" t="s">
        <v>1</v>
      </c>
      <c r="C2" s="7"/>
      <c r="D2" s="7"/>
      <c r="E2" s="7"/>
      <c r="F2" s="7"/>
      <c r="G2" s="7"/>
      <c r="H2" s="7"/>
      <c r="I2" s="7"/>
      <c r="K2" s="1" t="s">
        <v>2</v>
      </c>
      <c r="L2" s="3">
        <v>479.22</v>
      </c>
    </row>
    <row r="3" spans="2:13" x14ac:dyDescent="0.3">
      <c r="K3" s="1" t="s">
        <v>3</v>
      </c>
      <c r="L3" s="2">
        <f>2200.048+349.356</f>
        <v>2549.4039999999995</v>
      </c>
      <c r="M3" t="s">
        <v>42</v>
      </c>
    </row>
    <row r="4" spans="2:13" x14ac:dyDescent="0.3">
      <c r="K4" s="1" t="s">
        <v>4</v>
      </c>
      <c r="L4" s="2">
        <f>L3*L2</f>
        <v>1221725.3848799998</v>
      </c>
    </row>
    <row r="5" spans="2:13" x14ac:dyDescent="0.3">
      <c r="K5" s="1" t="s">
        <v>5</v>
      </c>
      <c r="L5" s="2">
        <f>41862+23541+6141</f>
        <v>71544</v>
      </c>
      <c r="M5" t="s">
        <v>42</v>
      </c>
    </row>
    <row r="6" spans="2:13" x14ac:dyDescent="0.3">
      <c r="K6" s="1" t="s">
        <v>6</v>
      </c>
      <c r="L6" s="2">
        <v>18385</v>
      </c>
      <c r="M6" t="s">
        <v>42</v>
      </c>
    </row>
    <row r="7" spans="2:13" x14ac:dyDescent="0.3">
      <c r="K7" s="1" t="s">
        <v>7</v>
      </c>
      <c r="L7" s="2">
        <f>L4-L5+L6</f>
        <v>1168566.3848799998</v>
      </c>
    </row>
    <row r="8" spans="2:13" x14ac:dyDescent="0.3">
      <c r="K8" s="1" t="s">
        <v>8</v>
      </c>
      <c r="L8" s="2">
        <f>L5-L6</f>
        <v>53159</v>
      </c>
    </row>
    <row r="9" spans="2:13" x14ac:dyDescent="0.3">
      <c r="K9" s="1"/>
      <c r="L9" s="1"/>
    </row>
    <row r="10" spans="2:13" x14ac:dyDescent="0.3">
      <c r="K10" s="1" t="s">
        <v>9</v>
      </c>
      <c r="L10" s="1" t="s">
        <v>10</v>
      </c>
    </row>
    <row r="16" spans="2:13" ht="15.6" x14ac:dyDescent="0.3">
      <c r="B16" s="8" t="s">
        <v>11</v>
      </c>
      <c r="C16" s="8"/>
      <c r="F16" s="4" t="s">
        <v>12</v>
      </c>
    </row>
    <row r="17" spans="2:3" x14ac:dyDescent="0.3">
      <c r="B17" s="5" t="s">
        <v>13</v>
      </c>
      <c r="C17" s="5" t="s">
        <v>14</v>
      </c>
    </row>
    <row r="18" spans="2:3" x14ac:dyDescent="0.3">
      <c r="B18" s="1" t="s">
        <v>10</v>
      </c>
      <c r="C18" s="1" t="s">
        <v>15</v>
      </c>
    </row>
    <row r="19" spans="2:3" x14ac:dyDescent="0.3">
      <c r="B19" s="1" t="s">
        <v>16</v>
      </c>
      <c r="C19" s="1" t="s">
        <v>17</v>
      </c>
    </row>
    <row r="20" spans="2:3" x14ac:dyDescent="0.3">
      <c r="B20" s="1" t="s">
        <v>18</v>
      </c>
      <c r="C20" s="1" t="s">
        <v>19</v>
      </c>
    </row>
    <row r="21" spans="2:3" x14ac:dyDescent="0.3">
      <c r="B21" s="1" t="s">
        <v>20</v>
      </c>
      <c r="C21" s="1" t="s">
        <v>21</v>
      </c>
    </row>
    <row r="22" spans="2:3" x14ac:dyDescent="0.3">
      <c r="B22" s="1" t="s">
        <v>22</v>
      </c>
      <c r="C22" s="1" t="s">
        <v>21</v>
      </c>
    </row>
    <row r="23" spans="2:3" x14ac:dyDescent="0.3">
      <c r="B23" s="1" t="s">
        <v>23</v>
      </c>
      <c r="C23" s="1" t="s">
        <v>21</v>
      </c>
    </row>
    <row r="24" spans="2:3" x14ac:dyDescent="0.3">
      <c r="B24" s="1" t="s">
        <v>24</v>
      </c>
      <c r="C24" s="1" t="s">
        <v>21</v>
      </c>
    </row>
    <row r="25" spans="2:3" x14ac:dyDescent="0.3">
      <c r="B25" s="1" t="s">
        <v>25</v>
      </c>
      <c r="C25" s="1" t="s">
        <v>21</v>
      </c>
    </row>
    <row r="26" spans="2:3" x14ac:dyDescent="0.3">
      <c r="B26" s="1" t="s">
        <v>26</v>
      </c>
      <c r="C26" s="1" t="s">
        <v>21</v>
      </c>
    </row>
    <row r="27" spans="2:3" x14ac:dyDescent="0.3">
      <c r="B27" s="1" t="s">
        <v>27</v>
      </c>
      <c r="C27" s="1" t="s">
        <v>21</v>
      </c>
    </row>
    <row r="28" spans="2:3" x14ac:dyDescent="0.3">
      <c r="B28" s="1" t="s">
        <v>28</v>
      </c>
      <c r="C28" s="1" t="s">
        <v>21</v>
      </c>
    </row>
  </sheetData>
  <mergeCells count="3">
    <mergeCell ref="K1:L1"/>
    <mergeCell ref="B2:I2"/>
    <mergeCell ref="B16:C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GP122"/>
  <sheetViews>
    <sheetView tabSelected="1" zoomScale="130" zoomScaleNormal="130" workbookViewId="0">
      <pane xSplit="2" ySplit="2" topLeftCell="H15" activePane="bottomRight" state="frozen"/>
      <selection pane="topRight" activeCell="C1" sqref="C1"/>
      <selection pane="bottomLeft" activeCell="A3" sqref="A3"/>
      <selection pane="bottomRight" activeCell="AM42" sqref="AM42"/>
    </sheetView>
  </sheetViews>
  <sheetFormatPr defaultRowHeight="13.8" x14ac:dyDescent="0.25"/>
  <cols>
    <col min="1" max="1" width="6.6640625" style="10" customWidth="1"/>
    <col min="2" max="2" width="35.33203125" style="10" customWidth="1"/>
    <col min="3" max="7" width="8.88671875" style="10"/>
    <col min="8" max="19" width="9" style="10" bestFit="1" customWidth="1"/>
    <col min="20" max="21" width="8.88671875" style="10"/>
    <col min="22" max="38" width="9" style="10" bestFit="1" customWidth="1"/>
    <col min="39" max="39" width="10.6640625" style="10" bestFit="1" customWidth="1"/>
    <col min="40" max="198" width="9" style="10" bestFit="1" customWidth="1"/>
    <col min="199" max="16384" width="8.88671875" style="10"/>
  </cols>
  <sheetData>
    <row r="1" spans="1:198" x14ac:dyDescent="0.25">
      <c r="A1" s="9" t="s">
        <v>29</v>
      </c>
    </row>
    <row r="2" spans="1:198" s="29" customFormat="1" x14ac:dyDescent="0.25">
      <c r="D2" s="29" t="s">
        <v>30</v>
      </c>
      <c r="E2" s="29" t="s">
        <v>31</v>
      </c>
      <c r="F2" s="29" t="s">
        <v>32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39</v>
      </c>
      <c r="N2" s="29" t="s">
        <v>40</v>
      </c>
      <c r="O2" s="29" t="s">
        <v>41</v>
      </c>
      <c r="P2" s="29" t="s">
        <v>42</v>
      </c>
      <c r="Q2" s="29" t="s">
        <v>43</v>
      </c>
      <c r="R2" s="29" t="s">
        <v>44</v>
      </c>
      <c r="S2" s="29" t="s">
        <v>45</v>
      </c>
      <c r="V2" s="29">
        <v>2019</v>
      </c>
      <c r="W2" s="29">
        <v>2020</v>
      </c>
      <c r="X2" s="29">
        <v>2021</v>
      </c>
      <c r="Y2" s="29">
        <v>2022</v>
      </c>
      <c r="Z2" s="29">
        <v>2023</v>
      </c>
      <c r="AA2" s="29">
        <v>2024</v>
      </c>
      <c r="AB2" s="29">
        <v>2025</v>
      </c>
      <c r="AC2" s="29">
        <v>2026</v>
      </c>
      <c r="AD2" s="29">
        <v>2027</v>
      </c>
      <c r="AE2" s="29">
        <v>2028</v>
      </c>
      <c r="AF2" s="29">
        <v>2029</v>
      </c>
      <c r="AG2" s="29">
        <v>2030</v>
      </c>
      <c r="AH2" s="29">
        <v>2031</v>
      </c>
      <c r="AI2" s="29">
        <v>2032</v>
      </c>
      <c r="AJ2" s="29">
        <v>2033</v>
      </c>
      <c r="AK2" s="29">
        <v>2034</v>
      </c>
      <c r="AL2" s="29">
        <v>2035</v>
      </c>
      <c r="AM2" s="29">
        <v>2036</v>
      </c>
      <c r="AN2" s="29">
        <v>2037</v>
      </c>
      <c r="AO2" s="29">
        <v>2038</v>
      </c>
      <c r="AP2" s="29">
        <v>2039</v>
      </c>
      <c r="AQ2" s="29">
        <v>2040</v>
      </c>
      <c r="AR2" s="29">
        <v>2041</v>
      </c>
      <c r="AS2" s="29">
        <v>2042</v>
      </c>
    </row>
    <row r="3" spans="1:198" s="11" customFormat="1" x14ac:dyDescent="0.25">
      <c r="B3" s="11" t="s">
        <v>46</v>
      </c>
      <c r="H3" s="11">
        <v>27908</v>
      </c>
      <c r="I3" s="11">
        <v>28822</v>
      </c>
      <c r="J3" s="11">
        <v>27714</v>
      </c>
      <c r="K3" s="11">
        <v>32165</v>
      </c>
      <c r="L3" s="11">
        <v>28645</v>
      </c>
      <c r="M3" s="11">
        <v>31999</v>
      </c>
      <c r="N3" s="11">
        <v>34146</v>
      </c>
      <c r="O3" s="11">
        <v>40111</v>
      </c>
      <c r="P3" s="11">
        <v>36455</v>
      </c>
      <c r="Q3" s="11">
        <v>38290</v>
      </c>
      <c r="R3" s="11">
        <f>Q3*1.08</f>
        <v>41353.200000000004</v>
      </c>
      <c r="S3" s="11">
        <f>R3*1.03</f>
        <v>42593.796000000002</v>
      </c>
      <c r="Y3" s="11">
        <f>SUM(H3:K3)</f>
        <v>116609</v>
      </c>
      <c r="Z3" s="11">
        <f>SUM(L3:O3)</f>
        <v>134901</v>
      </c>
      <c r="AA3" s="11">
        <f>SUM(P3:S3)</f>
        <v>158691.99600000001</v>
      </c>
      <c r="AB3" s="11">
        <f>AA3*1.06</f>
        <v>168213.51576000001</v>
      </c>
      <c r="AC3" s="11">
        <f t="shared" ref="AC3:AE3" si="0">AB3*1.06</f>
        <v>178306.32670560002</v>
      </c>
      <c r="AD3" s="11">
        <f t="shared" si="0"/>
        <v>189004.70630793602</v>
      </c>
      <c r="AE3" s="11">
        <f t="shared" si="0"/>
        <v>200344.98868641219</v>
      </c>
      <c r="AF3" s="11">
        <f>AE3*1.04</f>
        <v>208358.78823386869</v>
      </c>
      <c r="AG3" s="11">
        <f t="shared" ref="AG3:AI3" si="1">AF3*1.04</f>
        <v>216693.13976322344</v>
      </c>
      <c r="AH3" s="11">
        <f t="shared" si="1"/>
        <v>225360.86535375239</v>
      </c>
      <c r="AI3" s="11">
        <f t="shared" si="1"/>
        <v>234375.29996790251</v>
      </c>
      <c r="AJ3" s="11">
        <f>AI3*1.025</f>
        <v>240234.68246710006</v>
      </c>
      <c r="AK3" s="11">
        <f>AJ3*1.025</f>
        <v>246240.54952877754</v>
      </c>
    </row>
    <row r="4" spans="1:198" s="12" customFormat="1" x14ac:dyDescent="0.25">
      <c r="B4" s="12" t="s">
        <v>47</v>
      </c>
      <c r="H4" s="12">
        <v>6005</v>
      </c>
      <c r="I4" s="12">
        <v>5192</v>
      </c>
      <c r="J4" s="12">
        <v>5716</v>
      </c>
      <c r="K4" s="12">
        <v>8336</v>
      </c>
      <c r="L4" s="12">
        <v>6108</v>
      </c>
      <c r="M4" s="12">
        <v>5945</v>
      </c>
      <c r="N4" s="12">
        <v>6210</v>
      </c>
      <c r="O4" s="12">
        <v>7695</v>
      </c>
      <c r="P4" s="12">
        <v>6640</v>
      </c>
      <c r="Q4" s="12">
        <f>Q3*0.191</f>
        <v>7313.39</v>
      </c>
      <c r="R4" s="12">
        <f t="shared" ref="R4:S4" si="2">R3*0.191</f>
        <v>7898.4612000000006</v>
      </c>
      <c r="S4" s="12">
        <f t="shared" si="2"/>
        <v>8135.4150360000003</v>
      </c>
      <c r="Y4" s="12">
        <f>SUM(H4:K4)</f>
        <v>25249</v>
      </c>
      <c r="Z4" s="12">
        <f>SUM(L4:O4)</f>
        <v>25958</v>
      </c>
      <c r="AA4" s="12">
        <f>SUM(P4:S4)</f>
        <v>29987.266236000003</v>
      </c>
      <c r="AB4" s="12">
        <f t="shared" ref="AB4" si="3">AB3*0.191</f>
        <v>32128.781510160003</v>
      </c>
      <c r="AC4" s="12">
        <f t="shared" ref="AC4" si="4">AC3*0.191</f>
        <v>34056.508400769606</v>
      </c>
      <c r="AD4" s="12">
        <f t="shared" ref="AD4" si="5">AD3*0.191</f>
        <v>36099.898904815782</v>
      </c>
      <c r="AE4" s="12">
        <f t="shared" ref="AE4" si="6">AE3*0.191</f>
        <v>38265.89283910473</v>
      </c>
      <c r="AF4" s="12">
        <f t="shared" ref="AF4" si="7">AF3*0.191</f>
        <v>39796.528552668919</v>
      </c>
      <c r="AG4" s="12">
        <f t="shared" ref="AG4" si="8">AG3*0.191</f>
        <v>41388.38969477568</v>
      </c>
      <c r="AH4" s="12">
        <f t="shared" ref="AH4" si="9">AH3*0.191</f>
        <v>43043.925282566706</v>
      </c>
      <c r="AI4" s="12">
        <f t="shared" ref="AI4" si="10">AI3*0.191</f>
        <v>44765.68229386938</v>
      </c>
      <c r="AJ4" s="12">
        <f t="shared" ref="AJ4" si="11">AJ3*0.191</f>
        <v>45884.824351216113</v>
      </c>
      <c r="AK4" s="12">
        <f t="shared" ref="AK4" si="12">AK3*0.191</f>
        <v>47031.944959996508</v>
      </c>
    </row>
    <row r="5" spans="1:198" s="11" customFormat="1" x14ac:dyDescent="0.25">
      <c r="B5" s="11" t="s">
        <v>48</v>
      </c>
      <c r="H5" s="11">
        <f t="shared" ref="H5:Q5" si="13">H3-H4</f>
        <v>21903</v>
      </c>
      <c r="I5" s="11">
        <f t="shared" si="13"/>
        <v>23630</v>
      </c>
      <c r="J5" s="11">
        <f t="shared" si="13"/>
        <v>21998</v>
      </c>
      <c r="K5" s="11">
        <f t="shared" si="13"/>
        <v>23829</v>
      </c>
      <c r="L5" s="11">
        <f t="shared" si="13"/>
        <v>22537</v>
      </c>
      <c r="M5" s="11">
        <f t="shared" si="13"/>
        <v>26054</v>
      </c>
      <c r="N5" s="11">
        <f t="shared" si="13"/>
        <v>27936</v>
      </c>
      <c r="O5" s="11">
        <f t="shared" si="13"/>
        <v>32416</v>
      </c>
      <c r="P5" s="11">
        <f t="shared" si="13"/>
        <v>29815</v>
      </c>
      <c r="Q5" s="11">
        <f t="shared" si="13"/>
        <v>30976.61</v>
      </c>
      <c r="R5" s="11">
        <f t="shared" ref="R5:S5" si="14">R3-R4</f>
        <v>33454.738800000006</v>
      </c>
      <c r="S5" s="11">
        <f t="shared" si="14"/>
        <v>34458.380964000004</v>
      </c>
      <c r="Y5" s="11">
        <f>SUM(H5:K5)</f>
        <v>91360</v>
      </c>
      <c r="Z5" s="11">
        <f>SUM(L5:O5)</f>
        <v>108943</v>
      </c>
      <c r="AA5" s="11">
        <f>SUM(P5:S5)</f>
        <v>128704.72976400002</v>
      </c>
      <c r="AB5" s="11">
        <f t="shared" ref="AB5" si="15">AB3-AB4</f>
        <v>136084.73424984</v>
      </c>
      <c r="AC5" s="11">
        <f t="shared" ref="AC5" si="16">AC3-AC4</f>
        <v>144249.81830483041</v>
      </c>
      <c r="AD5" s="11">
        <f t="shared" ref="AD5" si="17">AD3-AD4</f>
        <v>152904.80740312024</v>
      </c>
      <c r="AE5" s="11">
        <f t="shared" ref="AE5" si="18">AE3-AE4</f>
        <v>162079.09584730747</v>
      </c>
      <c r="AF5" s="11">
        <f t="shared" ref="AF5" si="19">AF3-AF4</f>
        <v>168562.25968119976</v>
      </c>
      <c r="AG5" s="11">
        <f t="shared" ref="AG5" si="20">AG3-AG4</f>
        <v>175304.75006844776</v>
      </c>
      <c r="AH5" s="11">
        <f t="shared" ref="AH5" si="21">AH3-AH4</f>
        <v>182316.9400711857</v>
      </c>
      <c r="AI5" s="11">
        <f t="shared" ref="AI5" si="22">AI3-AI4</f>
        <v>189609.61767403313</v>
      </c>
      <c r="AJ5" s="11">
        <f t="shared" ref="AJ5" si="23">AJ3-AJ4</f>
        <v>194349.85811588395</v>
      </c>
      <c r="AK5" s="11">
        <f t="shared" ref="AK5" si="24">AK3-AK4</f>
        <v>199208.60456878104</v>
      </c>
    </row>
    <row r="6" spans="1:198" s="12" customFormat="1" x14ac:dyDescent="0.25">
      <c r="B6" s="12" t="s">
        <v>49</v>
      </c>
      <c r="H6" s="12">
        <v>7707</v>
      </c>
      <c r="I6" s="12">
        <v>8690</v>
      </c>
      <c r="J6" s="12">
        <v>9170</v>
      </c>
      <c r="K6" s="12">
        <v>9771</v>
      </c>
      <c r="L6" s="12">
        <v>9381</v>
      </c>
      <c r="M6" s="12">
        <v>9344</v>
      </c>
      <c r="N6" s="12">
        <v>9241</v>
      </c>
      <c r="O6" s="12">
        <v>10517</v>
      </c>
      <c r="P6" s="12">
        <v>9978</v>
      </c>
      <c r="Q6" s="12">
        <f>Q3*0.2746</f>
        <v>10514.434000000001</v>
      </c>
      <c r="R6" s="12">
        <f t="shared" ref="R6:S6" si="25">R3*0.2746</f>
        <v>11355.588720000002</v>
      </c>
      <c r="S6" s="12">
        <f t="shared" si="25"/>
        <v>11696.2563816</v>
      </c>
      <c r="Y6" s="12">
        <f>SUM(H6:K6)</f>
        <v>35338</v>
      </c>
      <c r="Z6" s="12">
        <f>SUM(L6:O6)</f>
        <v>38483</v>
      </c>
      <c r="AA6" s="12">
        <f t="shared" ref="AA6:AA8" si="26">SUM(P6:S6)</f>
        <v>43544.279101599997</v>
      </c>
      <c r="AB6" s="12">
        <f t="shared" ref="AB6:AK6" si="27">AB3*0.2746</f>
        <v>46191.431427696007</v>
      </c>
      <c r="AC6" s="12">
        <f t="shared" si="27"/>
        <v>48962.917313357764</v>
      </c>
      <c r="AD6" s="12">
        <f t="shared" si="27"/>
        <v>51900.692352159233</v>
      </c>
      <c r="AE6" s="12">
        <f t="shared" si="27"/>
        <v>55014.733893288794</v>
      </c>
      <c r="AF6" s="12">
        <f t="shared" si="27"/>
        <v>57215.323249020345</v>
      </c>
      <c r="AG6" s="12">
        <f t="shared" si="27"/>
        <v>59503.936178981159</v>
      </c>
      <c r="AH6" s="12">
        <f t="shared" si="27"/>
        <v>61884.093626140413</v>
      </c>
      <c r="AI6" s="12">
        <f t="shared" si="27"/>
        <v>64359.457371186028</v>
      </c>
      <c r="AJ6" s="12">
        <f t="shared" si="27"/>
        <v>65968.443805465678</v>
      </c>
      <c r="AK6" s="12">
        <f t="shared" si="27"/>
        <v>67617.654900602312</v>
      </c>
    </row>
    <row r="7" spans="1:198" s="12" customFormat="1" x14ac:dyDescent="0.25">
      <c r="B7" s="12" t="s">
        <v>50</v>
      </c>
      <c r="H7" s="12">
        <v>3312</v>
      </c>
      <c r="I7" s="12">
        <v>3595</v>
      </c>
      <c r="J7" s="12">
        <v>3780</v>
      </c>
      <c r="K7" s="12">
        <v>4574</v>
      </c>
      <c r="L7" s="12">
        <v>3044</v>
      </c>
      <c r="M7" s="12">
        <v>3154</v>
      </c>
      <c r="N7" s="12">
        <v>2877</v>
      </c>
      <c r="O7" s="12">
        <v>3226</v>
      </c>
      <c r="P7" s="12">
        <v>2564</v>
      </c>
      <c r="Q7" s="12">
        <f>Q3*0.088</f>
        <v>3369.52</v>
      </c>
      <c r="R7" s="12">
        <f t="shared" ref="R7:S7" si="28">R3*0.088</f>
        <v>3639.0816</v>
      </c>
      <c r="S7" s="12">
        <f t="shared" si="28"/>
        <v>3748.2540479999998</v>
      </c>
      <c r="Y7" s="12">
        <f t="shared" ref="Y7:Y8" si="29">SUM(H7:K7)</f>
        <v>15261</v>
      </c>
      <c r="Z7" s="12">
        <f t="shared" ref="Z7:Z8" si="30">SUM(L7:O7)</f>
        <v>12301</v>
      </c>
      <c r="AA7" s="12">
        <f t="shared" si="26"/>
        <v>13320.855648000001</v>
      </c>
      <c r="AB7" s="12">
        <f t="shared" ref="AB7:AK7" si="31">AB3*0.088</f>
        <v>14802.78938688</v>
      </c>
      <c r="AC7" s="12">
        <f t="shared" si="31"/>
        <v>15690.956750092801</v>
      </c>
      <c r="AD7" s="12">
        <f t="shared" si="31"/>
        <v>16632.41415509837</v>
      </c>
      <c r="AE7" s="12">
        <f t="shared" si="31"/>
        <v>17630.359004404272</v>
      </c>
      <c r="AF7" s="12">
        <f t="shared" si="31"/>
        <v>18335.573364580443</v>
      </c>
      <c r="AG7" s="12">
        <f t="shared" si="31"/>
        <v>19068.99629916366</v>
      </c>
      <c r="AH7" s="12">
        <f t="shared" si="31"/>
        <v>19831.756151130208</v>
      </c>
      <c r="AI7" s="12">
        <f t="shared" si="31"/>
        <v>20625.026397175421</v>
      </c>
      <c r="AJ7" s="12">
        <f t="shared" si="31"/>
        <v>21140.652057104806</v>
      </c>
      <c r="AK7" s="12">
        <f t="shared" si="31"/>
        <v>21669.168358532421</v>
      </c>
    </row>
    <row r="8" spans="1:198" s="12" customFormat="1" x14ac:dyDescent="0.25">
      <c r="B8" s="12" t="s">
        <v>51</v>
      </c>
      <c r="H8" s="12">
        <v>2360</v>
      </c>
      <c r="I8" s="12">
        <v>2987</v>
      </c>
      <c r="J8" s="12">
        <v>3384</v>
      </c>
      <c r="K8" s="12">
        <v>3085</v>
      </c>
      <c r="L8" s="12">
        <v>2885</v>
      </c>
      <c r="M8" s="12">
        <v>4164</v>
      </c>
      <c r="N8" s="12">
        <v>2070</v>
      </c>
      <c r="O8" s="12">
        <v>2289</v>
      </c>
      <c r="P8" s="12">
        <v>3455</v>
      </c>
      <c r="Q8" s="12">
        <f>Q3*0.0887</f>
        <v>3396.3229999999999</v>
      </c>
      <c r="R8" s="12">
        <f t="shared" ref="R8:S8" si="32">R3*0.0887</f>
        <v>3668.0288400000004</v>
      </c>
      <c r="S8" s="12">
        <f t="shared" si="32"/>
        <v>3778.0697052</v>
      </c>
      <c r="Y8" s="12">
        <f t="shared" si="29"/>
        <v>11816</v>
      </c>
      <c r="Z8" s="12">
        <f t="shared" si="30"/>
        <v>11408</v>
      </c>
      <c r="AA8" s="12">
        <f t="shared" si="26"/>
        <v>14297.421545200001</v>
      </c>
      <c r="AB8" s="12">
        <f t="shared" ref="AB8:AK8" si="33">AB3*0.0887</f>
        <v>14920.538847912001</v>
      </c>
      <c r="AC8" s="12">
        <f t="shared" si="33"/>
        <v>15815.771178786721</v>
      </c>
      <c r="AD8" s="12">
        <f t="shared" si="33"/>
        <v>16764.717449513926</v>
      </c>
      <c r="AE8" s="12">
        <f t="shared" si="33"/>
        <v>17770.600496484763</v>
      </c>
      <c r="AF8" s="12">
        <f t="shared" si="33"/>
        <v>18481.424516344152</v>
      </c>
      <c r="AG8" s="12">
        <f t="shared" si="33"/>
        <v>19220.68149699792</v>
      </c>
      <c r="AH8" s="12">
        <f t="shared" si="33"/>
        <v>19989.508756877836</v>
      </c>
      <c r="AI8" s="12">
        <f t="shared" si="33"/>
        <v>20789.089107152951</v>
      </c>
      <c r="AJ8" s="12">
        <f t="shared" si="33"/>
        <v>21308.816334831776</v>
      </c>
      <c r="AK8" s="12">
        <f t="shared" si="33"/>
        <v>21841.536743202567</v>
      </c>
    </row>
    <row r="9" spans="1:198" s="13" customFormat="1" x14ac:dyDescent="0.25">
      <c r="B9" s="13" t="s">
        <v>52</v>
      </c>
      <c r="H9" s="13">
        <f t="shared" ref="H9:Q9" si="34">SUM(H6:H8)+H4</f>
        <v>19384</v>
      </c>
      <c r="I9" s="13">
        <f t="shared" si="34"/>
        <v>20464</v>
      </c>
      <c r="J9" s="13">
        <f t="shared" si="34"/>
        <v>22050</v>
      </c>
      <c r="K9" s="13">
        <f t="shared" si="34"/>
        <v>25766</v>
      </c>
      <c r="L9" s="13">
        <f t="shared" si="34"/>
        <v>21418</v>
      </c>
      <c r="M9" s="13">
        <f t="shared" si="34"/>
        <v>22607</v>
      </c>
      <c r="N9" s="13">
        <f t="shared" si="34"/>
        <v>20398</v>
      </c>
      <c r="O9" s="13">
        <f t="shared" si="34"/>
        <v>23727</v>
      </c>
      <c r="P9" s="13">
        <f t="shared" si="34"/>
        <v>22637</v>
      </c>
      <c r="Q9" s="13">
        <f t="shared" si="34"/>
        <v>24593.667000000001</v>
      </c>
      <c r="R9" s="13">
        <f t="shared" ref="R9:S9" si="35">SUM(R6:R8)+R4</f>
        <v>26561.160360000002</v>
      </c>
      <c r="S9" s="13">
        <f t="shared" si="35"/>
        <v>27357.995170800001</v>
      </c>
      <c r="Y9" s="13">
        <f>SUM(H9:K9)</f>
        <v>87664</v>
      </c>
      <c r="Z9" s="13">
        <f t="shared" ref="Z9:Z15" si="36">SUM(L9:O9)</f>
        <v>88150</v>
      </c>
      <c r="AA9" s="12">
        <f>SUM(P9:S9)</f>
        <v>101149.8225308</v>
      </c>
      <c r="AB9" s="13">
        <f t="shared" ref="AB9" si="37">SUM(AB6:AB8)+AB4</f>
        <v>108043.54117264801</v>
      </c>
      <c r="AC9" s="13">
        <f t="shared" ref="AC9" si="38">SUM(AC6:AC8)+AC4</f>
        <v>114526.1536430069</v>
      </c>
      <c r="AD9" s="13">
        <f t="shared" ref="AD9" si="39">SUM(AD6:AD8)+AD4</f>
        <v>121397.7228615873</v>
      </c>
      <c r="AE9" s="13">
        <f t="shared" ref="AE9" si="40">SUM(AE6:AE8)+AE4</f>
        <v>128681.58623328258</v>
      </c>
      <c r="AF9" s="13">
        <f t="shared" ref="AF9" si="41">SUM(AF6:AF8)+AF4</f>
        <v>133828.84968261386</v>
      </c>
      <c r="AG9" s="13">
        <f t="shared" ref="AG9" si="42">SUM(AG6:AG8)+AG4</f>
        <v>139182.00366991843</v>
      </c>
      <c r="AH9" s="13">
        <f t="shared" ref="AH9" si="43">SUM(AH6:AH8)+AH4</f>
        <v>144749.28381671518</v>
      </c>
      <c r="AI9" s="13">
        <f t="shared" ref="AI9" si="44">SUM(AI6:AI8)+AI4</f>
        <v>150539.25516938377</v>
      </c>
      <c r="AJ9" s="13">
        <f t="shared" ref="AJ9" si="45">SUM(AJ6:AJ8)+AJ4</f>
        <v>154302.73654861836</v>
      </c>
      <c r="AK9" s="13">
        <f t="shared" ref="AK9" si="46">SUM(AK6:AK8)+AK4</f>
        <v>158160.30496233382</v>
      </c>
    </row>
    <row r="10" spans="1:198" s="11" customFormat="1" x14ac:dyDescent="0.25">
      <c r="B10" s="11" t="s">
        <v>53</v>
      </c>
      <c r="H10" s="11">
        <f t="shared" ref="H10:S10" si="47">H3-H9</f>
        <v>8524</v>
      </c>
      <c r="I10" s="11">
        <f t="shared" si="47"/>
        <v>8358</v>
      </c>
      <c r="J10" s="11">
        <f t="shared" si="47"/>
        <v>5664</v>
      </c>
      <c r="K10" s="11">
        <f t="shared" si="47"/>
        <v>6399</v>
      </c>
      <c r="L10" s="11">
        <f t="shared" si="47"/>
        <v>7227</v>
      </c>
      <c r="M10" s="11">
        <f t="shared" si="47"/>
        <v>9392</v>
      </c>
      <c r="N10" s="11">
        <f t="shared" si="47"/>
        <v>13748</v>
      </c>
      <c r="O10" s="11">
        <f t="shared" si="47"/>
        <v>16384</v>
      </c>
      <c r="P10" s="11">
        <f t="shared" si="47"/>
        <v>13818</v>
      </c>
      <c r="Q10" s="11">
        <f t="shared" si="47"/>
        <v>13696.332999999999</v>
      </c>
      <c r="R10" s="11">
        <f t="shared" si="47"/>
        <v>14792.039640000003</v>
      </c>
      <c r="S10" s="11">
        <f t="shared" si="47"/>
        <v>15235.800829200001</v>
      </c>
      <c r="Y10" s="11">
        <f>SUM(H10:K10)</f>
        <v>28945</v>
      </c>
      <c r="Z10" s="11">
        <f t="shared" si="36"/>
        <v>46751</v>
      </c>
      <c r="AA10" s="11">
        <f>SUM(P10:S10)</f>
        <v>57542.173469200003</v>
      </c>
      <c r="AB10" s="11">
        <f>AB3-AB9</f>
        <v>60169.974587352001</v>
      </c>
      <c r="AC10" s="11">
        <f t="shared" ref="AC10:AK10" si="48">AC3-AC9</f>
        <v>63780.173062593123</v>
      </c>
      <c r="AD10" s="11">
        <f t="shared" si="48"/>
        <v>67606.98344634872</v>
      </c>
      <c r="AE10" s="11">
        <f t="shared" si="48"/>
        <v>71663.402453129616</v>
      </c>
      <c r="AF10" s="11">
        <f t="shared" si="48"/>
        <v>74529.938551254832</v>
      </c>
      <c r="AG10" s="11">
        <f t="shared" si="48"/>
        <v>77511.136093305016</v>
      </c>
      <c r="AH10" s="11">
        <f t="shared" si="48"/>
        <v>80611.581537037215</v>
      </c>
      <c r="AI10" s="11">
        <f t="shared" si="48"/>
        <v>83836.044798518735</v>
      </c>
      <c r="AJ10" s="11">
        <f t="shared" si="48"/>
        <v>85931.94591848171</v>
      </c>
      <c r="AK10" s="11">
        <f t="shared" si="48"/>
        <v>88080.244566443725</v>
      </c>
    </row>
    <row r="11" spans="1:198" s="12" customFormat="1" x14ac:dyDescent="0.25">
      <c r="B11" s="12" t="s">
        <v>54</v>
      </c>
      <c r="H11" s="12">
        <v>384</v>
      </c>
      <c r="I11" s="12">
        <v>-172</v>
      </c>
      <c r="J11" s="12">
        <v>-88</v>
      </c>
      <c r="K11" s="12">
        <v>-250</v>
      </c>
      <c r="L11" s="12">
        <v>80</v>
      </c>
      <c r="M11" s="12">
        <v>-99</v>
      </c>
      <c r="N11" s="12">
        <v>272</v>
      </c>
      <c r="O11" s="12">
        <v>424</v>
      </c>
      <c r="P11" s="12">
        <v>365</v>
      </c>
      <c r="Q11" s="12">
        <f>Q3*0.0028</f>
        <v>107.212</v>
      </c>
      <c r="R11" s="12">
        <f t="shared" ref="R11:S11" si="49">R3*0.0028</f>
        <v>115.78896000000002</v>
      </c>
      <c r="S11" s="12">
        <f t="shared" si="49"/>
        <v>119.2626288</v>
      </c>
      <c r="Y11" s="12">
        <f t="shared" ref="Y11" si="50">SUM(H11:K11)</f>
        <v>-126</v>
      </c>
      <c r="Z11" s="12">
        <f t="shared" si="36"/>
        <v>677</v>
      </c>
      <c r="AA11" s="12">
        <f t="shared" ref="AA11" si="51">SUM(P11:S11)</f>
        <v>707.26358879999998</v>
      </c>
      <c r="AB11" s="12">
        <f t="shared" ref="AB11:AK11" si="52">AB3*0.0028</f>
        <v>470.997844128</v>
      </c>
      <c r="AC11" s="12">
        <f t="shared" si="52"/>
        <v>499.25771477568003</v>
      </c>
      <c r="AD11" s="12">
        <f t="shared" si="52"/>
        <v>529.21317766222091</v>
      </c>
      <c r="AE11" s="12">
        <f t="shared" si="52"/>
        <v>560.96596832195416</v>
      </c>
      <c r="AF11" s="12">
        <f t="shared" si="52"/>
        <v>583.40460705483235</v>
      </c>
      <c r="AG11" s="12">
        <f t="shared" si="52"/>
        <v>606.7407913370256</v>
      </c>
      <c r="AH11" s="12">
        <f t="shared" si="52"/>
        <v>631.01042299050664</v>
      </c>
      <c r="AI11" s="12">
        <f t="shared" si="52"/>
        <v>656.25083991012707</v>
      </c>
      <c r="AJ11" s="12">
        <f t="shared" si="52"/>
        <v>672.65711090788022</v>
      </c>
      <c r="AK11" s="12">
        <f t="shared" si="52"/>
        <v>689.47353868057712</v>
      </c>
    </row>
    <row r="12" spans="1:198" s="11" customFormat="1" x14ac:dyDescent="0.25">
      <c r="B12" s="11" t="s">
        <v>55</v>
      </c>
      <c r="H12" s="11">
        <f t="shared" ref="H12:S12" si="53">H10+H11</f>
        <v>8908</v>
      </c>
      <c r="I12" s="11">
        <f t="shared" si="53"/>
        <v>8186</v>
      </c>
      <c r="J12" s="11">
        <f t="shared" si="53"/>
        <v>5576</v>
      </c>
      <c r="K12" s="11">
        <f t="shared" si="53"/>
        <v>6149</v>
      </c>
      <c r="L12" s="11">
        <f t="shared" si="53"/>
        <v>7307</v>
      </c>
      <c r="M12" s="11">
        <f t="shared" si="53"/>
        <v>9293</v>
      </c>
      <c r="N12" s="11">
        <f t="shared" si="53"/>
        <v>14020</v>
      </c>
      <c r="O12" s="11">
        <f t="shared" si="53"/>
        <v>16808</v>
      </c>
      <c r="P12" s="11">
        <f t="shared" si="53"/>
        <v>14183</v>
      </c>
      <c r="Q12" s="11">
        <f t="shared" si="53"/>
        <v>13803.544999999998</v>
      </c>
      <c r="R12" s="11">
        <f t="shared" si="53"/>
        <v>14907.828600000003</v>
      </c>
      <c r="S12" s="11">
        <f t="shared" si="53"/>
        <v>15355.063458000001</v>
      </c>
      <c r="Y12" s="11">
        <f>SUM(H12:K12)</f>
        <v>28819</v>
      </c>
      <c r="Z12" s="11">
        <f t="shared" si="36"/>
        <v>47428</v>
      </c>
      <c r="AA12" s="11">
        <f>SUM(P12:S12)</f>
        <v>58249.437057999996</v>
      </c>
      <c r="AB12" s="11">
        <f>AB10+AB11</f>
        <v>60640.972431479997</v>
      </c>
      <c r="AC12" s="11">
        <f t="shared" ref="AC12:AK12" si="54">AC10+AC11</f>
        <v>64279.430777368805</v>
      </c>
      <c r="AD12" s="11">
        <f t="shared" si="54"/>
        <v>68136.196624010947</v>
      </c>
      <c r="AE12" s="11">
        <f t="shared" si="54"/>
        <v>72224.368421451567</v>
      </c>
      <c r="AF12" s="11">
        <f t="shared" si="54"/>
        <v>75113.343158309668</v>
      </c>
      <c r="AG12" s="11">
        <f t="shared" si="54"/>
        <v>78117.876884642043</v>
      </c>
      <c r="AH12" s="11">
        <f t="shared" si="54"/>
        <v>81242.591960027727</v>
      </c>
      <c r="AI12" s="11">
        <f t="shared" si="54"/>
        <v>84492.295638428855</v>
      </c>
      <c r="AJ12" s="11">
        <f t="shared" si="54"/>
        <v>86604.603029389589</v>
      </c>
      <c r="AK12" s="11">
        <f t="shared" si="54"/>
        <v>88769.71810512431</v>
      </c>
    </row>
    <row r="13" spans="1:198" s="12" customFormat="1" x14ac:dyDescent="0.25">
      <c r="B13" s="12" t="s">
        <v>56</v>
      </c>
      <c r="H13" s="12">
        <v>1443</v>
      </c>
      <c r="I13" s="12">
        <v>1499</v>
      </c>
      <c r="J13" s="12">
        <v>1181</v>
      </c>
      <c r="K13" s="12">
        <v>1497</v>
      </c>
      <c r="L13" s="12">
        <v>1598</v>
      </c>
      <c r="M13" s="12">
        <v>1505</v>
      </c>
      <c r="N13" s="12">
        <v>2437</v>
      </c>
      <c r="O13" s="12">
        <v>2791</v>
      </c>
      <c r="P13" s="12">
        <v>1814</v>
      </c>
      <c r="Q13" s="12">
        <f>Q12*0.1832</f>
        <v>2528.8094439999995</v>
      </c>
      <c r="R13" s="12">
        <f t="shared" ref="R13:S13" si="55">R12*0.1832</f>
        <v>2731.1141995200005</v>
      </c>
      <c r="S13" s="12">
        <f t="shared" si="55"/>
        <v>2813.0476255056001</v>
      </c>
      <c r="Y13" s="12">
        <f t="shared" ref="Y13" si="56">SUM(H13:K13)</f>
        <v>5620</v>
      </c>
      <c r="Z13" s="12">
        <f t="shared" si="36"/>
        <v>8331</v>
      </c>
      <c r="AA13" s="12">
        <f t="shared" ref="AA13" si="57">SUM(P13:S13)</f>
        <v>9886.9712690256001</v>
      </c>
      <c r="AB13" s="12">
        <f t="shared" ref="AB13:AK13" si="58">AB12*0.1832</f>
        <v>11109.426149447136</v>
      </c>
      <c r="AC13" s="12">
        <f t="shared" si="58"/>
        <v>11775.991718413965</v>
      </c>
      <c r="AD13" s="12">
        <f t="shared" si="58"/>
        <v>12482.551221518806</v>
      </c>
      <c r="AE13" s="12">
        <f t="shared" si="58"/>
        <v>13231.504294809927</v>
      </c>
      <c r="AF13" s="12">
        <f t="shared" si="58"/>
        <v>13760.764466602332</v>
      </c>
      <c r="AG13" s="12">
        <f t="shared" si="58"/>
        <v>14311.195045266422</v>
      </c>
      <c r="AH13" s="12">
        <f t="shared" si="58"/>
        <v>14883.642847077079</v>
      </c>
      <c r="AI13" s="12">
        <f t="shared" si="58"/>
        <v>15478.988560960166</v>
      </c>
      <c r="AJ13" s="12">
        <f t="shared" si="58"/>
        <v>15865.963274984173</v>
      </c>
      <c r="AK13" s="12">
        <f t="shared" si="58"/>
        <v>16262.612356858774</v>
      </c>
    </row>
    <row r="14" spans="1:198" s="11" customFormat="1" x14ac:dyDescent="0.25">
      <c r="B14" s="11" t="s">
        <v>57</v>
      </c>
      <c r="H14" s="11">
        <f t="shared" ref="H14:S14" si="59">H12-H13</f>
        <v>7465</v>
      </c>
      <c r="I14" s="11">
        <f t="shared" si="59"/>
        <v>6687</v>
      </c>
      <c r="J14" s="11">
        <f t="shared" si="59"/>
        <v>4395</v>
      </c>
      <c r="K14" s="11">
        <f t="shared" si="59"/>
        <v>4652</v>
      </c>
      <c r="L14" s="11">
        <f t="shared" si="59"/>
        <v>5709</v>
      </c>
      <c r="M14" s="11">
        <f t="shared" si="59"/>
        <v>7788</v>
      </c>
      <c r="N14" s="11">
        <f t="shared" si="59"/>
        <v>11583</v>
      </c>
      <c r="O14" s="11">
        <f t="shared" si="59"/>
        <v>14017</v>
      </c>
      <c r="P14" s="11">
        <f t="shared" si="59"/>
        <v>12369</v>
      </c>
      <c r="Q14" s="11">
        <f t="shared" si="59"/>
        <v>11274.735556</v>
      </c>
      <c r="R14" s="11">
        <f t="shared" si="59"/>
        <v>12176.714400480003</v>
      </c>
      <c r="S14" s="11">
        <f t="shared" si="59"/>
        <v>12542.0158324944</v>
      </c>
      <c r="Y14" s="11">
        <f>SUM(H14:K14)</f>
        <v>23199</v>
      </c>
      <c r="Z14" s="11">
        <f t="shared" si="36"/>
        <v>39097</v>
      </c>
      <c r="AA14" s="11">
        <f>SUM(P14:S14)</f>
        <v>48362.465788974405</v>
      </c>
      <c r="AB14" s="11">
        <f>AB12-AB13</f>
        <v>49531.546282032861</v>
      </c>
      <c r="AC14" s="11">
        <f t="shared" ref="AC14:AK14" si="60">AC12-AC13</f>
        <v>52503.439058954842</v>
      </c>
      <c r="AD14" s="11">
        <f t="shared" si="60"/>
        <v>55653.64540249214</v>
      </c>
      <c r="AE14" s="11">
        <f t="shared" si="60"/>
        <v>58992.864126641638</v>
      </c>
      <c r="AF14" s="11">
        <f t="shared" si="60"/>
        <v>61352.578691707335</v>
      </c>
      <c r="AG14" s="11">
        <f t="shared" si="60"/>
        <v>63806.681839375618</v>
      </c>
      <c r="AH14" s="11">
        <f t="shared" si="60"/>
        <v>66358.94911295065</v>
      </c>
      <c r="AI14" s="11">
        <f t="shared" si="60"/>
        <v>69013.307077468693</v>
      </c>
      <c r="AJ14" s="11">
        <f t="shared" si="60"/>
        <v>70738.63975440542</v>
      </c>
      <c r="AK14" s="11">
        <f t="shared" si="60"/>
        <v>72507.105748265531</v>
      </c>
      <c r="AL14" s="11">
        <f>AK14*(1+$AM$37)</f>
        <v>71056.963633300213</v>
      </c>
      <c r="AM14" s="11">
        <f t="shared" ref="AM14:CX14" si="61">AL14*(1+$AM$37)</f>
        <v>69635.8243606342</v>
      </c>
      <c r="AN14" s="11">
        <f t="shared" si="61"/>
        <v>68243.107873421512</v>
      </c>
      <c r="AO14" s="11">
        <f t="shared" si="61"/>
        <v>66878.245715953075</v>
      </c>
      <c r="AP14" s="11">
        <f t="shared" si="61"/>
        <v>65540.680801634007</v>
      </c>
      <c r="AQ14" s="11">
        <f t="shared" si="61"/>
        <v>64229.867185601324</v>
      </c>
      <c r="AR14" s="11">
        <f t="shared" si="61"/>
        <v>62945.269841889298</v>
      </c>
      <c r="AS14" s="11">
        <f t="shared" si="61"/>
        <v>61686.364445051513</v>
      </c>
      <c r="AT14" s="11">
        <f t="shared" si="61"/>
        <v>60452.637156150478</v>
      </c>
      <c r="AU14" s="11">
        <f t="shared" si="61"/>
        <v>59243.584413027471</v>
      </c>
      <c r="AV14" s="11">
        <f t="shared" si="61"/>
        <v>58058.71272476692</v>
      </c>
      <c r="AW14" s="11">
        <f t="shared" si="61"/>
        <v>56897.538470271582</v>
      </c>
      <c r="AX14" s="11">
        <f t="shared" si="61"/>
        <v>55759.587700866148</v>
      </c>
      <c r="AY14" s="11">
        <f t="shared" si="61"/>
        <v>54644.395946848825</v>
      </c>
      <c r="AZ14" s="11">
        <f t="shared" si="61"/>
        <v>53551.508027911848</v>
      </c>
      <c r="BA14" s="11">
        <f t="shared" si="61"/>
        <v>52480.477867353613</v>
      </c>
      <c r="BB14" s="11">
        <f t="shared" si="61"/>
        <v>51430.868310006539</v>
      </c>
      <c r="BC14" s="11">
        <f t="shared" si="61"/>
        <v>50402.250943806408</v>
      </c>
      <c r="BD14" s="11">
        <f t="shared" si="61"/>
        <v>49394.205924930277</v>
      </c>
      <c r="BE14" s="11">
        <f t="shared" si="61"/>
        <v>48406.321806431668</v>
      </c>
      <c r="BF14" s="11">
        <f t="shared" si="61"/>
        <v>47438.19537030303</v>
      </c>
      <c r="BG14" s="11">
        <f t="shared" si="61"/>
        <v>46489.431462896966</v>
      </c>
      <c r="BH14" s="11">
        <f t="shared" si="61"/>
        <v>45559.642833639024</v>
      </c>
      <c r="BI14" s="11">
        <f t="shared" si="61"/>
        <v>44648.449976966243</v>
      </c>
      <c r="BJ14" s="11">
        <f t="shared" si="61"/>
        <v>43755.480977426916</v>
      </c>
      <c r="BK14" s="11">
        <f t="shared" si="61"/>
        <v>42880.371357878379</v>
      </c>
      <c r="BL14" s="11">
        <f t="shared" si="61"/>
        <v>42022.763930720808</v>
      </c>
      <c r="BM14" s="11">
        <f t="shared" si="61"/>
        <v>41182.308652106389</v>
      </c>
      <c r="BN14" s="11">
        <f t="shared" si="61"/>
        <v>40358.66247906426</v>
      </c>
      <c r="BO14" s="11">
        <f t="shared" si="61"/>
        <v>39551.489229482977</v>
      </c>
      <c r="BP14" s="11">
        <f t="shared" si="61"/>
        <v>38760.45944489332</v>
      </c>
      <c r="BQ14" s="11">
        <f t="shared" si="61"/>
        <v>37985.250255995452</v>
      </c>
      <c r="BR14" s="11">
        <f t="shared" si="61"/>
        <v>37225.545250875541</v>
      </c>
      <c r="BS14" s="11">
        <f t="shared" si="61"/>
        <v>36481.034345858032</v>
      </c>
      <c r="BT14" s="11">
        <f t="shared" si="61"/>
        <v>35751.413658940874</v>
      </c>
      <c r="BU14" s="11">
        <f t="shared" si="61"/>
        <v>35036.385385762056</v>
      </c>
      <c r="BV14" s="11">
        <f t="shared" si="61"/>
        <v>34335.657678046817</v>
      </c>
      <c r="BW14" s="11">
        <f t="shared" si="61"/>
        <v>33648.94452448588</v>
      </c>
      <c r="BX14" s="11">
        <f t="shared" si="61"/>
        <v>32975.965633996158</v>
      </c>
      <c r="BY14" s="11">
        <f t="shared" si="61"/>
        <v>32316.446321316234</v>
      </c>
      <c r="BZ14" s="11">
        <f t="shared" si="61"/>
        <v>31670.117394889909</v>
      </c>
      <c r="CA14" s="11">
        <f t="shared" si="61"/>
        <v>31036.715046992111</v>
      </c>
      <c r="CB14" s="11">
        <f t="shared" si="61"/>
        <v>30415.980746052268</v>
      </c>
      <c r="CC14" s="11">
        <f t="shared" si="61"/>
        <v>29807.661131131223</v>
      </c>
      <c r="CD14" s="11">
        <f t="shared" si="61"/>
        <v>29211.507908508596</v>
      </c>
      <c r="CE14" s="11">
        <f t="shared" si="61"/>
        <v>28627.277750338424</v>
      </c>
      <c r="CF14" s="11">
        <f t="shared" si="61"/>
        <v>28054.732195331657</v>
      </c>
      <c r="CG14" s="11">
        <f t="shared" si="61"/>
        <v>27493.637551425025</v>
      </c>
      <c r="CH14" s="11">
        <f t="shared" si="61"/>
        <v>26943.764800396522</v>
      </c>
      <c r="CI14" s="11">
        <f t="shared" si="61"/>
        <v>26404.889504388593</v>
      </c>
      <c r="CJ14" s="11">
        <f t="shared" si="61"/>
        <v>25876.79171430082</v>
      </c>
      <c r="CK14" s="11">
        <f t="shared" si="61"/>
        <v>25359.255880014804</v>
      </c>
      <c r="CL14" s="11">
        <f t="shared" si="61"/>
        <v>24852.070762414507</v>
      </c>
      <c r="CM14" s="11">
        <f t="shared" si="61"/>
        <v>24355.029347166215</v>
      </c>
      <c r="CN14" s="11">
        <f t="shared" si="61"/>
        <v>23867.928760222891</v>
      </c>
      <c r="CO14" s="11">
        <f t="shared" si="61"/>
        <v>23390.570185018434</v>
      </c>
      <c r="CP14" s="11">
        <f t="shared" si="61"/>
        <v>22922.758781318065</v>
      </c>
      <c r="CQ14" s="11">
        <f t="shared" si="61"/>
        <v>22464.303605691704</v>
      </c>
      <c r="CR14" s="11">
        <f t="shared" si="61"/>
        <v>22015.017533577869</v>
      </c>
      <c r="CS14" s="11">
        <f t="shared" si="61"/>
        <v>21574.717182906312</v>
      </c>
      <c r="CT14" s="11">
        <f t="shared" si="61"/>
        <v>21143.222839248185</v>
      </c>
      <c r="CU14" s="11">
        <f t="shared" si="61"/>
        <v>20720.358382463222</v>
      </c>
      <c r="CV14" s="11">
        <f t="shared" si="61"/>
        <v>20305.951214813958</v>
      </c>
      <c r="CW14" s="11">
        <f t="shared" si="61"/>
        <v>19899.832190517678</v>
      </c>
      <c r="CX14" s="11">
        <f t="shared" si="61"/>
        <v>19501.835546707323</v>
      </c>
      <c r="CY14" s="11">
        <f t="shared" ref="CY14:FJ14" si="62">CX14*(1+$AM$37)</f>
        <v>19111.798835773177</v>
      </c>
      <c r="CZ14" s="11">
        <f t="shared" si="62"/>
        <v>18729.562859057714</v>
      </c>
      <c r="DA14" s="11">
        <f t="shared" si="62"/>
        <v>18354.971601876561</v>
      </c>
      <c r="DB14" s="11">
        <f t="shared" si="62"/>
        <v>17987.872169839029</v>
      </c>
      <c r="DC14" s="11">
        <f t="shared" si="62"/>
        <v>17628.114726442247</v>
      </c>
      <c r="DD14" s="11">
        <f t="shared" si="62"/>
        <v>17275.552431913402</v>
      </c>
      <c r="DE14" s="11">
        <f t="shared" si="62"/>
        <v>16930.041383275133</v>
      </c>
      <c r="DF14" s="11">
        <f t="shared" si="62"/>
        <v>16591.440555609628</v>
      </c>
      <c r="DG14" s="11">
        <f t="shared" si="62"/>
        <v>16259.611744497435</v>
      </c>
      <c r="DH14" s="11">
        <f t="shared" si="62"/>
        <v>15934.419509607485</v>
      </c>
      <c r="DI14" s="11">
        <f t="shared" si="62"/>
        <v>15615.731119415335</v>
      </c>
      <c r="DJ14" s="11">
        <f t="shared" si="62"/>
        <v>15303.416497027029</v>
      </c>
      <c r="DK14" s="11">
        <f t="shared" si="62"/>
        <v>14997.348167086488</v>
      </c>
      <c r="DL14" s="11">
        <f t="shared" si="62"/>
        <v>14697.401203744757</v>
      </c>
      <c r="DM14" s="11">
        <f t="shared" si="62"/>
        <v>14403.453179669861</v>
      </c>
      <c r="DN14" s="11">
        <f t="shared" si="62"/>
        <v>14115.384116076464</v>
      </c>
      <c r="DO14" s="11">
        <f t="shared" si="62"/>
        <v>13833.076433754935</v>
      </c>
      <c r="DP14" s="11">
        <f t="shared" si="62"/>
        <v>13556.414905079837</v>
      </c>
      <c r="DQ14" s="11">
        <f t="shared" si="62"/>
        <v>13285.286606978239</v>
      </c>
      <c r="DR14" s="11">
        <f t="shared" si="62"/>
        <v>13019.580874838675</v>
      </c>
      <c r="DS14" s="11">
        <f t="shared" si="62"/>
        <v>12759.189257341901</v>
      </c>
      <c r="DT14" s="11">
        <f t="shared" si="62"/>
        <v>12504.005472195062</v>
      </c>
      <c r="DU14" s="11">
        <f t="shared" si="62"/>
        <v>12253.925362751161</v>
      </c>
      <c r="DV14" s="11">
        <f t="shared" si="62"/>
        <v>12008.846855496136</v>
      </c>
      <c r="DW14" s="11">
        <f t="shared" si="62"/>
        <v>11768.669918386213</v>
      </c>
      <c r="DX14" s="11">
        <f t="shared" si="62"/>
        <v>11533.296520018488</v>
      </c>
      <c r="DY14" s="11">
        <f t="shared" si="62"/>
        <v>11302.630589618118</v>
      </c>
      <c r="DZ14" s="11">
        <f t="shared" si="62"/>
        <v>11076.577977825757</v>
      </c>
      <c r="EA14" s="11">
        <f t="shared" si="62"/>
        <v>10855.046418269241</v>
      </c>
      <c r="EB14" s="11">
        <f t="shared" si="62"/>
        <v>10637.945489903856</v>
      </c>
      <c r="EC14" s="11">
        <f t="shared" si="62"/>
        <v>10425.186580105777</v>
      </c>
      <c r="ED14" s="11">
        <f t="shared" si="62"/>
        <v>10216.682848503662</v>
      </c>
      <c r="EE14" s="11">
        <f t="shared" si="62"/>
        <v>10012.349191533589</v>
      </c>
      <c r="EF14" s="11">
        <f t="shared" si="62"/>
        <v>9812.1022077029174</v>
      </c>
      <c r="EG14" s="11">
        <f t="shared" si="62"/>
        <v>9615.8601635488594</v>
      </c>
      <c r="EH14" s="11">
        <f t="shared" si="62"/>
        <v>9423.5429602778822</v>
      </c>
      <c r="EI14" s="11">
        <f t="shared" si="62"/>
        <v>9235.0721010723246</v>
      </c>
      <c r="EJ14" s="11">
        <f t="shared" si="62"/>
        <v>9050.3706590508773</v>
      </c>
      <c r="EK14" s="11">
        <f t="shared" si="62"/>
        <v>8869.3632458698594</v>
      </c>
      <c r="EL14" s="11">
        <f t="shared" si="62"/>
        <v>8691.9759809524621</v>
      </c>
      <c r="EM14" s="11">
        <f t="shared" si="62"/>
        <v>8518.1364613334135</v>
      </c>
      <c r="EN14" s="11">
        <f t="shared" si="62"/>
        <v>8347.7737321067452</v>
      </c>
      <c r="EO14" s="11">
        <f t="shared" si="62"/>
        <v>8180.8182574646098</v>
      </c>
      <c r="EP14" s="11">
        <f t="shared" si="62"/>
        <v>8017.2018923153173</v>
      </c>
      <c r="EQ14" s="11">
        <f t="shared" si="62"/>
        <v>7856.8578544690108</v>
      </c>
      <c r="ER14" s="11">
        <f t="shared" si="62"/>
        <v>7699.7206973796301</v>
      </c>
      <c r="ES14" s="11">
        <f t="shared" si="62"/>
        <v>7545.7262834320372</v>
      </c>
      <c r="ET14" s="11">
        <f t="shared" si="62"/>
        <v>7394.8117577633966</v>
      </c>
      <c r="EU14" s="11">
        <f t="shared" si="62"/>
        <v>7246.9155226081284</v>
      </c>
      <c r="EV14" s="11">
        <f t="shared" si="62"/>
        <v>7101.9772121559654</v>
      </c>
      <c r="EW14" s="11">
        <f t="shared" si="62"/>
        <v>6959.9376679128463</v>
      </c>
      <c r="EX14" s="11">
        <f t="shared" si="62"/>
        <v>6820.7389145545894</v>
      </c>
      <c r="EY14" s="11">
        <f t="shared" si="62"/>
        <v>6684.3241362634972</v>
      </c>
      <c r="EZ14" s="11">
        <f t="shared" si="62"/>
        <v>6550.6376535382269</v>
      </c>
      <c r="FA14" s="11">
        <f t="shared" si="62"/>
        <v>6419.6249004674619</v>
      </c>
      <c r="FB14" s="11">
        <f t="shared" si="62"/>
        <v>6291.2324024581121</v>
      </c>
      <c r="FC14" s="11">
        <f t="shared" si="62"/>
        <v>6165.4077544089496</v>
      </c>
      <c r="FD14" s="11">
        <f t="shared" si="62"/>
        <v>6042.0995993207707</v>
      </c>
      <c r="FE14" s="11">
        <f t="shared" si="62"/>
        <v>5921.2576073343553</v>
      </c>
      <c r="FF14" s="11">
        <f t="shared" si="62"/>
        <v>5802.8324551876676</v>
      </c>
      <c r="FG14" s="11">
        <f t="shared" si="62"/>
        <v>5686.7758060839142</v>
      </c>
      <c r="FH14" s="11">
        <f t="shared" si="62"/>
        <v>5573.0402899622359</v>
      </c>
      <c r="FI14" s="11">
        <f t="shared" si="62"/>
        <v>5461.5794841629913</v>
      </c>
      <c r="FJ14" s="11">
        <f t="shared" si="62"/>
        <v>5352.3478944797316</v>
      </c>
      <c r="FK14" s="11">
        <f t="shared" ref="FK14:GP14" si="63">FJ14*(1+$AM$37)</f>
        <v>5245.3009365901371</v>
      </c>
      <c r="FL14" s="11">
        <f t="shared" si="63"/>
        <v>5140.3949178583343</v>
      </c>
      <c r="FM14" s="11">
        <f t="shared" si="63"/>
        <v>5037.5870195011676</v>
      </c>
      <c r="FN14" s="11">
        <f t="shared" si="63"/>
        <v>4936.8352791111438</v>
      </c>
      <c r="FO14" s="11">
        <f t="shared" si="63"/>
        <v>4838.0985735289205</v>
      </c>
      <c r="FP14" s="11">
        <f t="shared" si="63"/>
        <v>4741.3366020583417</v>
      </c>
      <c r="FQ14" s="11">
        <f t="shared" si="63"/>
        <v>4646.5098700171748</v>
      </c>
      <c r="FR14" s="11">
        <f t="shared" si="63"/>
        <v>4553.579672616831</v>
      </c>
      <c r="FS14" s="11">
        <f t="shared" si="63"/>
        <v>4462.5080791644941</v>
      </c>
      <c r="FT14" s="11">
        <f t="shared" si="63"/>
        <v>4373.2579175812043</v>
      </c>
      <c r="FU14" s="11">
        <f t="shared" si="63"/>
        <v>4285.79275922958</v>
      </c>
      <c r="FV14" s="11">
        <f t="shared" si="63"/>
        <v>4200.0769040449886</v>
      </c>
      <c r="FW14" s="11">
        <f t="shared" si="63"/>
        <v>4116.0753659640886</v>
      </c>
      <c r="FX14" s="11">
        <f t="shared" si="63"/>
        <v>4033.7538586448068</v>
      </c>
      <c r="FY14" s="11">
        <f t="shared" si="63"/>
        <v>3953.0787814719106</v>
      </c>
      <c r="FZ14" s="11">
        <f t="shared" si="63"/>
        <v>3874.0172058424723</v>
      </c>
      <c r="GA14" s="11">
        <f t="shared" si="63"/>
        <v>3796.5368617256227</v>
      </c>
      <c r="GB14" s="11">
        <f t="shared" si="63"/>
        <v>3720.6061244911102</v>
      </c>
      <c r="GC14" s="11">
        <f t="shared" si="63"/>
        <v>3646.194002001288</v>
      </c>
      <c r="GD14" s="11">
        <f t="shared" si="63"/>
        <v>3573.2701219612622</v>
      </c>
      <c r="GE14" s="11">
        <f t="shared" si="63"/>
        <v>3501.804719522037</v>
      </c>
      <c r="GF14" s="11">
        <f t="shared" si="63"/>
        <v>3431.7686251315963</v>
      </c>
      <c r="GG14" s="11">
        <f t="shared" si="63"/>
        <v>3363.1332526289643</v>
      </c>
      <c r="GH14" s="11">
        <f t="shared" si="63"/>
        <v>3295.8705875763849</v>
      </c>
      <c r="GI14" s="11">
        <f t="shared" si="63"/>
        <v>3229.9531758248572</v>
      </c>
      <c r="GJ14" s="11">
        <f t="shared" si="63"/>
        <v>3165.3541123083601</v>
      </c>
      <c r="GK14" s="11">
        <f t="shared" si="63"/>
        <v>3102.0470300621928</v>
      </c>
      <c r="GL14" s="11">
        <f t="shared" si="63"/>
        <v>3040.0060894609487</v>
      </c>
      <c r="GM14" s="11">
        <f t="shared" si="63"/>
        <v>2979.2059676717295</v>
      </c>
      <c r="GN14" s="11">
        <f t="shared" si="63"/>
        <v>2919.6218483182947</v>
      </c>
      <c r="GO14" s="11">
        <f t="shared" si="63"/>
        <v>2861.2294113519288</v>
      </c>
      <c r="GP14" s="11">
        <f t="shared" si="63"/>
        <v>2804.0048231248902</v>
      </c>
    </row>
    <row r="15" spans="1:198" s="12" customFormat="1" x14ac:dyDescent="0.25">
      <c r="B15" s="12" t="s">
        <v>58</v>
      </c>
      <c r="H15" s="14">
        <f t="shared" ref="H15:P15" si="64">H14/H16</f>
        <v>2.7224653537563821</v>
      </c>
      <c r="I15" s="14">
        <f t="shared" si="64"/>
        <v>2.4647991153704387</v>
      </c>
      <c r="J15" s="14">
        <f t="shared" si="64"/>
        <v>1.6356531447711202</v>
      </c>
      <c r="K15" s="14">
        <f t="shared" si="64"/>
        <v>1.7621212121212122</v>
      </c>
      <c r="L15" s="14">
        <f t="shared" si="64"/>
        <v>2.1991525423728815</v>
      </c>
      <c r="M15" s="14">
        <f t="shared" si="64"/>
        <v>2.9816232771822357</v>
      </c>
      <c r="N15" s="14">
        <f t="shared" si="64"/>
        <v>4.3858386974630825</v>
      </c>
      <c r="O15" s="14">
        <f t="shared" si="64"/>
        <v>5.3296577946768062</v>
      </c>
      <c r="P15" s="14">
        <f t="shared" si="64"/>
        <v>4.7119999999999997</v>
      </c>
      <c r="Q15" s="14">
        <f t="shared" ref="Q15:S15" si="65">Q14/Q16</f>
        <v>4.2869716942965779</v>
      </c>
      <c r="R15" s="14">
        <f t="shared" si="65"/>
        <v>4.6299294298403053</v>
      </c>
      <c r="S15" s="14">
        <f t="shared" si="65"/>
        <v>4.7688273127355139</v>
      </c>
      <c r="Y15" s="14">
        <f t="shared" ref="Y15" si="66">SUM(H15:K15)</f>
        <v>8.5850388260191526</v>
      </c>
      <c r="Z15" s="14">
        <f t="shared" si="36"/>
        <v>14.896272311695007</v>
      </c>
      <c r="AA15" s="12">
        <f t="shared" ref="AA15" si="67">SUM(P15:S15)</f>
        <v>18.397728436872399</v>
      </c>
      <c r="AB15" s="14">
        <f t="shared" ref="AB15:AC15" si="68">AB14/AB16</f>
        <v>18.833287559708314</v>
      </c>
      <c r="AC15" s="14">
        <f t="shared" si="68"/>
        <v>19.963284813290816</v>
      </c>
      <c r="AD15" s="14">
        <f t="shared" ref="AD15" si="69">AD14/AD16</f>
        <v>21.161081902088267</v>
      </c>
      <c r="AE15" s="14">
        <f t="shared" ref="AE15" si="70">AE14/AE16</f>
        <v>22.433412383274302</v>
      </c>
      <c r="AF15" s="14">
        <f t="shared" ref="AF15" si="71">AF14/AF16</f>
        <v>23.330748878605284</v>
      </c>
      <c r="AG15" s="14">
        <f t="shared" ref="AG15" si="72">AG14/AG16</f>
        <v>23.671556979920467</v>
      </c>
      <c r="AH15" s="14">
        <f t="shared" ref="AH15" si="73">AH14/AH16</f>
        <v>24.969267339429244</v>
      </c>
      <c r="AI15" s="14">
        <f t="shared" ref="AI15" si="74">AI14/AI16</f>
        <v>26.062427144059175</v>
      </c>
      <c r="AJ15" s="14">
        <f t="shared" ref="AJ15" si="75">AJ14/AJ16</f>
        <v>26.759462740459778</v>
      </c>
      <c r="AK15" s="14">
        <f t="shared" ref="AK15" si="76">AK14/AK16</f>
        <v>27.599412189471582</v>
      </c>
    </row>
    <row r="16" spans="1:198" s="12" customFormat="1" x14ac:dyDescent="0.25">
      <c r="B16" s="12" t="s">
        <v>3</v>
      </c>
      <c r="H16" s="12">
        <v>2742</v>
      </c>
      <c r="I16" s="12">
        <v>2713</v>
      </c>
      <c r="J16" s="12">
        <v>2687</v>
      </c>
      <c r="K16" s="12">
        <v>2640</v>
      </c>
      <c r="L16" s="12">
        <v>2596</v>
      </c>
      <c r="M16" s="12">
        <v>2612</v>
      </c>
      <c r="N16" s="12">
        <v>2641</v>
      </c>
      <c r="O16" s="12">
        <v>2630</v>
      </c>
      <c r="P16" s="12">
        <v>2625</v>
      </c>
      <c r="Q16" s="12">
        <v>2630</v>
      </c>
      <c r="R16" s="12">
        <v>2630</v>
      </c>
      <c r="S16" s="12">
        <v>2630</v>
      </c>
      <c r="Y16" s="12">
        <f>AVERAGE(H16:K16)</f>
        <v>2695.5</v>
      </c>
      <c r="Z16" s="12">
        <f>AVERAGE(L16:O16)</f>
        <v>2619.75</v>
      </c>
      <c r="AA16" s="12">
        <f>AVERAGE(P16:S16)</f>
        <v>2628.75</v>
      </c>
      <c r="AB16" s="12">
        <f t="shared" ref="AB16:AK16" si="77">AVERAGE(Q16:T16)</f>
        <v>2630</v>
      </c>
      <c r="AC16" s="12">
        <f t="shared" si="77"/>
        <v>2630</v>
      </c>
      <c r="AD16" s="12">
        <f t="shared" si="77"/>
        <v>2630</v>
      </c>
      <c r="AE16" s="12">
        <f>AVERAGE(AA16:AD16)</f>
        <v>2629.6875</v>
      </c>
      <c r="AF16" s="12">
        <f>AVERAGE(AA16:AD16)</f>
        <v>2629.6875</v>
      </c>
      <c r="AG16" s="12">
        <f t="shared" si="77"/>
        <v>2695.5</v>
      </c>
      <c r="AH16" s="12">
        <f t="shared" si="77"/>
        <v>2657.625</v>
      </c>
      <c r="AI16" s="12">
        <f t="shared" si="77"/>
        <v>2648</v>
      </c>
      <c r="AJ16" s="12">
        <f t="shared" si="77"/>
        <v>2643.5</v>
      </c>
      <c r="AK16" s="12">
        <f t="shared" si="77"/>
        <v>2627.125</v>
      </c>
    </row>
    <row r="17" spans="2:37" s="12" customFormat="1" x14ac:dyDescent="0.25"/>
    <row r="18" spans="2:37" s="12" customFormat="1" x14ac:dyDescent="0.25">
      <c r="B18" s="12" t="s">
        <v>47</v>
      </c>
      <c r="H18" s="30">
        <f t="shared" ref="H18:O18" si="78">H4/H3</f>
        <v>0.21517127705317471</v>
      </c>
      <c r="I18" s="30">
        <f t="shared" si="78"/>
        <v>0.18014017070293525</v>
      </c>
      <c r="J18" s="30">
        <f t="shared" si="78"/>
        <v>0.20624954896442232</v>
      </c>
      <c r="K18" s="30">
        <f t="shared" si="78"/>
        <v>0.25916368723768068</v>
      </c>
      <c r="L18" s="30">
        <f t="shared" si="78"/>
        <v>0.21323093035433757</v>
      </c>
      <c r="M18" s="30">
        <f t="shared" si="78"/>
        <v>0.18578705584549518</v>
      </c>
      <c r="N18" s="30">
        <f t="shared" si="78"/>
        <v>0.18186610437532946</v>
      </c>
      <c r="O18" s="30">
        <f t="shared" si="78"/>
        <v>0.19184263668320412</v>
      </c>
      <c r="P18" s="30">
        <f>P4/P3</f>
        <v>0.18214236730215333</v>
      </c>
    </row>
    <row r="19" spans="2:37" s="12" customFormat="1" x14ac:dyDescent="0.25">
      <c r="B19" s="12" t="s">
        <v>49</v>
      </c>
      <c r="H19" s="30">
        <f t="shared" ref="H19:O19" si="79">H6/H3</f>
        <v>0.27615737422961156</v>
      </c>
      <c r="I19" s="30">
        <f t="shared" si="79"/>
        <v>0.30150579418499757</v>
      </c>
      <c r="J19" s="30">
        <f t="shared" si="79"/>
        <v>0.33087969979071952</v>
      </c>
      <c r="K19" s="30">
        <f t="shared" si="79"/>
        <v>0.30377739779263174</v>
      </c>
      <c r="L19" s="30">
        <f t="shared" si="79"/>
        <v>0.32749170884971202</v>
      </c>
      <c r="M19" s="30">
        <f t="shared" si="79"/>
        <v>0.29200912528516515</v>
      </c>
      <c r="N19" s="30">
        <f t="shared" si="79"/>
        <v>0.27063199203420607</v>
      </c>
      <c r="O19" s="30">
        <f t="shared" si="79"/>
        <v>0.26219740220887039</v>
      </c>
      <c r="P19" s="30">
        <f>P6/P3</f>
        <v>0.27370731038266355</v>
      </c>
    </row>
    <row r="20" spans="2:37" s="12" customFormat="1" x14ac:dyDescent="0.25">
      <c r="B20" s="12" t="s">
        <v>136</v>
      </c>
      <c r="H20" s="30">
        <f t="shared" ref="H20:O20" si="80">H7/H3</f>
        <v>0.11867564855955282</v>
      </c>
      <c r="I20" s="30">
        <f t="shared" si="80"/>
        <v>0.12473110818125044</v>
      </c>
      <c r="J20" s="30">
        <f t="shared" si="80"/>
        <v>0.13639315869235766</v>
      </c>
      <c r="K20" s="30">
        <f t="shared" si="80"/>
        <v>0.142204259288046</v>
      </c>
      <c r="L20" s="30">
        <f t="shared" si="80"/>
        <v>0.10626636411241054</v>
      </c>
      <c r="M20" s="30">
        <f t="shared" si="80"/>
        <v>9.8565580174380454E-2</v>
      </c>
      <c r="N20" s="30">
        <f t="shared" si="80"/>
        <v>8.4255842558425581E-2</v>
      </c>
      <c r="O20" s="30">
        <f t="shared" si="80"/>
        <v>8.0426815586746775E-2</v>
      </c>
      <c r="P20" s="30">
        <f>P7/P3</f>
        <v>7.0333287614867651E-2</v>
      </c>
    </row>
    <row r="21" spans="2:37" s="12" customFormat="1" x14ac:dyDescent="0.25">
      <c r="B21" s="12" t="s">
        <v>137</v>
      </c>
      <c r="H21" s="30">
        <f t="shared" ref="H21:O21" si="81">H8/H3</f>
        <v>8.4563566002579901E-2</v>
      </c>
      <c r="I21" s="30">
        <f t="shared" si="81"/>
        <v>0.1036361113038651</v>
      </c>
      <c r="J21" s="30">
        <f t="shared" si="81"/>
        <v>0.12210435159125352</v>
      </c>
      <c r="K21" s="30">
        <f t="shared" si="81"/>
        <v>9.5911705269703093E-2</v>
      </c>
      <c r="L21" s="30">
        <f t="shared" si="81"/>
        <v>0.10071565718275441</v>
      </c>
      <c r="M21" s="30">
        <f t="shared" si="81"/>
        <v>0.13012906653332917</v>
      </c>
      <c r="N21" s="30">
        <f t="shared" si="81"/>
        <v>6.062203479177649E-2</v>
      </c>
      <c r="O21" s="30">
        <f t="shared" si="81"/>
        <v>5.7066640073795215E-2</v>
      </c>
      <c r="P21" s="30">
        <f>P8/P3</f>
        <v>9.4774379371828282E-2</v>
      </c>
    </row>
    <row r="22" spans="2:37" s="12" customFormat="1" x14ac:dyDescent="0.25">
      <c r="B22" s="12" t="s">
        <v>138</v>
      </c>
      <c r="H22" s="30">
        <f t="shared" ref="H22:O22" si="82">H11/H3</f>
        <v>1.3759495485165543E-2</v>
      </c>
      <c r="I22" s="30">
        <f t="shared" si="82"/>
        <v>-5.9676635903129554E-3</v>
      </c>
      <c r="J22" s="30">
        <f t="shared" si="82"/>
        <v>-3.1752904669120302E-3</v>
      </c>
      <c r="K22" s="30">
        <f t="shared" si="82"/>
        <v>-7.7724234416291001E-3</v>
      </c>
      <c r="L22" s="30">
        <f t="shared" si="82"/>
        <v>2.7928085180659802E-3</v>
      </c>
      <c r="M22" s="30">
        <f t="shared" si="82"/>
        <v>-3.0938466827088347E-3</v>
      </c>
      <c r="N22" s="30">
        <f t="shared" si="82"/>
        <v>7.9657939436537217E-3</v>
      </c>
      <c r="O22" s="30">
        <f t="shared" si="82"/>
        <v>1.0570666400737953E-2</v>
      </c>
      <c r="P22" s="30">
        <f>P11/P3</f>
        <v>1.0012343985735838E-2</v>
      </c>
      <c r="Q22" s="30">
        <f>Q11/Q3</f>
        <v>2.8E-3</v>
      </c>
    </row>
    <row r="23" spans="2:37" s="12" customFormat="1" x14ac:dyDescent="0.25"/>
    <row r="24" spans="2:37" s="12" customFormat="1" x14ac:dyDescent="0.25"/>
    <row r="25" spans="2:37" s="12" customFormat="1" x14ac:dyDescent="0.25"/>
    <row r="26" spans="2:37" s="12" customFormat="1" x14ac:dyDescent="0.25"/>
    <row r="27" spans="2:37" s="12" customFormat="1" x14ac:dyDescent="0.25"/>
    <row r="28" spans="2:37" s="12" customFormat="1" x14ac:dyDescent="0.25"/>
    <row r="29" spans="2:37" s="12" customFormat="1" x14ac:dyDescent="0.25"/>
    <row r="30" spans="2:37" s="15" customFormat="1" ht="14.4" x14ac:dyDescent="0.3">
      <c r="B30" s="15" t="s">
        <v>59</v>
      </c>
      <c r="H30" s="16"/>
      <c r="I30" s="16"/>
      <c r="J30" s="16"/>
      <c r="K30" s="16"/>
      <c r="L30" s="16">
        <f t="shared" ref="L30:N30" si="83">L3/H3-1</f>
        <v>2.6408198366060009E-2</v>
      </c>
      <c r="M30" s="16">
        <f t="shared" si="83"/>
        <v>0.11022829782804799</v>
      </c>
      <c r="N30" s="16">
        <f t="shared" si="83"/>
        <v>0.23208486685429741</v>
      </c>
      <c r="O30" s="16">
        <f>O3/K3-1</f>
        <v>0.24703870666873939</v>
      </c>
      <c r="P30" s="16">
        <f t="shared" ref="P30:S30" si="84">P3/L3-1</f>
        <v>0.27264793157619138</v>
      </c>
      <c r="Q30" s="16">
        <f t="shared" si="84"/>
        <v>0.19659989374667952</v>
      </c>
      <c r="R30" s="16">
        <f t="shared" si="84"/>
        <v>0.21107011070110704</v>
      </c>
      <c r="S30" s="16">
        <f t="shared" si="84"/>
        <v>6.1898132681807994E-2</v>
      </c>
      <c r="Z30" s="16">
        <f>Z3/Y3-1</f>
        <v>0.15686610810486323</v>
      </c>
      <c r="AA30" s="16">
        <f>AA3/Z3-1</f>
        <v>0.17635892988191348</v>
      </c>
      <c r="AB30" s="16">
        <f t="shared" ref="AB30:AK30" si="85">AB3/AA3-1</f>
        <v>6.0000000000000053E-2</v>
      </c>
      <c r="AC30" s="16">
        <f t="shared" si="85"/>
        <v>6.0000000000000053E-2</v>
      </c>
      <c r="AD30" s="16">
        <f t="shared" si="85"/>
        <v>6.0000000000000053E-2</v>
      </c>
      <c r="AE30" s="16">
        <f t="shared" si="85"/>
        <v>6.0000000000000053E-2</v>
      </c>
      <c r="AF30" s="16">
        <f t="shared" si="85"/>
        <v>4.0000000000000036E-2</v>
      </c>
      <c r="AG30" s="16">
        <f t="shared" si="85"/>
        <v>4.0000000000000036E-2</v>
      </c>
      <c r="AH30" s="16">
        <f t="shared" si="85"/>
        <v>4.0000000000000036E-2</v>
      </c>
      <c r="AI30" s="16">
        <f t="shared" si="85"/>
        <v>4.0000000000000036E-2</v>
      </c>
      <c r="AJ30" s="16">
        <f t="shared" si="85"/>
        <v>2.4999999999999911E-2</v>
      </c>
      <c r="AK30" s="16">
        <f t="shared" si="85"/>
        <v>2.4999999999999911E-2</v>
      </c>
    </row>
    <row r="31" spans="2:37" s="17" customFormat="1" ht="14.4" x14ac:dyDescent="0.3">
      <c r="B31" s="17" t="s">
        <v>60</v>
      </c>
      <c r="H31" s="18"/>
      <c r="I31" s="18">
        <f t="shared" ref="I31:N31" si="86">I3/H3-1</f>
        <v>3.2750465816253405E-2</v>
      </c>
      <c r="J31" s="18">
        <f t="shared" si="86"/>
        <v>-3.8442856151550853E-2</v>
      </c>
      <c r="K31" s="18">
        <f t="shared" si="86"/>
        <v>0.1606047485025619</v>
      </c>
      <c r="L31" s="18">
        <f t="shared" si="86"/>
        <v>-0.10943572205813767</v>
      </c>
      <c r="M31" s="18">
        <f t="shared" si="86"/>
        <v>0.1170884971199162</v>
      </c>
      <c r="N31" s="18">
        <f t="shared" si="86"/>
        <v>6.7095846745210741E-2</v>
      </c>
      <c r="O31" s="18">
        <f>O3/N3-1</f>
        <v>0.17469103262461205</v>
      </c>
      <c r="P31" s="18">
        <f t="shared" ref="P31:S31" si="87">P3/O3-1</f>
        <v>-9.1147066889382011E-2</v>
      </c>
      <c r="Q31" s="18">
        <f t="shared" si="87"/>
        <v>5.03360307228089E-2</v>
      </c>
      <c r="R31" s="18">
        <f t="shared" si="87"/>
        <v>8.0000000000000071E-2</v>
      </c>
      <c r="S31" s="18">
        <f t="shared" si="87"/>
        <v>3.0000000000000027E-2</v>
      </c>
    </row>
    <row r="32" spans="2:37" s="12" customFormat="1" x14ac:dyDescent="0.25"/>
    <row r="33" spans="2:39" s="15" customFormat="1" ht="14.4" x14ac:dyDescent="0.3">
      <c r="B33" s="15" t="s">
        <v>61</v>
      </c>
      <c r="H33" s="16">
        <f t="shared" ref="H33:N33" si="88">H5/H3</f>
        <v>0.78482872294682526</v>
      </c>
      <c r="I33" s="16">
        <f t="shared" si="88"/>
        <v>0.81985982929706469</v>
      </c>
      <c r="J33" s="16">
        <f t="shared" si="88"/>
        <v>0.79375045103557773</v>
      </c>
      <c r="K33" s="16">
        <f t="shared" si="88"/>
        <v>0.74083631276231932</v>
      </c>
      <c r="L33" s="16">
        <f t="shared" si="88"/>
        <v>0.7867690696456624</v>
      </c>
      <c r="M33" s="16">
        <f t="shared" si="88"/>
        <v>0.81421294415450485</v>
      </c>
      <c r="N33" s="16">
        <f t="shared" si="88"/>
        <v>0.81813389562467054</v>
      </c>
      <c r="O33" s="16">
        <f>O5/O3</f>
        <v>0.80815736331679588</v>
      </c>
      <c r="P33" s="16">
        <f>P5/P3</f>
        <v>0.81785763269784661</v>
      </c>
      <c r="Q33" s="16">
        <f t="shared" ref="Q33:S33" si="89">Q5/Q3</f>
        <v>0.80900000000000005</v>
      </c>
      <c r="R33" s="16">
        <f t="shared" si="89"/>
        <v>0.80900000000000005</v>
      </c>
      <c r="S33" s="16">
        <f t="shared" si="89"/>
        <v>0.80900000000000005</v>
      </c>
      <c r="Y33" s="16">
        <f>Y5/Y3</f>
        <v>0.78347297378418479</v>
      </c>
      <c r="Z33" s="16">
        <f>Z5/Z3</f>
        <v>0.80757740861817184</v>
      </c>
      <c r="AA33" s="16">
        <f>AA5/AA3</f>
        <v>0.81103479071496465</v>
      </c>
      <c r="AB33" s="16">
        <f t="shared" ref="AB33:AK33" si="90">AB5/AB3</f>
        <v>0.80899999999999994</v>
      </c>
      <c r="AC33" s="16">
        <f t="shared" si="90"/>
        <v>0.80899999999999994</v>
      </c>
      <c r="AD33" s="16">
        <f t="shared" si="90"/>
        <v>0.80899999999999994</v>
      </c>
      <c r="AE33" s="16">
        <f t="shared" si="90"/>
        <v>0.80900000000000005</v>
      </c>
      <c r="AF33" s="16">
        <f t="shared" si="90"/>
        <v>0.80899999999999994</v>
      </c>
      <c r="AG33" s="16">
        <f t="shared" si="90"/>
        <v>0.80899999999999994</v>
      </c>
      <c r="AH33" s="16">
        <f t="shared" si="90"/>
        <v>0.80900000000000005</v>
      </c>
      <c r="AI33" s="16">
        <f t="shared" si="90"/>
        <v>0.80899999999999994</v>
      </c>
      <c r="AJ33" s="16">
        <f t="shared" si="90"/>
        <v>0.80899999999999994</v>
      </c>
      <c r="AK33" s="16">
        <f t="shared" si="90"/>
        <v>0.80900000000000005</v>
      </c>
    </row>
    <row r="34" spans="2:39" s="19" customFormat="1" ht="14.4" x14ac:dyDescent="0.3">
      <c r="B34" s="19" t="s">
        <v>62</v>
      </c>
      <c r="H34" s="20">
        <f t="shared" ref="H34:N34" si="91">H10/H3</f>
        <v>0.30543213415508097</v>
      </c>
      <c r="I34" s="20">
        <f t="shared" si="91"/>
        <v>0.28998681562695161</v>
      </c>
      <c r="J34" s="20">
        <f t="shared" si="91"/>
        <v>0.20437324096124701</v>
      </c>
      <c r="K34" s="20">
        <f t="shared" si="91"/>
        <v>0.19894295041193844</v>
      </c>
      <c r="L34" s="20">
        <f t="shared" si="91"/>
        <v>0.25229533950078548</v>
      </c>
      <c r="M34" s="20">
        <f t="shared" si="91"/>
        <v>0.29350917216163003</v>
      </c>
      <c r="N34" s="20">
        <f t="shared" si="91"/>
        <v>0.40262402624026239</v>
      </c>
      <c r="O34" s="20">
        <f>O10/O3</f>
        <v>0.4084665054473835</v>
      </c>
      <c r="P34" s="20">
        <f>P10/P3</f>
        <v>0.37904265532848719</v>
      </c>
      <c r="Q34" s="20">
        <f t="shared" ref="Q34:S34" si="92">Q10/Q3</f>
        <v>0.35769999999999996</v>
      </c>
      <c r="R34" s="20">
        <f t="shared" si="92"/>
        <v>0.35770000000000002</v>
      </c>
      <c r="S34" s="20">
        <f t="shared" si="92"/>
        <v>0.35770000000000002</v>
      </c>
      <c r="Y34" s="20">
        <f>Y10/Y3</f>
        <v>0.24822269293107735</v>
      </c>
      <c r="Z34" s="20">
        <f>Z10/Z3</f>
        <v>0.34655784612419477</v>
      </c>
      <c r="AA34" s="20">
        <f>AA10/AA3</f>
        <v>0.36260287172391475</v>
      </c>
      <c r="AB34" s="20">
        <f t="shared" ref="AB34:AK34" si="93">AB10/AB3</f>
        <v>0.35769999999999996</v>
      </c>
      <c r="AC34" s="20">
        <f t="shared" si="93"/>
        <v>0.35769999999999996</v>
      </c>
      <c r="AD34" s="20">
        <f t="shared" si="93"/>
        <v>0.35770000000000002</v>
      </c>
      <c r="AE34" s="20">
        <f t="shared" si="93"/>
        <v>0.35769999999999985</v>
      </c>
      <c r="AF34" s="20">
        <f t="shared" si="93"/>
        <v>0.35770000000000002</v>
      </c>
      <c r="AG34" s="20">
        <f t="shared" si="93"/>
        <v>0.35769999999999996</v>
      </c>
      <c r="AH34" s="20">
        <f t="shared" si="93"/>
        <v>0.35769999999999991</v>
      </c>
      <c r="AI34" s="20">
        <f t="shared" si="93"/>
        <v>0.35770000000000002</v>
      </c>
      <c r="AJ34" s="20">
        <f t="shared" si="93"/>
        <v>0.35770000000000007</v>
      </c>
      <c r="AK34" s="20">
        <f t="shared" si="93"/>
        <v>0.35770000000000002</v>
      </c>
    </row>
    <row r="35" spans="2:39" s="19" customFormat="1" ht="14.4" x14ac:dyDescent="0.3">
      <c r="B35" s="19" t="s">
        <v>63</v>
      </c>
      <c r="H35" s="20">
        <f t="shared" ref="H35:N35" si="94">H14/H3</f>
        <v>0.26748602551239786</v>
      </c>
      <c r="I35" s="20">
        <f t="shared" si="94"/>
        <v>0.23201026993269031</v>
      </c>
      <c r="J35" s="20">
        <f t="shared" si="94"/>
        <v>0.15858410911452694</v>
      </c>
      <c r="K35" s="20">
        <f t="shared" si="94"/>
        <v>0.1446292554018343</v>
      </c>
      <c r="L35" s="20">
        <f t="shared" si="94"/>
        <v>0.19930179787048349</v>
      </c>
      <c r="M35" s="20">
        <f t="shared" si="94"/>
        <v>0.24338260570642833</v>
      </c>
      <c r="N35" s="20">
        <f t="shared" si="94"/>
        <v>0.33921982076963625</v>
      </c>
      <c r="O35" s="20">
        <f>O14/O3</f>
        <v>0.34945526164892421</v>
      </c>
      <c r="P35" s="20">
        <f>P14/P3</f>
        <v>0.33929502125908656</v>
      </c>
      <c r="Q35" s="20">
        <f t="shared" ref="Q35:S35" si="95">Q14/Q3</f>
        <v>0.29445640000000001</v>
      </c>
      <c r="R35" s="20">
        <f t="shared" si="95"/>
        <v>0.29445640000000006</v>
      </c>
      <c r="S35" s="20">
        <f t="shared" si="95"/>
        <v>0.29445640000000001</v>
      </c>
      <c r="Y35" s="20">
        <f>Y14/Y3</f>
        <v>0.19894690804311846</v>
      </c>
      <c r="Z35" s="20">
        <f>Z14/Z3</f>
        <v>0.28981994203156392</v>
      </c>
      <c r="AA35" s="20">
        <f>AA14/AA3</f>
        <v>0.30475680568649727</v>
      </c>
      <c r="AB35" s="20">
        <f t="shared" ref="AB35:AK35" si="96">AB14/AB3</f>
        <v>0.29445639999999995</v>
      </c>
      <c r="AC35" s="20">
        <f t="shared" si="96"/>
        <v>0.29445640000000001</v>
      </c>
      <c r="AD35" s="20">
        <f t="shared" si="96"/>
        <v>0.29445640000000006</v>
      </c>
      <c r="AE35" s="20">
        <f t="shared" si="96"/>
        <v>0.2944563999999999</v>
      </c>
      <c r="AF35" s="20">
        <f t="shared" si="96"/>
        <v>0.29445640000000001</v>
      </c>
      <c r="AG35" s="20">
        <f t="shared" si="96"/>
        <v>0.29445639999999995</v>
      </c>
      <c r="AH35" s="20">
        <f t="shared" si="96"/>
        <v>0.29445639999999995</v>
      </c>
      <c r="AI35" s="20">
        <f t="shared" si="96"/>
        <v>0.29445640000000001</v>
      </c>
      <c r="AJ35" s="20">
        <f t="shared" si="96"/>
        <v>0.29445640000000006</v>
      </c>
      <c r="AK35" s="20">
        <f t="shared" si="96"/>
        <v>0.29445640000000001</v>
      </c>
    </row>
    <row r="36" spans="2:39" s="17" customFormat="1" ht="14.4" x14ac:dyDescent="0.3">
      <c r="B36" s="17" t="s">
        <v>64</v>
      </c>
      <c r="H36" s="31">
        <f t="shared" ref="H36:N36" si="97">H13/H12</f>
        <v>0.1619892231701841</v>
      </c>
      <c r="I36" s="31">
        <f t="shared" si="97"/>
        <v>0.18311751771316884</v>
      </c>
      <c r="J36" s="31">
        <f t="shared" si="97"/>
        <v>0.21180057388809181</v>
      </c>
      <c r="K36" s="31">
        <f t="shared" si="97"/>
        <v>0.24345422019840623</v>
      </c>
      <c r="L36" s="31">
        <f t="shared" si="97"/>
        <v>0.21869440262761736</v>
      </c>
      <c r="M36" s="31">
        <f t="shared" si="97"/>
        <v>0.16194985472936618</v>
      </c>
      <c r="N36" s="31">
        <f t="shared" si="97"/>
        <v>0.1738231098430813</v>
      </c>
      <c r="O36" s="31">
        <f>O13/O12</f>
        <v>0.16605188005711566</v>
      </c>
      <c r="P36" s="31">
        <f>P13/P12</f>
        <v>0.12789959811041388</v>
      </c>
      <c r="Q36" s="18">
        <f t="shared" ref="Q36:S36" si="98">Q13/Q12</f>
        <v>0.1832</v>
      </c>
      <c r="R36" s="18">
        <f t="shared" si="98"/>
        <v>0.1832</v>
      </c>
      <c r="S36" s="18">
        <f t="shared" si="98"/>
        <v>0.1832</v>
      </c>
      <c r="Y36" s="18">
        <f>Y13/Y12</f>
        <v>0.19501023630243935</v>
      </c>
      <c r="Z36" s="18">
        <f>Z13/Z12</f>
        <v>0.17565573079193725</v>
      </c>
      <c r="AA36" s="18">
        <f>AA13/AA12</f>
        <v>0.16973505270413117</v>
      </c>
      <c r="AB36" s="18">
        <f t="shared" ref="AB36:AK36" si="99">AB13/AB12</f>
        <v>0.1832</v>
      </c>
      <c r="AC36" s="18">
        <f t="shared" si="99"/>
        <v>0.1832</v>
      </c>
      <c r="AD36" s="18">
        <f t="shared" si="99"/>
        <v>0.1832</v>
      </c>
      <c r="AE36" s="18">
        <f t="shared" si="99"/>
        <v>0.1832</v>
      </c>
      <c r="AF36" s="18">
        <f t="shared" si="99"/>
        <v>0.1832</v>
      </c>
      <c r="AG36" s="18">
        <f t="shared" si="99"/>
        <v>0.1832</v>
      </c>
      <c r="AH36" s="18">
        <f t="shared" si="99"/>
        <v>0.1832</v>
      </c>
      <c r="AI36" s="18">
        <f t="shared" si="99"/>
        <v>0.1832</v>
      </c>
      <c r="AJ36" s="18">
        <f t="shared" si="99"/>
        <v>0.1832</v>
      </c>
      <c r="AK36" s="18">
        <f t="shared" si="99"/>
        <v>0.1832</v>
      </c>
    </row>
    <row r="37" spans="2:39" s="19" customFormat="1" ht="14.4" x14ac:dyDescent="0.3">
      <c r="H37" s="20"/>
      <c r="I37" s="20"/>
      <c r="J37" s="20"/>
      <c r="K37" s="20"/>
      <c r="L37" s="20"/>
      <c r="M37" s="20"/>
      <c r="N37" s="20"/>
      <c r="O37" s="20"/>
      <c r="AL37" s="19" t="s">
        <v>129</v>
      </c>
      <c r="AM37" s="20">
        <v>-0.02</v>
      </c>
    </row>
    <row r="38" spans="2:39" s="19" customFormat="1" ht="14.4" x14ac:dyDescent="0.3">
      <c r="B38" s="19" t="s">
        <v>65</v>
      </c>
      <c r="H38" s="20"/>
      <c r="I38" s="20"/>
      <c r="J38" s="20"/>
      <c r="K38" s="20"/>
      <c r="L38" s="20"/>
      <c r="M38" s="20"/>
      <c r="N38" s="20"/>
      <c r="O38" s="21">
        <f>O14/O115</f>
        <v>6.6980775939102302E-2</v>
      </c>
      <c r="P38" s="21">
        <f>P14/P115</f>
        <v>5.6516290869962044E-2</v>
      </c>
      <c r="Z38" s="22">
        <f>Z14/Z115</f>
        <v>0.18682652471221251</v>
      </c>
      <c r="AL38" s="19" t="s">
        <v>130</v>
      </c>
      <c r="AM38" s="22">
        <v>3.6799999999999999E-2</v>
      </c>
    </row>
    <row r="39" spans="2:39" s="19" customFormat="1" ht="14.4" x14ac:dyDescent="0.3">
      <c r="B39" s="19" t="s">
        <v>66</v>
      </c>
      <c r="H39" s="20"/>
      <c r="I39" s="20"/>
      <c r="J39" s="20"/>
      <c r="K39" s="20"/>
      <c r="L39" s="22">
        <f>L14/L67</f>
        <v>4.5747025121198763E-2</v>
      </c>
      <c r="M39" s="22">
        <f>M14/M67</f>
        <v>5.8105093521744644E-2</v>
      </c>
      <c r="N39" s="22">
        <f>N14/N67</f>
        <v>8.1072001007888125E-2</v>
      </c>
      <c r="O39" s="22">
        <f>O14/O67</f>
        <v>9.1513893241408129E-2</v>
      </c>
      <c r="P39" s="22">
        <f>P14/P67</f>
        <v>8.271973998354834E-2</v>
      </c>
      <c r="Z39" s="22">
        <f>Z14/Z67</f>
        <v>0.25525566698004803</v>
      </c>
      <c r="AL39" s="19" t="s">
        <v>131</v>
      </c>
      <c r="AM39" s="19">
        <f>NPV(AM38,AA14:GP14)</f>
        <v>1374280.9735036131</v>
      </c>
    </row>
    <row r="40" spans="2:39" s="19" customFormat="1" ht="14.4" x14ac:dyDescent="0.3">
      <c r="B40" s="19" t="s">
        <v>67</v>
      </c>
      <c r="H40" s="20"/>
      <c r="I40" s="20"/>
      <c r="J40" s="20"/>
      <c r="K40" s="20"/>
      <c r="L40" s="20">
        <f t="shared" ref="L40:M40" si="100">L122/L121</f>
        <v>3.9332229621341815E-2</v>
      </c>
      <c r="M40" s="20">
        <f t="shared" si="100"/>
        <v>4.8747503867003127E-2</v>
      </c>
      <c r="N40" s="20">
        <f>N122/N121</f>
        <v>6.7597944889079234E-2</v>
      </c>
      <c r="O40" s="21">
        <f>O122/O121</f>
        <v>7.5239848440754944E-2</v>
      </c>
      <c r="P40" s="21">
        <f>P122/P121</f>
        <v>7.0955658780399111E-2</v>
      </c>
      <c r="Z40" s="22">
        <f>Z122/Z121</f>
        <v>0.21120803495249132</v>
      </c>
      <c r="AL40" s="19" t="s">
        <v>5</v>
      </c>
      <c r="AM40" s="19">
        <f>Model!L5</f>
        <v>22537</v>
      </c>
    </row>
    <row r="41" spans="2:39" s="19" customFormat="1" ht="14.4" x14ac:dyDescent="0.3">
      <c r="B41" s="19" t="s">
        <v>68</v>
      </c>
      <c r="H41" s="20"/>
      <c r="I41" s="20"/>
      <c r="J41" s="20"/>
      <c r="K41" s="20"/>
      <c r="L41" s="20"/>
      <c r="M41" s="20"/>
      <c r="N41" s="20"/>
      <c r="O41" s="20"/>
      <c r="Z41" s="22">
        <v>8.5400000000000004E-2</v>
      </c>
      <c r="AL41" s="19" t="s">
        <v>132</v>
      </c>
      <c r="AM41" s="19">
        <f>AM39-AM40</f>
        <v>1351743.9735036131</v>
      </c>
    </row>
    <row r="42" spans="2:39" ht="14.4" x14ac:dyDescent="0.3">
      <c r="AL42" s="19" t="s">
        <v>133</v>
      </c>
      <c r="AM42" s="32">
        <f>AM41/Main!L3</f>
        <v>530.21960172009358</v>
      </c>
    </row>
    <row r="43" spans="2:39" s="24" customFormat="1" x14ac:dyDescent="0.25">
      <c r="B43" s="23" t="s">
        <v>8</v>
      </c>
      <c r="L43" s="23">
        <f t="shared" ref="L43:N43" si="101">L45-L44</f>
        <v>27514</v>
      </c>
      <c r="M43" s="23">
        <f t="shared" si="101"/>
        <v>35064</v>
      </c>
      <c r="N43" s="23">
        <f t="shared" si="101"/>
        <v>42740</v>
      </c>
      <c r="O43" s="23">
        <f>O45-O44</f>
        <v>47018</v>
      </c>
      <c r="P43" s="23">
        <f>P45-P44</f>
        <v>39733</v>
      </c>
      <c r="Q43" s="23">
        <f>Q45-Q44</f>
        <v>0</v>
      </c>
      <c r="R43" s="23">
        <f>R45-R44</f>
        <v>0</v>
      </c>
      <c r="S43" s="23">
        <f>S45-S44</f>
        <v>0</v>
      </c>
      <c r="Z43" s="23">
        <f>Z45-Z44</f>
        <v>47018</v>
      </c>
    </row>
    <row r="44" spans="2:39" s="25" customFormat="1" ht="14.4" x14ac:dyDescent="0.3">
      <c r="B44" s="17" t="s">
        <v>6</v>
      </c>
      <c r="L44" s="17">
        <f t="shared" ref="L44:N44" si="102">L62</f>
        <v>9925</v>
      </c>
      <c r="M44" s="17">
        <f t="shared" si="102"/>
        <v>18382</v>
      </c>
      <c r="N44" s="17">
        <f t="shared" si="102"/>
        <v>18383</v>
      </c>
      <c r="O44" s="17">
        <f>O62</f>
        <v>18385</v>
      </c>
      <c r="P44" s="17">
        <f>P62</f>
        <v>18387</v>
      </c>
      <c r="Q44" s="17">
        <f>Q62</f>
        <v>0</v>
      </c>
      <c r="R44" s="17">
        <f>R62</f>
        <v>0</v>
      </c>
      <c r="S44" s="17">
        <f>S62</f>
        <v>0</v>
      </c>
      <c r="Z44" s="17">
        <f>Z62</f>
        <v>18385</v>
      </c>
    </row>
    <row r="45" spans="2:39" s="12" customFormat="1" ht="14.4" x14ac:dyDescent="0.3">
      <c r="B45" s="19" t="s">
        <v>5</v>
      </c>
      <c r="L45" s="12">
        <f>11551+25888</f>
        <v>37439</v>
      </c>
      <c r="M45" s="12">
        <f>28785+24661</f>
        <v>53446</v>
      </c>
      <c r="N45" s="12">
        <f>36890+24233</f>
        <v>61123</v>
      </c>
      <c r="O45" s="12">
        <f>41862+23541</f>
        <v>65403</v>
      </c>
      <c r="P45" s="12">
        <f>32307+25813</f>
        <v>58120</v>
      </c>
      <c r="Z45" s="12">
        <f>41862+23541</f>
        <v>65403</v>
      </c>
    </row>
    <row r="46" spans="2:39" s="12" customFormat="1" x14ac:dyDescent="0.25">
      <c r="B46" s="12" t="s">
        <v>69</v>
      </c>
      <c r="L46" s="12">
        <v>11044</v>
      </c>
      <c r="M46" s="12">
        <v>12511</v>
      </c>
      <c r="N46" s="12">
        <v>12944</v>
      </c>
      <c r="O46" s="12">
        <v>16169</v>
      </c>
      <c r="P46" s="12">
        <v>13430</v>
      </c>
      <c r="Z46" s="12">
        <v>16169</v>
      </c>
    </row>
    <row r="47" spans="2:39" s="12" customFormat="1" x14ac:dyDescent="0.25">
      <c r="B47" s="12" t="s">
        <v>70</v>
      </c>
      <c r="L47" s="12">
        <v>4000</v>
      </c>
      <c r="M47" s="12">
        <v>3603</v>
      </c>
      <c r="N47" s="12">
        <v>4311</v>
      </c>
      <c r="O47" s="12">
        <v>3793</v>
      </c>
      <c r="P47" s="12">
        <v>3780</v>
      </c>
      <c r="Z47" s="12">
        <v>3793</v>
      </c>
    </row>
    <row r="48" spans="2:39" s="11" customFormat="1" x14ac:dyDescent="0.25">
      <c r="B48" s="11" t="s">
        <v>71</v>
      </c>
      <c r="L48" s="11">
        <f t="shared" ref="L48:M48" si="103">SUM(L45:L47)</f>
        <v>52483</v>
      </c>
      <c r="M48" s="11">
        <f t="shared" si="103"/>
        <v>69560</v>
      </c>
      <c r="N48" s="11">
        <f t="shared" ref="N48:S48" si="104">SUM(N45:N47)</f>
        <v>78378</v>
      </c>
      <c r="O48" s="11">
        <f t="shared" si="104"/>
        <v>85365</v>
      </c>
      <c r="P48" s="11">
        <f t="shared" si="104"/>
        <v>75330</v>
      </c>
      <c r="Q48" s="11">
        <f t="shared" si="104"/>
        <v>0</v>
      </c>
      <c r="R48" s="11">
        <f t="shared" si="104"/>
        <v>0</v>
      </c>
      <c r="S48" s="11">
        <f t="shared" si="104"/>
        <v>0</v>
      </c>
      <c r="Z48" s="11">
        <f>SUM(Z45:Z47)</f>
        <v>85365</v>
      </c>
    </row>
    <row r="49" spans="2:26" s="12" customFormat="1" x14ac:dyDescent="0.25">
      <c r="B49" s="12" t="s">
        <v>72</v>
      </c>
      <c r="L49" s="12">
        <v>6167</v>
      </c>
      <c r="M49" s="12">
        <v>6208</v>
      </c>
      <c r="N49" s="12">
        <v>6142</v>
      </c>
      <c r="O49" s="12">
        <v>6141</v>
      </c>
      <c r="P49" s="12">
        <v>6218</v>
      </c>
      <c r="Z49" s="12">
        <v>6141</v>
      </c>
    </row>
    <row r="50" spans="2:26" s="12" customFormat="1" x14ac:dyDescent="0.25">
      <c r="B50" s="12" t="s">
        <v>73</v>
      </c>
      <c r="L50" s="12">
        <v>84156</v>
      </c>
      <c r="M50" s="12">
        <v>87949</v>
      </c>
      <c r="N50" s="12">
        <v>91772</v>
      </c>
      <c r="O50" s="12">
        <v>96587</v>
      </c>
      <c r="P50" s="12">
        <v>98908</v>
      </c>
      <c r="Z50" s="12">
        <v>96587</v>
      </c>
    </row>
    <row r="51" spans="2:26" s="12" customFormat="1" x14ac:dyDescent="0.25">
      <c r="B51" s="12" t="s">
        <v>74</v>
      </c>
      <c r="L51" s="12">
        <v>12899</v>
      </c>
      <c r="M51" s="12">
        <v>12955</v>
      </c>
      <c r="N51" s="12">
        <v>13033</v>
      </c>
      <c r="O51" s="12">
        <v>13294</v>
      </c>
      <c r="P51" s="12">
        <v>13555</v>
      </c>
      <c r="Z51" s="12">
        <v>13294</v>
      </c>
    </row>
    <row r="52" spans="2:26" s="12" customFormat="1" x14ac:dyDescent="0.25">
      <c r="B52" s="12" t="s">
        <v>75</v>
      </c>
      <c r="L52" s="12">
        <f>949+20649</f>
        <v>21598</v>
      </c>
      <c r="M52" s="12">
        <f>856+20659</f>
        <v>21515</v>
      </c>
      <c r="N52" s="12">
        <f>20668+813</f>
        <v>21481</v>
      </c>
      <c r="O52" s="12">
        <f>788+20654</f>
        <v>21442</v>
      </c>
      <c r="P52" s="12">
        <v>20654</v>
      </c>
      <c r="Z52" s="12">
        <f>788+20654</f>
        <v>21442</v>
      </c>
    </row>
    <row r="53" spans="2:26" s="12" customFormat="1" x14ac:dyDescent="0.25">
      <c r="B53" s="12" t="s">
        <v>76</v>
      </c>
      <c r="L53" s="12">
        <v>7188</v>
      </c>
      <c r="M53" s="12">
        <v>8501</v>
      </c>
      <c r="N53" s="12">
        <v>5468</v>
      </c>
      <c r="O53" s="12">
        <v>6794</v>
      </c>
      <c r="P53" s="12">
        <v>8179</v>
      </c>
      <c r="Z53" s="12">
        <v>6794</v>
      </c>
    </row>
    <row r="54" spans="2:26" s="11" customFormat="1" x14ac:dyDescent="0.25">
      <c r="B54" s="11" t="s">
        <v>77</v>
      </c>
      <c r="L54" s="11">
        <f>SUM(L49:L53)</f>
        <v>132008</v>
      </c>
      <c r="M54" s="11">
        <f>SUM(M49:M53)</f>
        <v>137128</v>
      </c>
      <c r="N54" s="11">
        <f>SUM(N49:N53)</f>
        <v>137896</v>
      </c>
      <c r="O54" s="11">
        <f>SUM(O49:O53)</f>
        <v>144258</v>
      </c>
      <c r="P54" s="11">
        <f>SUM(P49:P53)</f>
        <v>147514</v>
      </c>
      <c r="Q54" s="11">
        <f t="shared" ref="Q54:S54" si="105">SUM(Q49:Q53)</f>
        <v>0</v>
      </c>
      <c r="R54" s="11">
        <f t="shared" si="105"/>
        <v>0</v>
      </c>
      <c r="S54" s="11">
        <f t="shared" si="105"/>
        <v>0</v>
      </c>
      <c r="Z54" s="11">
        <f>SUM(Z49:Z53)</f>
        <v>144258</v>
      </c>
    </row>
    <row r="55" spans="2:26" s="11" customFormat="1" x14ac:dyDescent="0.25">
      <c r="B55" s="11" t="s">
        <v>78</v>
      </c>
      <c r="L55" s="11">
        <f t="shared" ref="L55:N55" si="106">L54+L48</f>
        <v>184491</v>
      </c>
      <c r="M55" s="11">
        <f t="shared" si="106"/>
        <v>206688</v>
      </c>
      <c r="N55" s="11">
        <f t="shared" si="106"/>
        <v>216274</v>
      </c>
      <c r="O55" s="11">
        <f>O54+O48</f>
        <v>229623</v>
      </c>
      <c r="P55" s="11">
        <f>P54+P48</f>
        <v>222844</v>
      </c>
      <c r="Q55" s="11">
        <f t="shared" ref="Q55:S55" si="107">Q54+Q48</f>
        <v>0</v>
      </c>
      <c r="R55" s="11">
        <f t="shared" si="107"/>
        <v>0</v>
      </c>
      <c r="S55" s="11">
        <f t="shared" si="107"/>
        <v>0</v>
      </c>
      <c r="Z55" s="11">
        <f>Z54+Z48</f>
        <v>229623</v>
      </c>
    </row>
    <row r="56" spans="2:26" s="12" customFormat="1" x14ac:dyDescent="0.25">
      <c r="B56" s="12" t="s">
        <v>79</v>
      </c>
      <c r="L56" s="12">
        <v>3672</v>
      </c>
      <c r="M56" s="12">
        <v>3093</v>
      </c>
      <c r="N56" s="12">
        <v>4372</v>
      </c>
      <c r="O56" s="12">
        <v>4849</v>
      </c>
      <c r="P56" s="12">
        <v>3785</v>
      </c>
      <c r="Z56" s="12">
        <v>4849</v>
      </c>
    </row>
    <row r="57" spans="2:26" s="12" customFormat="1" x14ac:dyDescent="0.25">
      <c r="B57" s="12" t="s">
        <v>80</v>
      </c>
      <c r="L57" s="12">
        <v>885</v>
      </c>
      <c r="M57" s="12">
        <v>772</v>
      </c>
      <c r="N57" s="12">
        <v>770</v>
      </c>
      <c r="O57" s="12">
        <v>863</v>
      </c>
      <c r="Z57" s="12">
        <v>863</v>
      </c>
    </row>
    <row r="58" spans="2:26" s="12" customFormat="1" x14ac:dyDescent="0.25">
      <c r="B58" s="12" t="s">
        <v>74</v>
      </c>
      <c r="L58" s="12">
        <v>1479</v>
      </c>
      <c r="M58" s="12">
        <v>1396</v>
      </c>
      <c r="N58" s="12">
        <v>1460</v>
      </c>
      <c r="O58" s="12">
        <v>1623</v>
      </c>
      <c r="P58" s="12">
        <v>1676</v>
      </c>
      <c r="Z58" s="12">
        <v>1623</v>
      </c>
    </row>
    <row r="59" spans="2:26" s="12" customFormat="1" x14ac:dyDescent="0.25">
      <c r="B59" s="12" t="s">
        <v>81</v>
      </c>
      <c r="L59" s="12">
        <v>19345</v>
      </c>
      <c r="M59" s="12">
        <v>24660</v>
      </c>
      <c r="N59" s="12">
        <v>23929</v>
      </c>
      <c r="O59" s="12">
        <v>24625</v>
      </c>
      <c r="P59" s="12">
        <v>22640</v>
      </c>
      <c r="Z59" s="12">
        <v>24625</v>
      </c>
    </row>
    <row r="60" spans="2:26" s="11" customFormat="1" x14ac:dyDescent="0.25">
      <c r="B60" s="11" t="s">
        <v>82</v>
      </c>
      <c r="L60" s="11">
        <f t="shared" ref="L60:N60" si="108">SUM(L56:L59)</f>
        <v>25381</v>
      </c>
      <c r="M60" s="11">
        <f t="shared" si="108"/>
        <v>29921</v>
      </c>
      <c r="N60" s="11">
        <f t="shared" si="108"/>
        <v>30531</v>
      </c>
      <c r="O60" s="11">
        <f>SUM(O56:O59)</f>
        <v>31960</v>
      </c>
      <c r="P60" s="11">
        <f>SUM(P56:P59)</f>
        <v>28101</v>
      </c>
      <c r="Q60" s="11">
        <f>SUM(Q56:Q59)</f>
        <v>0</v>
      </c>
      <c r="R60" s="11">
        <f>SUM(R56:R59)</f>
        <v>0</v>
      </c>
      <c r="S60" s="11">
        <f>SUM(S56:S59)</f>
        <v>0</v>
      </c>
      <c r="Z60" s="11">
        <f>SUM(Z56:Z59)</f>
        <v>31960</v>
      </c>
    </row>
    <row r="61" spans="2:26" s="12" customFormat="1" x14ac:dyDescent="0.25">
      <c r="B61" s="12" t="s">
        <v>83</v>
      </c>
      <c r="L61" s="12">
        <v>16171</v>
      </c>
      <c r="M61" s="12">
        <v>16440</v>
      </c>
      <c r="N61" s="12">
        <v>16374</v>
      </c>
      <c r="O61" s="12">
        <v>17226</v>
      </c>
      <c r="P61" s="12">
        <v>17570</v>
      </c>
      <c r="Z61" s="12">
        <v>17226</v>
      </c>
    </row>
    <row r="62" spans="2:26" s="12" customFormat="1" x14ac:dyDescent="0.25">
      <c r="B62" s="12" t="s">
        <v>6</v>
      </c>
      <c r="L62" s="12">
        <v>9925</v>
      </c>
      <c r="M62" s="12">
        <v>18382</v>
      </c>
      <c r="N62" s="12">
        <v>18383</v>
      </c>
      <c r="O62" s="12">
        <v>18385</v>
      </c>
      <c r="P62" s="12">
        <v>18387</v>
      </c>
      <c r="Z62" s="12">
        <v>18385</v>
      </c>
    </row>
    <row r="63" spans="2:26" s="12" customFormat="1" x14ac:dyDescent="0.25">
      <c r="B63" s="12" t="s">
        <v>134</v>
      </c>
      <c r="P63" s="12">
        <v>7795</v>
      </c>
    </row>
    <row r="64" spans="2:26" s="12" customFormat="1" x14ac:dyDescent="0.25">
      <c r="B64" s="12" t="s">
        <v>84</v>
      </c>
      <c r="L64" s="12">
        <v>8219</v>
      </c>
      <c r="M64" s="12">
        <v>7912</v>
      </c>
      <c r="N64" s="12">
        <v>8113</v>
      </c>
      <c r="O64" s="12">
        <v>8884</v>
      </c>
      <c r="P64" s="12">
        <v>1462</v>
      </c>
      <c r="Z64" s="12">
        <v>8884</v>
      </c>
    </row>
    <row r="65" spans="2:26" s="11" customFormat="1" x14ac:dyDescent="0.25">
      <c r="B65" s="11" t="s">
        <v>85</v>
      </c>
      <c r="L65" s="11">
        <f>SUM(L61:L64)</f>
        <v>34315</v>
      </c>
      <c r="M65" s="11">
        <f>SUM(M61:M64)</f>
        <v>42734</v>
      </c>
      <c r="N65" s="11">
        <f>SUM(N61:N64)</f>
        <v>42870</v>
      </c>
      <c r="O65" s="11">
        <f>SUM(O61:O64)</f>
        <v>44495</v>
      </c>
      <c r="P65" s="11">
        <f>SUM(P61:P64)</f>
        <v>45214</v>
      </c>
      <c r="Q65" s="11">
        <f t="shared" ref="Q65:S65" si="109">SUM(Q61:Q64)</f>
        <v>0</v>
      </c>
      <c r="R65" s="11">
        <f t="shared" si="109"/>
        <v>0</v>
      </c>
      <c r="S65" s="11">
        <f t="shared" si="109"/>
        <v>0</v>
      </c>
      <c r="Z65" s="11">
        <f>SUM(Z61:Z64)</f>
        <v>44495</v>
      </c>
    </row>
    <row r="66" spans="2:26" s="11" customFormat="1" x14ac:dyDescent="0.25">
      <c r="B66" s="11" t="s">
        <v>86</v>
      </c>
      <c r="L66" s="11">
        <f t="shared" ref="L66:N66" si="110">L65+L60</f>
        <v>59696</v>
      </c>
      <c r="M66" s="11">
        <f t="shared" si="110"/>
        <v>72655</v>
      </c>
      <c r="N66" s="11">
        <f t="shared" si="110"/>
        <v>73401</v>
      </c>
      <c r="O66" s="11">
        <f>O65+O60</f>
        <v>76455</v>
      </c>
      <c r="P66" s="11">
        <f>P65+P60</f>
        <v>73315</v>
      </c>
      <c r="Q66" s="11">
        <f t="shared" ref="Q66:S66" si="111">Q65+Q60</f>
        <v>0</v>
      </c>
      <c r="R66" s="11">
        <f t="shared" si="111"/>
        <v>0</v>
      </c>
      <c r="S66" s="11">
        <f t="shared" si="111"/>
        <v>0</v>
      </c>
      <c r="Z66" s="11">
        <f>Z65+Z60</f>
        <v>76455</v>
      </c>
    </row>
    <row r="67" spans="2:26" s="12" customFormat="1" x14ac:dyDescent="0.25">
      <c r="B67" s="12" t="s">
        <v>87</v>
      </c>
      <c r="L67" s="12">
        <v>124795</v>
      </c>
      <c r="M67" s="12">
        <v>134033</v>
      </c>
      <c r="N67" s="12">
        <v>142873</v>
      </c>
      <c r="O67" s="12">
        <v>153168</v>
      </c>
      <c r="P67" s="12">
        <v>149529</v>
      </c>
      <c r="Z67" s="12">
        <v>153168</v>
      </c>
    </row>
    <row r="68" spans="2:26" s="26" customFormat="1" x14ac:dyDescent="0.25">
      <c r="B68" s="26" t="s">
        <v>88</v>
      </c>
      <c r="L68" s="26">
        <f t="shared" ref="L68:N68" si="112">L67+L66</f>
        <v>184491</v>
      </c>
      <c r="M68" s="26">
        <f t="shared" si="112"/>
        <v>206688</v>
      </c>
      <c r="N68" s="26">
        <f t="shared" si="112"/>
        <v>216274</v>
      </c>
      <c r="O68" s="26">
        <f>O67+O66</f>
        <v>229623</v>
      </c>
      <c r="P68" s="26">
        <f>P67+P66</f>
        <v>222844</v>
      </c>
      <c r="Q68" s="26">
        <f t="shared" ref="Q68:S68" si="113">Q67+Q66</f>
        <v>0</v>
      </c>
      <c r="R68" s="26">
        <f t="shared" si="113"/>
        <v>0</v>
      </c>
      <c r="S68" s="26">
        <f t="shared" si="113"/>
        <v>0</v>
      </c>
      <c r="Z68" s="26">
        <f>Z67+Z66</f>
        <v>229623</v>
      </c>
    </row>
    <row r="70" spans="2:26" s="12" customFormat="1" x14ac:dyDescent="0.25">
      <c r="B70" s="12" t="s">
        <v>89</v>
      </c>
      <c r="L70" s="12">
        <f>L14</f>
        <v>5709</v>
      </c>
      <c r="M70" s="12">
        <f>M14</f>
        <v>7788</v>
      </c>
      <c r="N70" s="12">
        <f>N14</f>
        <v>11583</v>
      </c>
      <c r="O70" s="12">
        <f>O14</f>
        <v>14017</v>
      </c>
      <c r="P70" s="12">
        <f>P14</f>
        <v>12369</v>
      </c>
      <c r="Z70" s="12">
        <f>SUM(L70:O70)</f>
        <v>39097</v>
      </c>
    </row>
    <row r="71" spans="2:26" s="12" customFormat="1" x14ac:dyDescent="0.25">
      <c r="B71" s="12" t="s">
        <v>90</v>
      </c>
      <c r="L71" s="12">
        <v>5709</v>
      </c>
      <c r="M71" s="12">
        <v>7788</v>
      </c>
      <c r="N71" s="12">
        <v>8006</v>
      </c>
      <c r="O71" s="12">
        <v>14017</v>
      </c>
      <c r="P71" s="12">
        <v>12369</v>
      </c>
      <c r="Z71" s="12">
        <f t="shared" ref="Z71:Z92" si="114">SUM(L71:O71)</f>
        <v>35520</v>
      </c>
    </row>
    <row r="72" spans="2:26" s="12" customFormat="1" x14ac:dyDescent="0.25">
      <c r="B72" s="12" t="s">
        <v>91</v>
      </c>
      <c r="L72" s="12">
        <v>2524</v>
      </c>
      <c r="M72" s="12">
        <v>2623</v>
      </c>
      <c r="N72" s="12">
        <v>10603</v>
      </c>
      <c r="O72" s="12">
        <v>3172</v>
      </c>
      <c r="P72" s="12">
        <v>3374</v>
      </c>
      <c r="Z72" s="12">
        <f>SUM(L72:P72)</f>
        <v>22296</v>
      </c>
    </row>
    <row r="73" spans="2:26" s="12" customFormat="1" x14ac:dyDescent="0.25">
      <c r="B73" s="12" t="s">
        <v>92</v>
      </c>
      <c r="L73" s="12">
        <v>3051</v>
      </c>
      <c r="M73" s="12">
        <v>4060</v>
      </c>
      <c r="N73" s="12">
        <v>1292</v>
      </c>
      <c r="O73" s="12">
        <v>3424</v>
      </c>
      <c r="P73" s="12">
        <v>3562</v>
      </c>
      <c r="Z73" s="12">
        <f>SUM(L73:P73)</f>
        <v>15389</v>
      </c>
    </row>
    <row r="74" spans="2:26" s="12" customFormat="1" x14ac:dyDescent="0.25">
      <c r="B74" s="12" t="s">
        <v>93</v>
      </c>
      <c r="L74" s="12">
        <v>-620</v>
      </c>
      <c r="M74" s="12">
        <v>-1137</v>
      </c>
      <c r="N74" s="12">
        <v>1342</v>
      </c>
      <c r="O74" s="12">
        <v>-1161</v>
      </c>
      <c r="P74" s="12">
        <v>-456</v>
      </c>
      <c r="Z74" s="12">
        <f>SUM(L74:P74)</f>
        <v>-2032</v>
      </c>
    </row>
    <row r="75" spans="2:26" s="12" customFormat="1" x14ac:dyDescent="0.25">
      <c r="B75" s="12" t="s">
        <v>94</v>
      </c>
      <c r="L75" s="12">
        <v>770</v>
      </c>
      <c r="M75" s="12">
        <v>232</v>
      </c>
      <c r="N75" s="12">
        <v>278</v>
      </c>
      <c r="O75" s="12">
        <v>1091</v>
      </c>
      <c r="P75" s="12">
        <v>240</v>
      </c>
      <c r="Z75" s="12">
        <f>SUM(L75:P75)</f>
        <v>2611</v>
      </c>
    </row>
    <row r="76" spans="2:26" s="12" customFormat="1" x14ac:dyDescent="0.25">
      <c r="B76" s="12" t="s">
        <v>95</v>
      </c>
      <c r="O76" s="12">
        <v>7</v>
      </c>
      <c r="Z76" s="12">
        <f t="shared" si="114"/>
        <v>7</v>
      </c>
    </row>
    <row r="77" spans="2:26" s="12" customFormat="1" x14ac:dyDescent="0.25">
      <c r="B77" s="12" t="s">
        <v>96</v>
      </c>
      <c r="L77" s="12">
        <v>-7</v>
      </c>
      <c r="M77" s="12">
        <v>212</v>
      </c>
      <c r="N77" s="12">
        <v>278</v>
      </c>
      <c r="O77" s="12">
        <v>124</v>
      </c>
      <c r="P77" s="12">
        <v>-66</v>
      </c>
      <c r="Z77" s="12">
        <f t="shared" si="114"/>
        <v>607</v>
      </c>
    </row>
    <row r="78" spans="2:26" s="12" customFormat="1" x14ac:dyDescent="0.25">
      <c r="B78" s="12" t="s">
        <v>69</v>
      </c>
      <c r="L78" s="12">
        <v>2546</v>
      </c>
      <c r="M78" s="12">
        <v>-1424</v>
      </c>
      <c r="N78" s="12">
        <v>444</v>
      </c>
      <c r="O78" s="12">
        <v>-2843</v>
      </c>
      <c r="P78" s="12">
        <v>2520</v>
      </c>
      <c r="Z78" s="12">
        <f>SUM(L78:P78)</f>
        <v>1243</v>
      </c>
    </row>
    <row r="79" spans="2:26" s="12" customFormat="1" x14ac:dyDescent="0.25">
      <c r="B79" s="12" t="s">
        <v>97</v>
      </c>
      <c r="L79" s="12">
        <v>821</v>
      </c>
      <c r="M79" s="12">
        <v>-54</v>
      </c>
      <c r="N79" s="12">
        <v>-141</v>
      </c>
      <c r="O79" s="12">
        <v>700</v>
      </c>
      <c r="P79" s="12">
        <v>100</v>
      </c>
      <c r="Z79" s="12">
        <f>SUM(L79:P79)</f>
        <v>1426</v>
      </c>
    </row>
    <row r="80" spans="2:26" s="12" customFormat="1" x14ac:dyDescent="0.25">
      <c r="B80" s="12" t="s">
        <v>98</v>
      </c>
      <c r="L80" s="12">
        <v>30</v>
      </c>
      <c r="M80" s="12">
        <v>37</v>
      </c>
      <c r="N80" s="12">
        <v>31</v>
      </c>
      <c r="O80" s="12">
        <v>-111</v>
      </c>
      <c r="P80" s="12">
        <v>-94</v>
      </c>
      <c r="Z80" s="12">
        <f>SUM(L80:P80)</f>
        <v>-107</v>
      </c>
    </row>
    <row r="81" spans="2:26" s="12" customFormat="1" x14ac:dyDescent="0.25">
      <c r="B81" s="12" t="s">
        <v>99</v>
      </c>
      <c r="L81" s="12">
        <v>-1104</v>
      </c>
      <c r="M81" s="12">
        <v>-51</v>
      </c>
      <c r="N81" s="12">
        <v>-543</v>
      </c>
      <c r="O81" s="12">
        <v>595</v>
      </c>
      <c r="P81" s="12">
        <v>-1112</v>
      </c>
      <c r="Z81" s="12">
        <f>SUM(L81:P81)</f>
        <v>-2215</v>
      </c>
    </row>
    <row r="82" spans="2:26" s="12" customFormat="1" x14ac:dyDescent="0.25">
      <c r="B82" s="12" t="s">
        <v>100</v>
      </c>
      <c r="L82" s="12">
        <v>-240</v>
      </c>
      <c r="M82" s="12">
        <v>-116</v>
      </c>
      <c r="N82" s="12">
        <v>-347</v>
      </c>
      <c r="O82" s="12">
        <v>76</v>
      </c>
      <c r="Z82" s="12">
        <f t="shared" si="114"/>
        <v>-627</v>
      </c>
    </row>
    <row r="83" spans="2:26" s="12" customFormat="1" x14ac:dyDescent="0.25">
      <c r="B83" s="12" t="s">
        <v>81</v>
      </c>
      <c r="L83" s="12">
        <v>334</v>
      </c>
      <c r="M83" s="12">
        <v>5290</v>
      </c>
      <c r="N83" s="12">
        <v>5702</v>
      </c>
      <c r="O83" s="12">
        <v>-350</v>
      </c>
      <c r="P83" s="12">
        <v>-1274</v>
      </c>
      <c r="Z83" s="12">
        <f>SUM(L83:P83)</f>
        <v>9702</v>
      </c>
    </row>
    <row r="84" spans="2:26" s="12" customFormat="1" x14ac:dyDescent="0.25">
      <c r="B84" s="12" t="s">
        <v>84</v>
      </c>
      <c r="L84" s="12">
        <v>184</v>
      </c>
      <c r="M84" s="12">
        <v>-151</v>
      </c>
      <c r="N84" s="12">
        <v>-39</v>
      </c>
      <c r="O84" s="12">
        <v>663</v>
      </c>
      <c r="P84" s="12">
        <v>83</v>
      </c>
      <c r="Z84" s="12">
        <f>SUM(L84:P84)</f>
        <v>740</v>
      </c>
    </row>
    <row r="85" spans="2:26" s="12" customFormat="1" x14ac:dyDescent="0.25">
      <c r="B85" s="12" t="s">
        <v>101</v>
      </c>
      <c r="L85" s="12">
        <f t="shared" ref="L85:N85" si="115">SUM(L78:L84)</f>
        <v>2571</v>
      </c>
      <c r="M85" s="12">
        <f t="shared" si="115"/>
        <v>3531</v>
      </c>
      <c r="N85" s="12">
        <f t="shared" si="115"/>
        <v>5107</v>
      </c>
      <c r="O85" s="12">
        <f>SUM(O78:O84)</f>
        <v>-1270</v>
      </c>
      <c r="P85" s="12">
        <f>SUM(P78:P84)</f>
        <v>223</v>
      </c>
      <c r="Z85" s="12">
        <f>SUM(Z78:Z84)</f>
        <v>10162</v>
      </c>
    </row>
    <row r="86" spans="2:26" s="11" customFormat="1" x14ac:dyDescent="0.25">
      <c r="B86" s="11" t="s">
        <v>102</v>
      </c>
      <c r="L86" s="11">
        <f>SUM(L71:L84)</f>
        <v>13998</v>
      </c>
      <c r="M86" s="11">
        <f>SUM(M71:M84)</f>
        <v>17309</v>
      </c>
      <c r="N86" s="11">
        <f t="shared" ref="N86" si="116">SUM(N71:N84)</f>
        <v>26906</v>
      </c>
      <c r="O86" s="11">
        <f>SUM(O71:O84)</f>
        <v>19404</v>
      </c>
      <c r="P86" s="11">
        <f>SUM(P71:P84)</f>
        <v>19246</v>
      </c>
      <c r="Q86" s="11">
        <f>SUM(Q71:Q84)</f>
        <v>0</v>
      </c>
      <c r="R86" s="11">
        <f>SUM(R71:R84)</f>
        <v>0</v>
      </c>
      <c r="S86" s="11">
        <f>SUM(S71:S84)</f>
        <v>0</v>
      </c>
      <c r="Z86" s="11">
        <f>SUM(Z71:Z84)</f>
        <v>84560</v>
      </c>
    </row>
    <row r="87" spans="2:26" s="12" customFormat="1" x14ac:dyDescent="0.25">
      <c r="B87" s="12" t="s">
        <v>103</v>
      </c>
      <c r="L87" s="12">
        <v>-6842</v>
      </c>
      <c r="M87" s="12">
        <v>-6216</v>
      </c>
      <c r="N87" s="12">
        <v>-19601</v>
      </c>
      <c r="O87" s="12">
        <v>-7665</v>
      </c>
      <c r="P87" s="12">
        <v>-6400</v>
      </c>
      <c r="Z87" s="12">
        <f>SUM(L87:P87)</f>
        <v>-46724</v>
      </c>
    </row>
    <row r="88" spans="2:26" s="12" customFormat="1" x14ac:dyDescent="0.25">
      <c r="B88" s="12" t="s">
        <v>104</v>
      </c>
      <c r="L88" s="12">
        <v>19</v>
      </c>
      <c r="M88" s="12">
        <v>82</v>
      </c>
      <c r="N88" s="12">
        <v>148</v>
      </c>
      <c r="O88" s="12">
        <v>73</v>
      </c>
      <c r="Z88" s="12">
        <f>SUM(L88:P88)</f>
        <v>322</v>
      </c>
    </row>
    <row r="89" spans="2:26" s="12" customFormat="1" x14ac:dyDescent="0.25">
      <c r="B89" s="12" t="s">
        <v>105</v>
      </c>
      <c r="L89" s="12">
        <v>-85</v>
      </c>
      <c r="M89" s="12">
        <v>-717</v>
      </c>
      <c r="N89" s="12">
        <v>-1810</v>
      </c>
      <c r="O89" s="12">
        <v>-1171</v>
      </c>
      <c r="P89" s="12">
        <v>-6887</v>
      </c>
      <c r="Z89" s="12">
        <f>SUM(L89:P89)</f>
        <v>-10670</v>
      </c>
    </row>
    <row r="90" spans="2:26" s="12" customFormat="1" x14ac:dyDescent="0.25">
      <c r="B90" s="12" t="s">
        <v>106</v>
      </c>
      <c r="L90" s="12">
        <v>534</v>
      </c>
      <c r="M90" s="12">
        <v>1816</v>
      </c>
      <c r="N90" s="12">
        <v>3825</v>
      </c>
      <c r="O90" s="12">
        <v>2359</v>
      </c>
      <c r="P90" s="12">
        <v>4625</v>
      </c>
      <c r="Z90" s="12">
        <f>SUM(L90:P90)</f>
        <v>13159</v>
      </c>
    </row>
    <row r="91" spans="2:26" s="12" customFormat="1" x14ac:dyDescent="0.25">
      <c r="B91" s="12" t="s">
        <v>107</v>
      </c>
      <c r="L91" s="12">
        <v>-444</v>
      </c>
      <c r="M91" s="12">
        <v>-83</v>
      </c>
      <c r="N91" s="12">
        <v>-565</v>
      </c>
      <c r="O91" s="12">
        <v>-64</v>
      </c>
      <c r="P91" s="12">
        <v>-72</v>
      </c>
      <c r="Z91" s="12">
        <f t="shared" si="114"/>
        <v>-1156</v>
      </c>
    </row>
    <row r="92" spans="2:26" s="12" customFormat="1" x14ac:dyDescent="0.25">
      <c r="B92" s="12" t="s">
        <v>84</v>
      </c>
      <c r="L92" s="12">
        <v>75</v>
      </c>
      <c r="M92" s="12">
        <v>-85</v>
      </c>
      <c r="N92" s="12">
        <v>-20</v>
      </c>
      <c r="O92" s="12">
        <v>-4</v>
      </c>
      <c r="Z92" s="12">
        <f t="shared" si="114"/>
        <v>-34</v>
      </c>
    </row>
    <row r="93" spans="2:26" s="11" customFormat="1" x14ac:dyDescent="0.25">
      <c r="B93" s="11" t="s">
        <v>108</v>
      </c>
      <c r="L93" s="11">
        <f t="shared" ref="L93:N93" si="117">SUM(L87:L92)</f>
        <v>-6743</v>
      </c>
      <c r="M93" s="11">
        <f t="shared" si="117"/>
        <v>-5203</v>
      </c>
      <c r="N93" s="11">
        <f t="shared" si="117"/>
        <v>-18023</v>
      </c>
      <c r="O93" s="11">
        <f>SUM(O87:O92)</f>
        <v>-6472</v>
      </c>
      <c r="P93" s="11">
        <f>SUM(P87:P92)</f>
        <v>-8734</v>
      </c>
      <c r="Q93" s="11">
        <f>SUM(Q87:Q92)</f>
        <v>0</v>
      </c>
      <c r="R93" s="11">
        <f>SUM(R87:R92)</f>
        <v>0</v>
      </c>
      <c r="S93" s="11">
        <f>SUM(S87:S92)</f>
        <v>0</v>
      </c>
      <c r="Z93" s="11">
        <f>SUM(Z87:Z92)</f>
        <v>-45103</v>
      </c>
    </row>
    <row r="94" spans="2:26" s="12" customFormat="1" x14ac:dyDescent="0.25">
      <c r="B94" s="12" t="s">
        <v>109</v>
      </c>
      <c r="L94" s="12">
        <v>-1009</v>
      </c>
      <c r="M94" s="12">
        <v>-1692</v>
      </c>
      <c r="N94" s="12">
        <v>-4789</v>
      </c>
      <c r="O94" s="12">
        <v>-2223</v>
      </c>
      <c r="P94" s="12">
        <v>-3162</v>
      </c>
      <c r="Z94" s="12">
        <f>SUM(L94:P94)</f>
        <v>-12875</v>
      </c>
    </row>
    <row r="95" spans="2:26" s="12" customFormat="1" x14ac:dyDescent="0.25">
      <c r="B95" s="12" t="s">
        <v>110</v>
      </c>
      <c r="L95" s="12">
        <v>-9365</v>
      </c>
      <c r="M95" s="12">
        <v>-898</v>
      </c>
      <c r="N95" s="12">
        <v>-13832</v>
      </c>
      <c r="O95" s="12">
        <v>-5942</v>
      </c>
      <c r="P95" s="12">
        <v>-15008</v>
      </c>
      <c r="Z95" s="12">
        <f>SUM(L95:P95)</f>
        <v>-45045</v>
      </c>
    </row>
    <row r="96" spans="2:26" s="12" customFormat="1" x14ac:dyDescent="0.25">
      <c r="B96" s="12" t="s">
        <v>135</v>
      </c>
      <c r="P96" s="12">
        <v>-1273</v>
      </c>
    </row>
    <row r="97" spans="2:26" s="12" customFormat="1" x14ac:dyDescent="0.25">
      <c r="B97" s="12" t="s">
        <v>111</v>
      </c>
      <c r="L97" s="12">
        <v>0</v>
      </c>
      <c r="M97" s="12">
        <v>8455</v>
      </c>
      <c r="N97" s="12">
        <v>8455</v>
      </c>
      <c r="O97" s="12">
        <v>0</v>
      </c>
      <c r="Z97" s="12">
        <f>SUM(L97:P97)</f>
        <v>16910</v>
      </c>
    </row>
    <row r="98" spans="2:26" s="12" customFormat="1" x14ac:dyDescent="0.25">
      <c r="B98" s="12" t="s">
        <v>112</v>
      </c>
      <c r="L98" s="12">
        <v>-264</v>
      </c>
      <c r="M98" s="12">
        <v>-220</v>
      </c>
      <c r="N98" s="12">
        <v>-751</v>
      </c>
      <c r="O98" s="12">
        <v>-307</v>
      </c>
      <c r="P98" s="12">
        <v>-315</v>
      </c>
      <c r="Z98" s="12">
        <f>SUM(L98:P98)</f>
        <v>-1857</v>
      </c>
    </row>
    <row r="99" spans="2:26" s="12" customFormat="1" x14ac:dyDescent="0.25">
      <c r="B99" s="12" t="s">
        <v>96</v>
      </c>
      <c r="L99" s="12">
        <v>122</v>
      </c>
      <c r="M99" s="12">
        <v>-353</v>
      </c>
      <c r="N99" s="12">
        <v>-182</v>
      </c>
      <c r="O99" s="12">
        <v>71</v>
      </c>
      <c r="P99" s="12">
        <v>-9</v>
      </c>
      <c r="Z99" s="12">
        <f>SUM(L99:P99)</f>
        <v>-351</v>
      </c>
    </row>
    <row r="100" spans="2:26" s="11" customFormat="1" x14ac:dyDescent="0.25">
      <c r="B100" s="11" t="s">
        <v>113</v>
      </c>
      <c r="L100" s="11">
        <f>SUM(L94:L99)</f>
        <v>-10516</v>
      </c>
      <c r="M100" s="11">
        <f t="shared" ref="M100:N100" si="118">SUM(M94:M99)</f>
        <v>5292</v>
      </c>
      <c r="N100" s="11">
        <f t="shared" si="118"/>
        <v>-11099</v>
      </c>
      <c r="O100" s="11">
        <f>SUM(O94:O99)</f>
        <v>-8401</v>
      </c>
      <c r="P100" s="11">
        <f t="shared" ref="P100:S100" si="119">SUM(P94:P99)</f>
        <v>-19767</v>
      </c>
      <c r="Q100" s="11">
        <f t="shared" si="119"/>
        <v>0</v>
      </c>
      <c r="R100" s="11">
        <f t="shared" si="119"/>
        <v>0</v>
      </c>
      <c r="S100" s="11">
        <f t="shared" si="119"/>
        <v>0</v>
      </c>
      <c r="Z100" s="11">
        <f>SUM(Z94:Z99)</f>
        <v>-43218</v>
      </c>
    </row>
    <row r="101" spans="2:26" s="12" customFormat="1" x14ac:dyDescent="0.25">
      <c r="B101" s="12" t="s">
        <v>114</v>
      </c>
      <c r="L101" s="12">
        <v>85</v>
      </c>
      <c r="M101" s="12">
        <v>-14</v>
      </c>
      <c r="N101" s="12">
        <v>-283</v>
      </c>
      <c r="O101" s="12">
        <v>396</v>
      </c>
      <c r="P101" s="12">
        <v>-288</v>
      </c>
      <c r="Z101" s="12">
        <f>SUM(L101:P101)</f>
        <v>-104</v>
      </c>
    </row>
    <row r="102" spans="2:26" s="12" customFormat="1" x14ac:dyDescent="0.25">
      <c r="B102" s="12" t="s">
        <v>115</v>
      </c>
      <c r="L102" s="12">
        <v>-3176</v>
      </c>
      <c r="M102" s="12">
        <v>17384</v>
      </c>
      <c r="N102" s="12">
        <v>22304</v>
      </c>
      <c r="O102" s="12">
        <v>4927</v>
      </c>
      <c r="P102" s="12">
        <v>-9543</v>
      </c>
      <c r="Z102" s="12">
        <f>SUM(L102:P102)</f>
        <v>31896</v>
      </c>
    </row>
    <row r="103" spans="2:26" s="12" customFormat="1" x14ac:dyDescent="0.25">
      <c r="B103" s="12" t="s">
        <v>116</v>
      </c>
      <c r="L103" s="12">
        <v>15596</v>
      </c>
      <c r="M103" s="12">
        <v>12420</v>
      </c>
      <c r="N103" s="12">
        <v>15596</v>
      </c>
      <c r="O103" s="12">
        <v>37900</v>
      </c>
      <c r="P103" s="12">
        <v>42827</v>
      </c>
      <c r="Z103" s="12">
        <f>SUM(L103:P103)</f>
        <v>124339</v>
      </c>
    </row>
    <row r="104" spans="2:26" s="13" customFormat="1" x14ac:dyDescent="0.25">
      <c r="B104" s="13" t="s">
        <v>117</v>
      </c>
      <c r="L104" s="13">
        <f t="shared" ref="L104:N104" si="120">SUM(L102:L103)</f>
        <v>12420</v>
      </c>
      <c r="M104" s="13">
        <f t="shared" si="120"/>
        <v>29804</v>
      </c>
      <c r="N104" s="13">
        <f t="shared" si="120"/>
        <v>37900</v>
      </c>
      <c r="O104" s="13">
        <f>SUM(O102:O103)</f>
        <v>42827</v>
      </c>
      <c r="P104" s="13">
        <f t="shared" ref="P104:S104" si="121">SUM(P102:P103)</f>
        <v>33284</v>
      </c>
      <c r="Q104" s="13">
        <f t="shared" si="121"/>
        <v>0</v>
      </c>
      <c r="R104" s="13">
        <f t="shared" si="121"/>
        <v>0</v>
      </c>
      <c r="S104" s="13">
        <f t="shared" si="121"/>
        <v>0</v>
      </c>
      <c r="Z104" s="13">
        <f>O104</f>
        <v>42827</v>
      </c>
    </row>
    <row r="105" spans="2:26" s="12" customFormat="1" x14ac:dyDescent="0.25">
      <c r="B105" s="12" t="s">
        <v>118</v>
      </c>
    </row>
    <row r="106" spans="2:26" s="12" customFormat="1" x14ac:dyDescent="0.25">
      <c r="B106" s="12" t="s">
        <v>5</v>
      </c>
      <c r="L106" s="12">
        <v>11551</v>
      </c>
      <c r="M106" s="12">
        <v>28785</v>
      </c>
      <c r="N106" s="12">
        <v>36890</v>
      </c>
      <c r="O106" s="12">
        <v>41862</v>
      </c>
      <c r="P106" s="12">
        <v>32307</v>
      </c>
      <c r="Z106" s="12">
        <v>12420</v>
      </c>
    </row>
    <row r="107" spans="2:26" s="12" customFormat="1" x14ac:dyDescent="0.25">
      <c r="B107" s="12" t="s">
        <v>119</v>
      </c>
      <c r="L107" s="12">
        <v>224</v>
      </c>
      <c r="M107" s="12">
        <v>165</v>
      </c>
      <c r="N107" s="12">
        <v>152</v>
      </c>
      <c r="O107" s="12">
        <v>99</v>
      </c>
      <c r="P107" s="12">
        <v>84</v>
      </c>
    </row>
    <row r="108" spans="2:26" s="12" customFormat="1" x14ac:dyDescent="0.25">
      <c r="B108" s="12" t="s">
        <v>120</v>
      </c>
      <c r="L108" s="12">
        <v>645</v>
      </c>
      <c r="M108" s="12">
        <v>854</v>
      </c>
      <c r="N108" s="12">
        <v>858</v>
      </c>
      <c r="O108" s="12">
        <v>866</v>
      </c>
      <c r="P108" s="12">
        <v>893</v>
      </c>
    </row>
    <row r="109" spans="2:26" s="27" customFormat="1" x14ac:dyDescent="0.25">
      <c r="B109" s="27" t="s">
        <v>121</v>
      </c>
      <c r="L109" s="27">
        <f t="shared" ref="L109:S109" si="122">SUM(L106:L108)</f>
        <v>12420</v>
      </c>
      <c r="M109" s="27">
        <f t="shared" si="122"/>
        <v>29804</v>
      </c>
      <c r="N109" s="27">
        <f t="shared" si="122"/>
        <v>37900</v>
      </c>
      <c r="O109" s="27">
        <f t="shared" si="122"/>
        <v>42827</v>
      </c>
      <c r="P109" s="27">
        <f t="shared" si="122"/>
        <v>33284</v>
      </c>
      <c r="Q109" s="27">
        <f t="shared" si="122"/>
        <v>0</v>
      </c>
      <c r="R109" s="27">
        <f t="shared" si="122"/>
        <v>0</v>
      </c>
      <c r="S109" s="27">
        <f t="shared" si="122"/>
        <v>0</v>
      </c>
      <c r="Z109" s="27">
        <v>42827</v>
      </c>
    </row>
    <row r="111" spans="2:26" s="28" customFormat="1" ht="14.4" x14ac:dyDescent="0.3">
      <c r="B111" s="15" t="s">
        <v>122</v>
      </c>
      <c r="L111" s="15">
        <f>L100+L93+L86</f>
        <v>-3261</v>
      </c>
      <c r="M111" s="15">
        <f>M100+M93+M86</f>
        <v>17398</v>
      </c>
      <c r="N111" s="15">
        <f>N100+N93+N86</f>
        <v>-2216</v>
      </c>
      <c r="O111" s="15">
        <f>O100+O93+O86</f>
        <v>4531</v>
      </c>
      <c r="P111" s="15">
        <f t="shared" ref="P111:S111" si="123">P100+P93+P86</f>
        <v>-9255</v>
      </c>
      <c r="Q111" s="15">
        <f t="shared" si="123"/>
        <v>0</v>
      </c>
      <c r="R111" s="15">
        <f t="shared" si="123"/>
        <v>0</v>
      </c>
      <c r="S111" s="15">
        <f t="shared" si="123"/>
        <v>0</v>
      </c>
      <c r="Z111" s="15">
        <f>Z100+Z93+Z86</f>
        <v>-3761</v>
      </c>
    </row>
    <row r="112" spans="2:26" s="25" customFormat="1" ht="14.4" x14ac:dyDescent="0.3">
      <c r="B112" s="17" t="s">
        <v>123</v>
      </c>
      <c r="L112" s="17">
        <f>L86+L87</f>
        <v>7156</v>
      </c>
      <c r="M112" s="17">
        <f>M86+M87</f>
        <v>11093</v>
      </c>
      <c r="N112" s="17">
        <f>N86+N87</f>
        <v>7305</v>
      </c>
      <c r="O112" s="17">
        <f>O86+O87</f>
        <v>11739</v>
      </c>
      <c r="P112" s="17">
        <f t="shared" ref="P112:S112" si="124">P86+P87</f>
        <v>12846</v>
      </c>
      <c r="Q112" s="17">
        <f t="shared" si="124"/>
        <v>0</v>
      </c>
      <c r="R112" s="17">
        <f t="shared" si="124"/>
        <v>0</v>
      </c>
      <c r="S112" s="17">
        <f t="shared" si="124"/>
        <v>0</v>
      </c>
      <c r="Z112" s="17">
        <f>Z86+Z87</f>
        <v>37836</v>
      </c>
    </row>
    <row r="115" spans="2:26" x14ac:dyDescent="0.25">
      <c r="B115" s="10" t="s">
        <v>124</v>
      </c>
      <c r="O115" s="12">
        <f>AVERAGE(L55:O55)</f>
        <v>209269</v>
      </c>
      <c r="P115" s="12">
        <f>AVERAGE(M55:P55)</f>
        <v>218857.25</v>
      </c>
      <c r="Z115" s="12">
        <f>AVERAGE(L55:O55)</f>
        <v>209269</v>
      </c>
    </row>
    <row r="117" spans="2:26" x14ac:dyDescent="0.25">
      <c r="O117" s="12">
        <f>O71+O72+O78+O111</f>
        <v>18877</v>
      </c>
      <c r="P117" s="12">
        <f>P71+P72+P78+P111</f>
        <v>9008</v>
      </c>
    </row>
    <row r="118" spans="2:26" x14ac:dyDescent="0.25">
      <c r="B118" s="10" t="s">
        <v>125</v>
      </c>
      <c r="O118" s="12">
        <f>O48-O60</f>
        <v>53405</v>
      </c>
      <c r="P118" s="12">
        <f>P48-P60</f>
        <v>47229</v>
      </c>
    </row>
    <row r="119" spans="2:26" x14ac:dyDescent="0.25">
      <c r="O119" s="12"/>
      <c r="P119" s="12"/>
    </row>
    <row r="120" spans="2:26" x14ac:dyDescent="0.25">
      <c r="B120" s="10" t="s">
        <v>126</v>
      </c>
      <c r="L120" s="12">
        <f t="shared" ref="L120:N120" si="125">L118+L50+L52+L53</f>
        <v>112942</v>
      </c>
      <c r="M120" s="12">
        <f t="shared" si="125"/>
        <v>117965</v>
      </c>
      <c r="N120" s="12">
        <f t="shared" si="125"/>
        <v>118721</v>
      </c>
      <c r="O120" s="12">
        <f>O118+O50+O52+O53</f>
        <v>178228</v>
      </c>
      <c r="P120" s="12">
        <f>P118+P50+P52+P53</f>
        <v>174970</v>
      </c>
      <c r="Z120" s="12">
        <f>Z118+Z50+Z52+Z53</f>
        <v>124823</v>
      </c>
    </row>
    <row r="121" spans="2:26" x14ac:dyDescent="0.25">
      <c r="B121" s="10" t="s">
        <v>127</v>
      </c>
      <c r="L121" s="12">
        <f t="shared" ref="L121:N121" si="126">L62+L64-L74+L67</f>
        <v>143559</v>
      </c>
      <c r="M121" s="12">
        <f t="shared" si="126"/>
        <v>161464</v>
      </c>
      <c r="N121" s="12">
        <f t="shared" si="126"/>
        <v>168027</v>
      </c>
      <c r="O121" s="12">
        <f>O62+O64-O74+O67</f>
        <v>181598</v>
      </c>
      <c r="P121" s="12">
        <f>P62+P64-P74+P67</f>
        <v>169834</v>
      </c>
      <c r="Z121" s="12">
        <f>Z62+Z64-Z74+Z67</f>
        <v>182469</v>
      </c>
    </row>
    <row r="122" spans="2:26" s="12" customFormat="1" x14ac:dyDescent="0.25">
      <c r="B122" s="12" t="s">
        <v>128</v>
      </c>
      <c r="L122" s="12">
        <f t="shared" ref="L122:N122" si="127">L10*(1-L36)</f>
        <v>5646.4955522102091</v>
      </c>
      <c r="M122" s="12">
        <f t="shared" si="127"/>
        <v>7870.9669643817924</v>
      </c>
      <c r="N122" s="12">
        <f t="shared" si="127"/>
        <v>11358.279885877317</v>
      </c>
      <c r="O122" s="12">
        <f>O10*(1-O36)</f>
        <v>13663.405997144217</v>
      </c>
      <c r="P122" s="12">
        <f>P10*(1-P36)</f>
        <v>12050.683353310302</v>
      </c>
      <c r="Z122" s="12">
        <f>Z10*(1-Z36)</f>
        <v>38538.918929746142</v>
      </c>
    </row>
  </sheetData>
  <phoneticPr fontId="2" type="noConversion"/>
  <hyperlinks>
    <hyperlink ref="A1" location="Sheet2!A1" display="Main" xr:uid="{F11DAF57-F530-4668-9C6A-3624BEB892EC}"/>
  </hyperlinks>
  <pageMargins left="0.7" right="0.7" top="0.75" bottom="0.75" header="0.3" footer="0.3"/>
  <ignoredErrors>
    <ignoredError sqref="Y3:Z1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Vinnublöð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Herbert Guðmundsson</dc:creator>
  <cp:keywords/>
  <dc:description/>
  <cp:lastModifiedBy>Kaupandi ehf</cp:lastModifiedBy>
  <cp:revision/>
  <dcterms:created xsi:type="dcterms:W3CDTF">2024-04-17T23:07:06Z</dcterms:created>
  <dcterms:modified xsi:type="dcterms:W3CDTF">2024-05-28T21:46:45Z</dcterms:modified>
  <cp:category/>
  <cp:contentStatus/>
</cp:coreProperties>
</file>