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169" documentId="8_{10B69B73-9074-433B-9F29-1B8ED6142BED}" xr6:coauthVersionLast="47" xr6:coauthVersionMax="47" xr10:uidLastSave="{BF5CE116-BD68-485B-9FED-43A6832114D5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9" i="1" l="1"/>
  <c r="AM19" i="1"/>
  <c r="AK19" i="1"/>
  <c r="AI19" i="1"/>
  <c r="AG19" i="1"/>
  <c r="W37" i="1"/>
  <c r="V37" i="1"/>
  <c r="W36" i="1"/>
  <c r="W35" i="1" s="1"/>
  <c r="V36" i="1"/>
  <c r="V35" i="1" s="1"/>
  <c r="W47" i="1"/>
  <c r="V65" i="1"/>
  <c r="V61" i="1"/>
  <c r="W56" i="1"/>
  <c r="W61" i="1" s="1"/>
  <c r="W65" i="1" s="1"/>
  <c r="V56" i="1"/>
  <c r="W50" i="1"/>
  <c r="V50" i="1"/>
  <c r="W44" i="1"/>
  <c r="V44" i="1"/>
  <c r="L3" i="2"/>
  <c r="L4" i="2" s="1"/>
  <c r="L7" i="2" s="1"/>
  <c r="I37" i="1"/>
  <c r="I36" i="1"/>
  <c r="I35" i="1"/>
  <c r="M37" i="1"/>
  <c r="M36" i="1"/>
  <c r="M35" i="1"/>
  <c r="Q37" i="1"/>
  <c r="Q36" i="1"/>
  <c r="Q35" i="1" s="1"/>
  <c r="U37" i="1"/>
  <c r="U36" i="1"/>
  <c r="U35" i="1" s="1"/>
  <c r="AD37" i="1"/>
  <c r="AC37" i="1"/>
  <c r="AB37" i="1"/>
  <c r="AA37" i="1"/>
  <c r="AD36" i="1"/>
  <c r="AD35" i="1" s="1"/>
  <c r="AC36" i="1"/>
  <c r="AC35" i="1" s="1"/>
  <c r="AB36" i="1"/>
  <c r="AA36" i="1"/>
  <c r="AA35" i="1" s="1"/>
  <c r="AB35" i="1"/>
  <c r="AE35" i="1"/>
  <c r="AE37" i="1"/>
  <c r="AE36" i="1"/>
  <c r="AJ22" i="1"/>
  <c r="AH22" i="1"/>
  <c r="AG22" i="1"/>
  <c r="Y3" i="1"/>
  <c r="Y8" i="1" s="1"/>
  <c r="X3" i="1"/>
  <c r="X4" i="1" s="1"/>
  <c r="X6" i="1" s="1"/>
  <c r="AF22" i="1"/>
  <c r="AF5" i="1"/>
  <c r="X17" i="1"/>
  <c r="X15" i="1"/>
  <c r="X14" i="1"/>
  <c r="Y14" i="1" s="1"/>
  <c r="AF14" i="1" s="1"/>
  <c r="X13" i="1"/>
  <c r="Y13" i="1" s="1"/>
  <c r="X12" i="1"/>
  <c r="Y12" i="1" s="1"/>
  <c r="Y11" i="1"/>
  <c r="W28" i="1"/>
  <c r="V28" i="1"/>
  <c r="W27" i="1"/>
  <c r="V27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U28" i="1"/>
  <c r="I27" i="1"/>
  <c r="J27" i="1"/>
  <c r="K27" i="1"/>
  <c r="L27" i="1"/>
  <c r="M27" i="1"/>
  <c r="T27" i="1"/>
  <c r="S27" i="1"/>
  <c r="R27" i="1"/>
  <c r="Q27" i="1"/>
  <c r="P27" i="1"/>
  <c r="O27" i="1"/>
  <c r="N27" i="1"/>
  <c r="U27" i="1"/>
  <c r="AB22" i="1"/>
  <c r="AL22" i="1" s="1"/>
  <c r="AB19" i="1"/>
  <c r="AB17" i="1"/>
  <c r="AB16" i="1"/>
  <c r="AB15" i="1"/>
  <c r="AB14" i="1"/>
  <c r="AG14" i="1" s="1"/>
  <c r="AB13" i="1"/>
  <c r="AB12" i="1"/>
  <c r="AB11" i="1"/>
  <c r="AB8" i="1"/>
  <c r="AB7" i="1"/>
  <c r="AB5" i="1"/>
  <c r="AB4" i="1"/>
  <c r="AB3" i="1"/>
  <c r="AA64" i="1"/>
  <c r="AA63" i="1"/>
  <c r="AA62" i="1"/>
  <c r="AA60" i="1"/>
  <c r="AA59" i="1"/>
  <c r="AA58" i="1"/>
  <c r="AA57" i="1"/>
  <c r="AA55" i="1"/>
  <c r="AA54" i="1"/>
  <c r="AA53" i="1"/>
  <c r="AA52" i="1"/>
  <c r="AA51" i="1"/>
  <c r="AA49" i="1"/>
  <c r="AA48" i="1"/>
  <c r="AA46" i="1"/>
  <c r="AA45" i="1"/>
  <c r="AA43" i="1"/>
  <c r="AA42" i="1"/>
  <c r="AA41" i="1"/>
  <c r="AA40" i="1"/>
  <c r="AA39" i="1"/>
  <c r="AA38" i="1"/>
  <c r="AB64" i="1"/>
  <c r="AB63" i="1"/>
  <c r="AB62" i="1"/>
  <c r="AB60" i="1"/>
  <c r="AB59" i="1"/>
  <c r="AB58" i="1"/>
  <c r="AB57" i="1"/>
  <c r="AB55" i="1"/>
  <c r="AB54" i="1"/>
  <c r="AB53" i="1"/>
  <c r="AB52" i="1"/>
  <c r="AB51" i="1"/>
  <c r="AB49" i="1"/>
  <c r="AB48" i="1"/>
  <c r="AB46" i="1"/>
  <c r="AB45" i="1"/>
  <c r="AB43" i="1"/>
  <c r="AB42" i="1"/>
  <c r="AB41" i="1"/>
  <c r="AB40" i="1"/>
  <c r="AB39" i="1"/>
  <c r="AB38" i="1"/>
  <c r="AC64" i="1"/>
  <c r="AC63" i="1"/>
  <c r="AC62" i="1"/>
  <c r="AC60" i="1"/>
  <c r="AC59" i="1"/>
  <c r="AC58" i="1"/>
  <c r="AC57" i="1"/>
  <c r="AC55" i="1"/>
  <c r="AC54" i="1"/>
  <c r="AC53" i="1"/>
  <c r="AC52" i="1"/>
  <c r="AC51" i="1"/>
  <c r="AC49" i="1"/>
  <c r="AC48" i="1"/>
  <c r="AC46" i="1"/>
  <c r="AC45" i="1"/>
  <c r="AC43" i="1"/>
  <c r="AC42" i="1"/>
  <c r="AC41" i="1"/>
  <c r="AC40" i="1"/>
  <c r="AC39" i="1"/>
  <c r="AC38" i="1"/>
  <c r="AD64" i="1"/>
  <c r="AD63" i="1"/>
  <c r="AD62" i="1"/>
  <c r="AD60" i="1"/>
  <c r="AD59" i="1"/>
  <c r="AD58" i="1"/>
  <c r="AD57" i="1"/>
  <c r="AD55" i="1"/>
  <c r="AD54" i="1"/>
  <c r="AD53" i="1"/>
  <c r="AD52" i="1"/>
  <c r="AD51" i="1"/>
  <c r="AD49" i="1"/>
  <c r="AD48" i="1"/>
  <c r="AD46" i="1"/>
  <c r="AD45" i="1"/>
  <c r="AD43" i="1"/>
  <c r="AD42" i="1"/>
  <c r="AD41" i="1"/>
  <c r="AD40" i="1"/>
  <c r="AD39" i="1"/>
  <c r="AD38" i="1"/>
  <c r="AE64" i="1"/>
  <c r="AE63" i="1"/>
  <c r="AE62" i="1"/>
  <c r="AE60" i="1"/>
  <c r="AE59" i="1"/>
  <c r="AE58" i="1"/>
  <c r="AE57" i="1"/>
  <c r="AE55" i="1"/>
  <c r="AE54" i="1"/>
  <c r="AE53" i="1"/>
  <c r="AE52" i="1"/>
  <c r="AE51" i="1"/>
  <c r="AE49" i="1"/>
  <c r="AE48" i="1"/>
  <c r="AE46" i="1"/>
  <c r="AE45" i="1"/>
  <c r="AE43" i="1"/>
  <c r="AE42" i="1"/>
  <c r="AE41" i="1"/>
  <c r="AE40" i="1"/>
  <c r="AE39" i="1"/>
  <c r="AE38" i="1"/>
  <c r="AC22" i="1"/>
  <c r="AM22" i="1" s="1"/>
  <c r="AC19" i="1"/>
  <c r="AC17" i="1"/>
  <c r="AC16" i="1"/>
  <c r="AC15" i="1"/>
  <c r="AC14" i="1"/>
  <c r="AH14" i="1" s="1"/>
  <c r="AC13" i="1"/>
  <c r="AC12" i="1"/>
  <c r="AC11" i="1"/>
  <c r="AC8" i="1"/>
  <c r="AC7" i="1"/>
  <c r="AC5" i="1"/>
  <c r="AC4" i="1"/>
  <c r="AC3" i="1"/>
  <c r="AD22" i="1"/>
  <c r="AD19" i="1"/>
  <c r="AD17" i="1"/>
  <c r="AD16" i="1"/>
  <c r="AD15" i="1"/>
  <c r="AD14" i="1"/>
  <c r="AD13" i="1"/>
  <c r="AD12" i="1"/>
  <c r="AD11" i="1"/>
  <c r="AD8" i="1"/>
  <c r="AD7" i="1"/>
  <c r="AD5" i="1"/>
  <c r="AG5" i="1" s="1"/>
  <c r="AD4" i="1"/>
  <c r="AD3" i="1"/>
  <c r="AE22" i="1"/>
  <c r="AE19" i="1"/>
  <c r="AE17" i="1"/>
  <c r="AE16" i="1"/>
  <c r="AE15" i="1"/>
  <c r="AE14" i="1"/>
  <c r="AE13" i="1"/>
  <c r="AE12" i="1"/>
  <c r="AE11" i="1"/>
  <c r="AE8" i="1"/>
  <c r="AE7" i="1"/>
  <c r="AE5" i="1"/>
  <c r="AH5" i="1" s="1"/>
  <c r="AE4" i="1"/>
  <c r="AE3" i="1"/>
  <c r="U47" i="1"/>
  <c r="AE47" i="1" s="1"/>
  <c r="Q47" i="1"/>
  <c r="AD47" i="1" s="1"/>
  <c r="U56" i="1"/>
  <c r="U61" i="1" s="1"/>
  <c r="U65" i="1" s="1"/>
  <c r="AE65" i="1" s="1"/>
  <c r="T56" i="1"/>
  <c r="T61" i="1" s="1"/>
  <c r="T65" i="1" s="1"/>
  <c r="S56" i="1"/>
  <c r="S61" i="1" s="1"/>
  <c r="S65" i="1" s="1"/>
  <c r="R56" i="1"/>
  <c r="R61" i="1" s="1"/>
  <c r="R65" i="1" s="1"/>
  <c r="Q56" i="1"/>
  <c r="Q61" i="1" s="1"/>
  <c r="Q65" i="1" s="1"/>
  <c r="AD65" i="1" s="1"/>
  <c r="P56" i="1"/>
  <c r="P61" i="1" s="1"/>
  <c r="P65" i="1" s="1"/>
  <c r="O56" i="1"/>
  <c r="O61" i="1" s="1"/>
  <c r="O65" i="1" s="1"/>
  <c r="N56" i="1"/>
  <c r="N61" i="1" s="1"/>
  <c r="N65" i="1" s="1"/>
  <c r="U44" i="1"/>
  <c r="AE44" i="1" s="1"/>
  <c r="T44" i="1"/>
  <c r="T50" i="1" s="1"/>
  <c r="S44" i="1"/>
  <c r="S50" i="1" s="1"/>
  <c r="R44" i="1"/>
  <c r="R50" i="1" s="1"/>
  <c r="Q44" i="1"/>
  <c r="P44" i="1"/>
  <c r="P50" i="1" s="1"/>
  <c r="O44" i="1"/>
  <c r="O50" i="1" s="1"/>
  <c r="N44" i="1"/>
  <c r="N50" i="1" s="1"/>
  <c r="M47" i="1"/>
  <c r="AC47" i="1" s="1"/>
  <c r="M56" i="1"/>
  <c r="M61" i="1" s="1"/>
  <c r="M65" i="1" s="1"/>
  <c r="AC65" i="1" s="1"/>
  <c r="L56" i="1"/>
  <c r="L61" i="1" s="1"/>
  <c r="L65" i="1" s="1"/>
  <c r="K56" i="1"/>
  <c r="K61" i="1" s="1"/>
  <c r="K65" i="1" s="1"/>
  <c r="J56" i="1"/>
  <c r="J61" i="1" s="1"/>
  <c r="J65" i="1" s="1"/>
  <c r="M44" i="1"/>
  <c r="AC44" i="1" s="1"/>
  <c r="L44" i="1"/>
  <c r="L50" i="1" s="1"/>
  <c r="K44" i="1"/>
  <c r="K50" i="1" s="1"/>
  <c r="J44" i="1"/>
  <c r="J50" i="1" s="1"/>
  <c r="E47" i="1"/>
  <c r="AA47" i="1" s="1"/>
  <c r="H56" i="1"/>
  <c r="H61" i="1" s="1"/>
  <c r="H65" i="1" s="1"/>
  <c r="G56" i="1"/>
  <c r="G61" i="1" s="1"/>
  <c r="G65" i="1" s="1"/>
  <c r="F56" i="1"/>
  <c r="F61" i="1" s="1"/>
  <c r="F65" i="1" s="1"/>
  <c r="E56" i="1"/>
  <c r="E61" i="1" s="1"/>
  <c r="E65" i="1" s="1"/>
  <c r="AA65" i="1" s="1"/>
  <c r="H44" i="1"/>
  <c r="H50" i="1" s="1"/>
  <c r="G44" i="1"/>
  <c r="G50" i="1" s="1"/>
  <c r="F44" i="1"/>
  <c r="F50" i="1" s="1"/>
  <c r="E44" i="1"/>
  <c r="E50" i="1" s="1"/>
  <c r="AA50" i="1" s="1"/>
  <c r="I56" i="1"/>
  <c r="I61" i="1" s="1"/>
  <c r="I65" i="1" s="1"/>
  <c r="AB65" i="1" s="1"/>
  <c r="I47" i="1"/>
  <c r="I44" i="1"/>
  <c r="AB44" i="1" s="1"/>
  <c r="G9" i="1"/>
  <c r="G6" i="1"/>
  <c r="G30" i="1" s="1"/>
  <c r="F9" i="1"/>
  <c r="F6" i="1"/>
  <c r="F30" i="1" s="1"/>
  <c r="E9" i="1"/>
  <c r="E6" i="1"/>
  <c r="E30" i="1" s="1"/>
  <c r="H9" i="1"/>
  <c r="H6" i="1"/>
  <c r="H30" i="1" s="1"/>
  <c r="L9" i="1"/>
  <c r="L6" i="1"/>
  <c r="L30" i="1" s="1"/>
  <c r="I9" i="1"/>
  <c r="I6" i="1"/>
  <c r="I30" i="1" s="1"/>
  <c r="M9" i="1"/>
  <c r="M6" i="1"/>
  <c r="M30" i="1" s="1"/>
  <c r="J9" i="1"/>
  <c r="J6" i="1"/>
  <c r="J30" i="1" s="1"/>
  <c r="N9" i="1"/>
  <c r="N6" i="1"/>
  <c r="N30" i="1" s="1"/>
  <c r="K9" i="1"/>
  <c r="K6" i="1"/>
  <c r="K30" i="1" s="1"/>
  <c r="O9" i="1"/>
  <c r="O6" i="1"/>
  <c r="O30" i="1" s="1"/>
  <c r="P9" i="1"/>
  <c r="P6" i="1"/>
  <c r="P30" i="1" s="1"/>
  <c r="T9" i="1"/>
  <c r="T6" i="1"/>
  <c r="T30" i="1" s="1"/>
  <c r="Q9" i="1"/>
  <c r="Q6" i="1"/>
  <c r="Q30" i="1" s="1"/>
  <c r="U9" i="1"/>
  <c r="U6" i="1"/>
  <c r="U30" i="1" s="1"/>
  <c r="R9" i="1"/>
  <c r="R6" i="1"/>
  <c r="R30" i="1" s="1"/>
  <c r="V9" i="1"/>
  <c r="V6" i="1"/>
  <c r="V30" i="1" s="1"/>
  <c r="S9" i="1"/>
  <c r="S6" i="1"/>
  <c r="S30" i="1" s="1"/>
  <c r="W9" i="1"/>
  <c r="W6" i="1"/>
  <c r="W30" i="1" s="1"/>
  <c r="L8" i="2"/>
  <c r="AG12" i="1" l="1"/>
  <c r="AI5" i="1"/>
  <c r="AI14" i="1"/>
  <c r="AK14" i="1" s="1"/>
  <c r="AH12" i="1"/>
  <c r="AG13" i="1"/>
  <c r="AH13" i="1"/>
  <c r="AF12" i="1"/>
  <c r="Y15" i="1"/>
  <c r="AF15" i="1" s="1"/>
  <c r="AF13" i="1"/>
  <c r="AI22" i="1"/>
  <c r="AF16" i="1"/>
  <c r="AK22" i="1"/>
  <c r="Y17" i="1"/>
  <c r="AF17" i="1" s="1"/>
  <c r="Y27" i="1"/>
  <c r="X28" i="1"/>
  <c r="AP22" i="1"/>
  <c r="AJ14" i="1"/>
  <c r="AN22" i="1"/>
  <c r="AO22" i="1"/>
  <c r="AJ5" i="1"/>
  <c r="Y4" i="1"/>
  <c r="Y6" i="1" s="1"/>
  <c r="Y30" i="1" s="1"/>
  <c r="Y7" i="1"/>
  <c r="AF3" i="1"/>
  <c r="AF4" i="1"/>
  <c r="X7" i="1"/>
  <c r="AF7" i="1" s="1"/>
  <c r="Y28" i="1"/>
  <c r="X11" i="1"/>
  <c r="AF11" i="1" s="1"/>
  <c r="X30" i="1"/>
  <c r="X8" i="1"/>
  <c r="X27" i="1"/>
  <c r="Y9" i="1"/>
  <c r="Y10" i="1" s="1"/>
  <c r="AE27" i="1"/>
  <c r="AD27" i="1"/>
  <c r="AC27" i="1"/>
  <c r="AE9" i="1"/>
  <c r="AB6" i="1"/>
  <c r="AB30" i="1" s="1"/>
  <c r="AE6" i="1"/>
  <c r="AE30" i="1" s="1"/>
  <c r="AC6" i="1"/>
  <c r="AC30" i="1" s="1"/>
  <c r="AA44" i="1"/>
  <c r="M50" i="1"/>
  <c r="AC50" i="1" s="1"/>
  <c r="AB9" i="1"/>
  <c r="Q50" i="1"/>
  <c r="AD50" i="1" s="1"/>
  <c r="AC9" i="1"/>
  <c r="AE61" i="1"/>
  <c r="AC61" i="1"/>
  <c r="AA61" i="1"/>
  <c r="I50" i="1"/>
  <c r="AB50" i="1" s="1"/>
  <c r="AE56" i="1"/>
  <c r="AC56" i="1"/>
  <c r="AA56" i="1"/>
  <c r="AD61" i="1"/>
  <c r="AB47" i="1"/>
  <c r="AB61" i="1"/>
  <c r="W10" i="1"/>
  <c r="AD56" i="1"/>
  <c r="AB56" i="1"/>
  <c r="AD44" i="1"/>
  <c r="AD9" i="1"/>
  <c r="AD6" i="1"/>
  <c r="AD30" i="1" s="1"/>
  <c r="U50" i="1"/>
  <c r="AE50" i="1" s="1"/>
  <c r="G10" i="1"/>
  <c r="F10" i="1"/>
  <c r="F31" i="1" s="1"/>
  <c r="E10" i="1"/>
  <c r="H10" i="1"/>
  <c r="L10" i="1"/>
  <c r="I10" i="1"/>
  <c r="M10" i="1"/>
  <c r="M31" i="1" s="1"/>
  <c r="J10" i="1"/>
  <c r="J31" i="1" s="1"/>
  <c r="N10" i="1"/>
  <c r="N31" i="1" s="1"/>
  <c r="K10" i="1"/>
  <c r="K31" i="1" s="1"/>
  <c r="O10" i="1"/>
  <c r="O31" i="1" s="1"/>
  <c r="P10" i="1"/>
  <c r="T10" i="1"/>
  <c r="T31" i="1" s="1"/>
  <c r="Q10" i="1"/>
  <c r="Q31" i="1" s="1"/>
  <c r="U10" i="1"/>
  <c r="U31" i="1" s="1"/>
  <c r="R10" i="1"/>
  <c r="R31" i="1" s="1"/>
  <c r="V10" i="1"/>
  <c r="S10" i="1"/>
  <c r="AG17" i="1" l="1"/>
  <c r="AH17" i="1" s="1"/>
  <c r="AI17" i="1"/>
  <c r="AJ13" i="1"/>
  <c r="AH15" i="1"/>
  <c r="AG15" i="1"/>
  <c r="AI13" i="1"/>
  <c r="AK13" i="1"/>
  <c r="AF27" i="1"/>
  <c r="AG3" i="1"/>
  <c r="AF6" i="1"/>
  <c r="AI12" i="1"/>
  <c r="AJ17" i="1"/>
  <c r="AK17" i="1"/>
  <c r="AL14" i="1"/>
  <c r="AM14" i="1" s="1"/>
  <c r="AK5" i="1"/>
  <c r="Y18" i="1"/>
  <c r="Y19" i="1" s="1"/>
  <c r="Y31" i="1"/>
  <c r="AF30" i="1"/>
  <c r="X9" i="1"/>
  <c r="AF8" i="1"/>
  <c r="AF9" i="1" s="1"/>
  <c r="G18" i="1"/>
  <c r="G31" i="1"/>
  <c r="L18" i="1"/>
  <c r="L31" i="1"/>
  <c r="V18" i="1"/>
  <c r="V31" i="1"/>
  <c r="P18" i="1"/>
  <c r="P31" i="1"/>
  <c r="I18" i="1"/>
  <c r="I33" i="1" s="1"/>
  <c r="I31" i="1"/>
  <c r="H18" i="1"/>
  <c r="H33" i="1" s="1"/>
  <c r="H31" i="1"/>
  <c r="E18" i="1"/>
  <c r="E33" i="1" s="1"/>
  <c r="E31" i="1"/>
  <c r="S18" i="1"/>
  <c r="S31" i="1"/>
  <c r="W18" i="1"/>
  <c r="W31" i="1"/>
  <c r="F18" i="1"/>
  <c r="F33" i="1" s="1"/>
  <c r="AB10" i="1"/>
  <c r="AB31" i="1" s="1"/>
  <c r="N18" i="1"/>
  <c r="R18" i="1"/>
  <c r="R33" i="1" s="1"/>
  <c r="AE10" i="1"/>
  <c r="AE31" i="1" s="1"/>
  <c r="J18" i="1"/>
  <c r="J33" i="1" s="1"/>
  <c r="AC10" i="1"/>
  <c r="AC31" i="1" s="1"/>
  <c r="O18" i="1"/>
  <c r="O33" i="1" s="1"/>
  <c r="AD10" i="1"/>
  <c r="AD31" i="1" s="1"/>
  <c r="K18" i="1"/>
  <c r="I20" i="1"/>
  <c r="U18" i="1"/>
  <c r="M18" i="1"/>
  <c r="Q18" i="1"/>
  <c r="T18" i="1"/>
  <c r="AF10" i="1" l="1"/>
  <c r="AF18" i="1" s="1"/>
  <c r="AI15" i="1"/>
  <c r="AG27" i="1"/>
  <c r="AG11" i="1"/>
  <c r="AG8" i="1"/>
  <c r="AG7" i="1"/>
  <c r="AG9" i="1" s="1"/>
  <c r="AG4" i="1"/>
  <c r="AG6" i="1" s="1"/>
  <c r="AH3" i="1"/>
  <c r="AL13" i="1"/>
  <c r="AL17" i="1"/>
  <c r="AJ12" i="1"/>
  <c r="AN14" i="1"/>
  <c r="AO14" i="1" s="1"/>
  <c r="AM17" i="1"/>
  <c r="AN17" i="1"/>
  <c r="AL5" i="1"/>
  <c r="Y20" i="1"/>
  <c r="Y33" i="1"/>
  <c r="X10" i="1"/>
  <c r="H20" i="1"/>
  <c r="H21" i="1" s="1"/>
  <c r="S20" i="1"/>
  <c r="S33" i="1"/>
  <c r="P20" i="1"/>
  <c r="P33" i="1"/>
  <c r="U20" i="1"/>
  <c r="U33" i="1"/>
  <c r="N20" i="1"/>
  <c r="N33" i="1"/>
  <c r="V20" i="1"/>
  <c r="V33" i="1"/>
  <c r="E20" i="1"/>
  <c r="H32" i="1"/>
  <c r="K20" i="1"/>
  <c r="K33" i="1"/>
  <c r="T20" i="1"/>
  <c r="T33" i="1"/>
  <c r="L20" i="1"/>
  <c r="L33" i="1"/>
  <c r="Q20" i="1"/>
  <c r="Q33" i="1"/>
  <c r="I21" i="1"/>
  <c r="I32" i="1"/>
  <c r="M20" i="1"/>
  <c r="M33" i="1"/>
  <c r="W20" i="1"/>
  <c r="W33" i="1"/>
  <c r="G20" i="1"/>
  <c r="G33" i="1"/>
  <c r="J20" i="1"/>
  <c r="J32" i="1" s="1"/>
  <c r="AC18" i="1"/>
  <c r="AC33" i="1" s="1"/>
  <c r="R20" i="1"/>
  <c r="R32" i="1" s="1"/>
  <c r="AE18" i="1"/>
  <c r="AE33" i="1" s="1"/>
  <c r="F20" i="1"/>
  <c r="F32" i="1" s="1"/>
  <c r="AB18" i="1"/>
  <c r="AB33" i="1" s="1"/>
  <c r="O20" i="1"/>
  <c r="O32" i="1" s="1"/>
  <c r="AD18" i="1"/>
  <c r="AD33" i="1" s="1"/>
  <c r="AG10" i="1" l="1"/>
  <c r="AG30" i="1"/>
  <c r="AO17" i="1"/>
  <c r="AP17" i="1" s="1"/>
  <c r="AH27" i="1"/>
  <c r="AH11" i="1"/>
  <c r="AH8" i="1"/>
  <c r="AH7" i="1"/>
  <c r="AH9" i="1" s="1"/>
  <c r="AH4" i="1"/>
  <c r="AH6" i="1" s="1"/>
  <c r="AI3" i="1"/>
  <c r="AK12" i="1"/>
  <c r="AL12" i="1" s="1"/>
  <c r="AM12" i="1" s="1"/>
  <c r="AK15" i="1"/>
  <c r="AM13" i="1"/>
  <c r="AN13" i="1" s="1"/>
  <c r="AP14" i="1"/>
  <c r="AJ15" i="1"/>
  <c r="AL15" i="1" s="1"/>
  <c r="AM5" i="1"/>
  <c r="AN5" i="1"/>
  <c r="Y21" i="1"/>
  <c r="AI21" i="1" s="1"/>
  <c r="Y32" i="1"/>
  <c r="X18" i="1"/>
  <c r="AF31" i="1"/>
  <c r="X31" i="1"/>
  <c r="N21" i="1"/>
  <c r="N32" i="1"/>
  <c r="U21" i="1"/>
  <c r="U32" i="1"/>
  <c r="T21" i="1"/>
  <c r="T32" i="1"/>
  <c r="K21" i="1"/>
  <c r="K32" i="1"/>
  <c r="G21" i="1"/>
  <c r="G32" i="1"/>
  <c r="P21" i="1"/>
  <c r="P32" i="1"/>
  <c r="M21" i="1"/>
  <c r="M32" i="1"/>
  <c r="Q21" i="1"/>
  <c r="Q32" i="1"/>
  <c r="E21" i="1"/>
  <c r="E32" i="1"/>
  <c r="W21" i="1"/>
  <c r="W32" i="1"/>
  <c r="L21" i="1"/>
  <c r="L32" i="1"/>
  <c r="V21" i="1"/>
  <c r="V32" i="1"/>
  <c r="S21" i="1"/>
  <c r="S32" i="1"/>
  <c r="F21" i="1"/>
  <c r="AB21" i="1" s="1"/>
  <c r="AB20" i="1"/>
  <c r="AB32" i="1" s="1"/>
  <c r="R21" i="1"/>
  <c r="AE21" i="1" s="1"/>
  <c r="AE20" i="1"/>
  <c r="AE32" i="1" s="1"/>
  <c r="J21" i="1"/>
  <c r="AC20" i="1"/>
  <c r="AC32" i="1" s="1"/>
  <c r="O21" i="1"/>
  <c r="AD20" i="1"/>
  <c r="AD32" i="1" s="1"/>
  <c r="AH10" i="1" l="1"/>
  <c r="AH30" i="1"/>
  <c r="AM15" i="1"/>
  <c r="AN15" i="1" s="1"/>
  <c r="AO15" i="1" s="1"/>
  <c r="AJ3" i="1"/>
  <c r="AI4" i="1"/>
  <c r="AI6" i="1" s="1"/>
  <c r="AI30" i="1" s="1"/>
  <c r="AI27" i="1"/>
  <c r="AI11" i="1"/>
  <c r="AI8" i="1"/>
  <c r="AI7" i="1"/>
  <c r="AI9" i="1" s="1"/>
  <c r="AO13" i="1"/>
  <c r="AP13" i="1" s="1"/>
  <c r="AG18" i="1"/>
  <c r="AG31" i="1"/>
  <c r="AN12" i="1"/>
  <c r="AO12" i="1" s="1"/>
  <c r="AP12" i="1" s="1"/>
  <c r="AO5" i="1"/>
  <c r="AP5" i="1" s="1"/>
  <c r="X19" i="1"/>
  <c r="AF19" i="1" s="1"/>
  <c r="AF20" i="1" s="1"/>
  <c r="AC21" i="1"/>
  <c r="AJ21" i="1" s="1"/>
  <c r="AD21" i="1"/>
  <c r="AK21" i="1" s="1"/>
  <c r="AL21" i="1" l="1"/>
  <c r="AJ27" i="1"/>
  <c r="AJ7" i="1"/>
  <c r="AJ9" i="1" s="1"/>
  <c r="AK3" i="1"/>
  <c r="AJ8" i="1"/>
  <c r="AJ4" i="1"/>
  <c r="AJ6" i="1" s="1"/>
  <c r="AJ30" i="1" s="1"/>
  <c r="AJ11" i="1"/>
  <c r="AG20" i="1"/>
  <c r="AG32" i="1" s="1"/>
  <c r="AG33" i="1"/>
  <c r="AH18" i="1"/>
  <c r="AH19" i="1" s="1"/>
  <c r="AH31" i="1"/>
  <c r="AI10" i="1"/>
  <c r="AP15" i="1"/>
  <c r="X20" i="1"/>
  <c r="AF33" i="1"/>
  <c r="X33" i="1"/>
  <c r="AK27" i="1" l="1"/>
  <c r="AL3" i="1"/>
  <c r="AK4" i="1"/>
  <c r="AK6" i="1" s="1"/>
  <c r="AK30" i="1" s="1"/>
  <c r="AK7" i="1"/>
  <c r="AK11" i="1"/>
  <c r="AK8" i="1"/>
  <c r="AH20" i="1"/>
  <c r="AH32" i="1" s="1"/>
  <c r="AH33" i="1"/>
  <c r="AJ10" i="1"/>
  <c r="AI18" i="1"/>
  <c r="AI31" i="1"/>
  <c r="X21" i="1"/>
  <c r="X32" i="1"/>
  <c r="AF32" i="1"/>
  <c r="AF21" i="1" l="1"/>
  <c r="AH21" i="1"/>
  <c r="AG21" i="1"/>
  <c r="AL4" i="1"/>
  <c r="AL6" i="1" s="1"/>
  <c r="AL27" i="1"/>
  <c r="AM3" i="1"/>
  <c r="AL11" i="1"/>
  <c r="AL8" i="1"/>
  <c r="AL7" i="1"/>
  <c r="AK9" i="1"/>
  <c r="AK10" i="1" s="1"/>
  <c r="AI20" i="1"/>
  <c r="AI33" i="1"/>
  <c r="AJ18" i="1"/>
  <c r="AJ19" i="1" s="1"/>
  <c r="AJ31" i="1"/>
  <c r="AI32" i="1" l="1"/>
  <c r="AL30" i="1"/>
  <c r="AM4" i="1"/>
  <c r="AM6" i="1"/>
  <c r="AM27" i="1"/>
  <c r="AN3" i="1"/>
  <c r="AM11" i="1"/>
  <c r="AM8" i="1"/>
  <c r="AM7" i="1"/>
  <c r="AJ20" i="1"/>
  <c r="AJ32" i="1" s="1"/>
  <c r="AJ33" i="1"/>
  <c r="AP21" i="1"/>
  <c r="AK18" i="1"/>
  <c r="AK31" i="1"/>
  <c r="AL9" i="1"/>
  <c r="AL10" i="1" s="1"/>
  <c r="AO21" i="1"/>
  <c r="AN21" i="1"/>
  <c r="AM21" i="1"/>
  <c r="AL18" i="1" l="1"/>
  <c r="AL19" i="1" s="1"/>
  <c r="AL31" i="1"/>
  <c r="AK20" i="1"/>
  <c r="AK33" i="1"/>
  <c r="AN6" i="1"/>
  <c r="AN27" i="1"/>
  <c r="AO3" i="1"/>
  <c r="AN11" i="1"/>
  <c r="AN8" i="1"/>
  <c r="AN7" i="1"/>
  <c r="AN9" i="1" s="1"/>
  <c r="AN4" i="1"/>
  <c r="AM30" i="1"/>
  <c r="AM9" i="1"/>
  <c r="AM10" i="1" s="1"/>
  <c r="AK32" i="1" l="1"/>
  <c r="AM18" i="1"/>
  <c r="AM31" i="1"/>
  <c r="AO27" i="1"/>
  <c r="AP3" i="1"/>
  <c r="AO11" i="1"/>
  <c r="AO8" i="1"/>
  <c r="AO7" i="1"/>
  <c r="AO9" i="1" s="1"/>
  <c r="AO4" i="1"/>
  <c r="AO6" i="1" s="1"/>
  <c r="AN10" i="1"/>
  <c r="AN30" i="1"/>
  <c r="AL20" i="1"/>
  <c r="AL32" i="1" s="1"/>
  <c r="AL33" i="1"/>
  <c r="AP27" i="1" l="1"/>
  <c r="AP11" i="1"/>
  <c r="AP8" i="1"/>
  <c r="AP7" i="1"/>
  <c r="AP9" i="1" s="1"/>
  <c r="AP4" i="1"/>
  <c r="AP6" i="1"/>
  <c r="AO10" i="1"/>
  <c r="AO30" i="1"/>
  <c r="AN18" i="1"/>
  <c r="AN19" i="1" s="1"/>
  <c r="AN31" i="1"/>
  <c r="AM20" i="1"/>
  <c r="AM32" i="1" s="1"/>
  <c r="AM33" i="1"/>
  <c r="AO18" i="1" l="1"/>
  <c r="AO31" i="1"/>
  <c r="AP10" i="1"/>
  <c r="AP30" i="1"/>
  <c r="AN20" i="1"/>
  <c r="AN32" i="1" s="1"/>
  <c r="AN33" i="1"/>
  <c r="AP18" i="1" l="1"/>
  <c r="AP19" i="1" s="1"/>
  <c r="AP31" i="1"/>
  <c r="AO20" i="1"/>
  <c r="AO32" i="1" s="1"/>
  <c r="AO33" i="1"/>
  <c r="AP20" i="1" l="1"/>
  <c r="AP33" i="1"/>
  <c r="AP32" i="1" l="1"/>
  <c r="AQ20" i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AT23" i="1" s="1"/>
  <c r="AT25" i="1" s="1"/>
  <c r="AT26" i="1" s="1"/>
  <c r="AT27" i="1" s="1"/>
</calcChain>
</file>

<file path=xl/sharedStrings.xml><?xml version="1.0" encoding="utf-8"?>
<sst xmlns="http://schemas.openxmlformats.org/spreadsheetml/2006/main" count="112" uniqueCount="103">
  <si>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</si>
  <si>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</si>
  <si>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</si>
  <si>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</si>
  <si>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</si>
  <si>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</si>
  <si>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</si>
  <si>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</si>
  <si>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</si>
  <si>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</si>
  <si>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</si>
  <si>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</si>
  <si>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</si>
  <si>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</si>
  <si>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</si>
  <si>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</si>
  <si>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</si>
  <si>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</si>
  <si>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</si>
  <si>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</si>
  <si>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</si>
  <si>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</si>
  <si>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</si>
  <si>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</si>
  <si>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</si>
  <si>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</si>
  <si>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</si>
  <si>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</si>
  <si>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MOOG, INC</t>
  </si>
  <si>
    <t>MOG.A</t>
  </si>
  <si>
    <t>Gross Profit</t>
  </si>
  <si>
    <t>Inventory write-down</t>
  </si>
  <si>
    <t>COGS</t>
  </si>
  <si>
    <t>Revenue</t>
  </si>
  <si>
    <t>R&amp;D</t>
  </si>
  <si>
    <t>SG&amp;A</t>
  </si>
  <si>
    <t>Interest</t>
  </si>
  <si>
    <t>Asset impairment</t>
  </si>
  <si>
    <t>Restructuring</t>
  </si>
  <si>
    <t>Gain on sale of buildings</t>
  </si>
  <si>
    <t>Other</t>
  </si>
  <si>
    <t>Pretax</t>
  </si>
  <si>
    <t>Taxes</t>
  </si>
  <si>
    <t>Net income</t>
  </si>
  <si>
    <t>EPS</t>
  </si>
  <si>
    <t>Operating income</t>
  </si>
  <si>
    <t>Operating expenses</t>
  </si>
  <si>
    <t>Loss on sale of businesses</t>
  </si>
  <si>
    <t>Pension settlement</t>
  </si>
  <si>
    <t>CEO Transition</t>
  </si>
  <si>
    <t>February 1, 2023 - John Scannell, Chairman and CEO retires.</t>
  </si>
  <si>
    <t>He will continue to serve on Moog's Board of Directors ss Non-Executive Chairman.</t>
  </si>
  <si>
    <t>Patrick J. Roche was appointed to succeed as CEO effective February 1, 2023.</t>
  </si>
  <si>
    <t>Q320</t>
  </si>
  <si>
    <t>Q120</t>
  </si>
  <si>
    <t>Q220</t>
  </si>
  <si>
    <t>Q419</t>
  </si>
  <si>
    <t>Dividends per share</t>
  </si>
  <si>
    <t>Restricted cash</t>
  </si>
  <si>
    <t>Receivables</t>
  </si>
  <si>
    <t>Inventories</t>
  </si>
  <si>
    <t>Prepaid</t>
  </si>
  <si>
    <t>Current assets</t>
  </si>
  <si>
    <t>PP&amp;E</t>
  </si>
  <si>
    <t>Leases</t>
  </si>
  <si>
    <t>Goodwill + Intangibles</t>
  </si>
  <si>
    <t>DT</t>
  </si>
  <si>
    <t>OA</t>
  </si>
  <si>
    <t>Assets</t>
  </si>
  <si>
    <t>Current installments of long-term debt</t>
  </si>
  <si>
    <t>A/P</t>
  </si>
  <si>
    <t>Accrued compensation</t>
  </si>
  <si>
    <t>Contract advances</t>
  </si>
  <si>
    <t>Accrued liabilities</t>
  </si>
  <si>
    <t>Current liabilities</t>
  </si>
  <si>
    <t>Long-term debt</t>
  </si>
  <si>
    <t>Long-term pension and retirement oblig.</t>
  </si>
  <si>
    <t>OLTL</t>
  </si>
  <si>
    <t>Liabilities</t>
  </si>
  <si>
    <t>Equity - Class A</t>
  </si>
  <si>
    <t>Equity - Class B</t>
  </si>
  <si>
    <t>Total SE</t>
  </si>
  <si>
    <t>L+SE</t>
  </si>
  <si>
    <t>Unbilled receivables</t>
  </si>
  <si>
    <t>Revenue Y/Y</t>
  </si>
  <si>
    <t>Revenue Q/Q</t>
  </si>
  <si>
    <t>Gross Margin %</t>
  </si>
  <si>
    <t>Operating Margin %</t>
  </si>
  <si>
    <t>Net Margin %</t>
  </si>
  <si>
    <t>Tax Rate %</t>
  </si>
  <si>
    <t>Net cash</t>
  </si>
  <si>
    <t xml:space="preserve">Cash </t>
  </si>
  <si>
    <t xml:space="preserve">Moog is a worldwide designer, manufacturer and systems integrator of high </t>
  </si>
  <si>
    <t>performance precision motion and fluid controls and controls systems for a broad</t>
  </si>
  <si>
    <t>range of applications in aerospace and defense and industrial markets. They have</t>
  </si>
  <si>
    <t xml:space="preserve">three operating segments: Aircraft Controls, Space and Defense Controls, and </t>
  </si>
  <si>
    <t>Industrial Systems.</t>
  </si>
  <si>
    <t xml:space="preserve">Maturity </t>
  </si>
  <si>
    <t>Discount</t>
  </si>
  <si>
    <t>NPV</t>
  </si>
  <si>
    <t>Value</t>
  </si>
  <si>
    <t>Per Share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</si>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</sst>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10" fillId="2" borderId="0" xfId="0" applyNumberFormat="1" applyFont="1" applyFill="1"/>
    <xf numFmtId="3" fontId="9" fillId="2" borderId="0" xfId="0" applyNumberFormat="1" applyFont="1" applyFill="1"/>
    <xf numFmtId="3" fontId="9" fillId="0" borderId="0" xfId="0" applyNumberFormat="1" applyFont="1"/>
    <xf numFmtId="2" fontId="0" fillId="0" borderId="0" xfId="0" applyNumberFormat="1"/>
    <xf numFmtId="1" fontId="0" fillId="0" borderId="0" xfId="0" applyNumberFormat="1"/>
    <xf numFmtId="3" fontId="9" fillId="2" borderId="2" xfId="0" applyNumberFormat="1" applyFont="1" applyFill="1" applyBorder="1"/>
    <xf numFmtId="3" fontId="9" fillId="0" borderId="2" xfId="0" applyNumberFormat="1" applyFont="1" applyBorder="1"/>
    <xf numFmtId="4" fontId="0" fillId="0" borderId="0" xfId="0" applyNumberFormat="1"/>
    <xf numFmtId="3" fontId="0" fillId="0" borderId="0" xfId="0" applyNumberFormat="1" applyFont="1"/>
    <xf numFmtId="3" fontId="0" fillId="2" borderId="2" xfId="0" applyNumberFormat="1" applyFont="1" applyFill="1" applyBorder="1"/>
    <xf numFmtId="3" fontId="0" fillId="0" borderId="2" xfId="0" applyNumberFormat="1" applyFont="1" applyBorder="1"/>
    <xf numFmtId="3" fontId="0" fillId="2" borderId="2" xfId="0" applyNumberFormat="1" applyFill="1" applyBorder="1"/>
    <xf numFmtId="3" fontId="0" fillId="0" borderId="2" xfId="0" applyNumberFormat="1" applyBorder="1"/>
    <xf numFmtId="0" fontId="1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2" borderId="0" xfId="0" applyFont="1" applyFill="1"/>
    <xf numFmtId="0" fontId="12" fillId="0" borderId="0" xfId="0" applyFont="1"/>
    <xf numFmtId="0" fontId="12" fillId="2" borderId="11" xfId="0" applyFont="1" applyFill="1" applyBorder="1"/>
    <xf numFmtId="0" fontId="12" fillId="0" borderId="11" xfId="0" applyFont="1" applyBorder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14" fillId="0" borderId="3" xfId="0" applyFont="1" applyBorder="1"/>
    <xf numFmtId="0" fontId="14" fillId="0" borderId="6" xfId="0" applyFont="1" applyBorder="1"/>
    <xf numFmtId="0" fontId="14" fillId="0" borderId="8" xfId="0" applyFont="1" applyBorder="1"/>
    <xf numFmtId="3" fontId="12" fillId="2" borderId="4" xfId="0" applyNumberFormat="1" applyFont="1" applyFill="1" applyBorder="1"/>
    <xf numFmtId="3" fontId="12" fillId="0" borderId="4" xfId="0" applyNumberFormat="1" applyFont="1" applyBorder="1"/>
    <xf numFmtId="3" fontId="12" fillId="2" borderId="9" xfId="0" applyNumberFormat="1" applyFont="1" applyFill="1" applyBorder="1"/>
    <xf numFmtId="3" fontId="12" fillId="0" borderId="9" xfId="0" applyNumberFormat="1" applyFont="1" applyBorder="1"/>
    <xf numFmtId="3" fontId="12" fillId="2" borderId="0" xfId="0" applyNumberFormat="1" applyFont="1" applyFill="1" applyBorder="1"/>
    <xf numFmtId="3" fontId="12" fillId="0" borderId="0" xfId="0" applyNumberFormat="1" applyFont="1" applyBorder="1"/>
    <xf numFmtId="9" fontId="12" fillId="0" borderId="4" xfId="0" applyNumberFormat="1" applyFont="1" applyBorder="1"/>
    <xf numFmtId="9" fontId="12" fillId="0" borderId="9" xfId="0" applyNumberFormat="1" applyFont="1" applyBorder="1"/>
    <xf numFmtId="9" fontId="12" fillId="0" borderId="0" xfId="0" applyNumberFormat="1" applyFont="1" applyBorder="1"/>
    <xf numFmtId="9" fontId="0" fillId="0" borderId="0" xfId="2" applyFont="1"/>
    <xf numFmtId="3" fontId="12" fillId="0" borderId="0" xfId="0" applyNumberFormat="1" applyFont="1"/>
    <xf numFmtId="3" fontId="12" fillId="0" borderId="11" xfId="0" applyNumberFormat="1" applyFont="1" applyBorder="1"/>
    <xf numFmtId="3" fontId="13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518161</xdr:colOff>
      <xdr:row>9</xdr:row>
      <xdr:rowOff>7621</xdr:rowOff>
    </xdr:from>
    <xdr:to>
      <xdr:col>7</xdr:col>
      <xdr:colOff>603885</xdr:colOff>
      <xdr:row>11</xdr:row>
      <xdr:rowOff>149799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F5A5F1-904F-000F-4FF8-6886B083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1" y="1943101"/>
          <a:ext cx="3979544" cy="523178"/>
        </a:xfrm>
        <a:prstGeom prst="rect">
          <a:avLst/>
        </a:prstGeom>
        <a:solidFill>
          <a:schemeClr val="accent2">
            <a:lumMod val="5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667116</xdr:colOff>
      <xdr:row>0</xdr:row>
      <xdr:rowOff>99866</xdr:rowOff>
    </xdr:from>
    <xdr:to>
      <xdr:col>22</xdr:col>
      <xdr:colOff>667116</xdr:colOff>
      <xdr:row>108</xdr:row>
      <xdr:rowOff>181592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9A2687-277A-04E5-52C5-F70521D5044F}"/>
            </a:ext>
          </a:extLst>
        </xdr:cNvPr>
        <xdr:cNvCxnSpPr/>
      </xdr:nvCxnSpPr>
      <xdr:spPr>
        <a:xfrm>
          <a:off x="15854362" y="99866"/>
          <a:ext cx="0" cy="20667449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0</xdr:colOff>
      <xdr:row>109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4"/>
  <sheetViews>
    <sheetView workbookViewId="0">
      <selection activeCell="L8" sqref="L8"/>
    </sheetView>
  </sheetViews>
  <sheetFormatPr defaultRowHeight="15" x14ac:dyDescent="0.25"/>
  <cols>
    <col min="2" max="2" width="12.85546875" customWidth="1"/>
    <col min="12" max="12" width="13.85546875" customWidth="1"/>
    <col min="13" max="13" width="9.140625" customWidth="1"/>
  </cols>
  <sheetData>
    <row r="1" spans="2:13" ht="21" x14ac:dyDescent="0.35">
      <c r="B1" s="9" t="s">
        <v>18</v>
      </c>
      <c r="K1" s="11" t="s">
        <v>29</v>
      </c>
      <c r="L1" s="11"/>
    </row>
    <row r="2" spans="2:13" ht="22.5" x14ac:dyDescent="0.25">
      <c r="B2" s="12" t="s">
        <v>28</v>
      </c>
      <c r="C2" s="12"/>
      <c r="D2" s="12"/>
      <c r="E2" s="12"/>
      <c r="F2" s="12"/>
      <c r="G2" s="12"/>
      <c r="H2" s="12"/>
      <c r="I2" s="12"/>
      <c r="K2" s="1" t="s">
        <v>0</v>
      </c>
      <c r="L2" s="4">
        <v>163.35</v>
      </c>
    </row>
    <row r="3" spans="2:13" x14ac:dyDescent="0.25">
      <c r="K3" s="1" t="s">
        <v>1</v>
      </c>
      <c r="L3" s="2">
        <f>28.759355+3.209711</f>
        <v>31.969065999999998</v>
      </c>
      <c r="M3" t="s">
        <v>25</v>
      </c>
    </row>
    <row r="4" spans="2:13" ht="15.75" x14ac:dyDescent="0.25">
      <c r="B4" s="42" t="s">
        <v>92</v>
      </c>
      <c r="C4" s="27"/>
      <c r="D4" s="27"/>
      <c r="E4" s="27"/>
      <c r="F4" s="27"/>
      <c r="G4" s="27"/>
      <c r="H4" s="27"/>
      <c r="I4" s="28"/>
      <c r="K4" s="1" t="s">
        <v>2</v>
      </c>
      <c r="L4" s="2">
        <f>L3*L2</f>
        <v>5222.1469310999992</v>
      </c>
    </row>
    <row r="5" spans="2:13" ht="15.75" x14ac:dyDescent="0.25">
      <c r="B5" s="43" t="s">
        <v>93</v>
      </c>
      <c r="C5" s="30"/>
      <c r="D5" s="30"/>
      <c r="E5" s="30"/>
      <c r="F5" s="30"/>
      <c r="G5" s="30"/>
      <c r="H5" s="30"/>
      <c r="I5" s="31"/>
      <c r="K5" s="1" t="s">
        <v>3</v>
      </c>
      <c r="L5" s="2">
        <v>89</v>
      </c>
      <c r="M5" t="s">
        <v>25</v>
      </c>
    </row>
    <row r="6" spans="2:13" ht="15.75" x14ac:dyDescent="0.25">
      <c r="B6" s="43" t="s">
        <v>94</v>
      </c>
      <c r="C6" s="30"/>
      <c r="D6" s="30"/>
      <c r="E6" s="30"/>
      <c r="F6" s="30"/>
      <c r="G6" s="30"/>
      <c r="H6" s="30"/>
      <c r="I6" s="31"/>
      <c r="K6" s="1" t="s">
        <v>4</v>
      </c>
      <c r="L6" s="2">
        <v>1109</v>
      </c>
      <c r="M6" t="s">
        <v>25</v>
      </c>
    </row>
    <row r="7" spans="2:13" ht="15.75" x14ac:dyDescent="0.25">
      <c r="B7" s="43" t="s">
        <v>95</v>
      </c>
      <c r="C7" s="30"/>
      <c r="D7" s="30"/>
      <c r="E7" s="30"/>
      <c r="F7" s="30"/>
      <c r="G7" s="30"/>
      <c r="H7" s="30"/>
      <c r="I7" s="31"/>
      <c r="K7" s="1" t="s">
        <v>5</v>
      </c>
      <c r="L7" s="2">
        <f>L4-L5+L6</f>
        <v>6242.1469310999992</v>
      </c>
    </row>
    <row r="8" spans="2:13" ht="15.75" x14ac:dyDescent="0.25">
      <c r="B8" s="44" t="s">
        <v>96</v>
      </c>
      <c r="C8" s="33"/>
      <c r="D8" s="33"/>
      <c r="E8" s="33"/>
      <c r="F8" s="33"/>
      <c r="G8" s="33"/>
      <c r="H8" s="33"/>
      <c r="I8" s="34"/>
      <c r="K8" s="1" t="s">
        <v>6</v>
      </c>
      <c r="L8" s="2">
        <f>L5-L6</f>
        <v>-1020</v>
      </c>
    </row>
    <row r="9" spans="2:13" ht="15.75" x14ac:dyDescent="0.25">
      <c r="B9" s="41"/>
      <c r="K9" s="1"/>
      <c r="L9" s="1"/>
    </row>
    <row r="10" spans="2:13" x14ac:dyDescent="0.25">
      <c r="K10" s="1" t="s">
        <v>7</v>
      </c>
      <c r="L10" s="1"/>
    </row>
    <row r="16" spans="2:13" x14ac:dyDescent="0.25">
      <c r="F16" s="5" t="s">
        <v>17</v>
      </c>
    </row>
    <row r="20" spans="2:8" ht="15.75" x14ac:dyDescent="0.25">
      <c r="B20" s="26" t="s">
        <v>49</v>
      </c>
      <c r="C20" s="27"/>
      <c r="D20" s="27"/>
      <c r="E20" s="27"/>
      <c r="F20" s="27"/>
      <c r="G20" s="27"/>
      <c r="H20" s="28"/>
    </row>
    <row r="21" spans="2:8" x14ac:dyDescent="0.25">
      <c r="B21" s="29" t="s">
        <v>50</v>
      </c>
      <c r="C21" s="30"/>
      <c r="D21" s="30"/>
      <c r="E21" s="30"/>
      <c r="F21" s="30"/>
      <c r="G21" s="30"/>
      <c r="H21" s="31"/>
    </row>
    <row r="22" spans="2:8" x14ac:dyDescent="0.25">
      <c r="B22" s="29" t="s">
        <v>51</v>
      </c>
      <c r="C22" s="30"/>
      <c r="D22" s="30"/>
      <c r="E22" s="30"/>
      <c r="F22" s="30"/>
      <c r="G22" s="30"/>
      <c r="H22" s="31"/>
    </row>
    <row r="23" spans="2:8" x14ac:dyDescent="0.25">
      <c r="B23" s="29"/>
      <c r="C23" s="30"/>
      <c r="D23" s="30"/>
      <c r="E23" s="30"/>
      <c r="F23" s="30"/>
      <c r="G23" s="30"/>
      <c r="H23" s="31"/>
    </row>
    <row r="24" spans="2:8" x14ac:dyDescent="0.25">
      <c r="B24" s="32" t="s">
        <v>52</v>
      </c>
      <c r="C24" s="33"/>
      <c r="D24" s="33"/>
      <c r="E24" s="33"/>
      <c r="F24" s="33"/>
      <c r="G24" s="33"/>
      <c r="H24" s="34"/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EX65"/>
  <sheetViews>
    <sheetView tabSelected="1" zoomScale="130" zoomScaleNormal="130" workbookViewId="0">
      <pane xSplit="1" ySplit="2" topLeftCell="AE16" activePane="bottomRight" state="frozen"/>
      <selection pane="topRight" activeCell="C1" sqref="C1"/>
      <selection pane="bottomLeft" activeCell="A3" sqref="A3"/>
      <selection pane="bottomRight" activeCell="AQ22" sqref="AQ22"/>
    </sheetView>
  </sheetViews>
  <sheetFormatPr defaultRowHeight="15" x14ac:dyDescent="0.25"/>
  <cols>
    <col min="1" max="1" width="34.5703125" style="7" customWidth="1"/>
    <col min="22" max="22" width="10.28515625" bestFit="1" customWidth="1"/>
    <col min="23" max="23" width="10" bestFit="1" customWidth="1"/>
    <col min="46" max="46" width="12" bestFit="1" customWidth="1"/>
  </cols>
  <sheetData>
    <row r="1" spans="1:50" s="7" customFormat="1" ht="21" x14ac:dyDescent="0.35">
      <c r="A1" s="8" t="s">
        <v>16</v>
      </c>
      <c r="C1" s="13">
        <v>45290</v>
      </c>
      <c r="D1" s="13"/>
      <c r="E1" s="13">
        <v>43736</v>
      </c>
      <c r="F1" s="13">
        <v>43827</v>
      </c>
      <c r="G1" s="13">
        <v>43918</v>
      </c>
      <c r="H1" s="13">
        <v>44009</v>
      </c>
      <c r="I1" s="13">
        <v>44107</v>
      </c>
      <c r="J1" s="13">
        <v>44198</v>
      </c>
      <c r="K1" s="13">
        <v>44289</v>
      </c>
      <c r="L1" s="13">
        <v>44380</v>
      </c>
      <c r="M1" s="13">
        <v>44471</v>
      </c>
      <c r="N1" s="13">
        <v>44562</v>
      </c>
      <c r="O1" s="13">
        <v>44653</v>
      </c>
      <c r="P1" s="13">
        <v>44743</v>
      </c>
      <c r="Q1" s="13">
        <v>44835</v>
      </c>
      <c r="R1" s="13">
        <v>44925</v>
      </c>
      <c r="S1" s="13">
        <v>45015</v>
      </c>
      <c r="T1" s="13">
        <v>45108</v>
      </c>
      <c r="U1" s="13">
        <v>45199</v>
      </c>
      <c r="V1" s="13">
        <v>45290</v>
      </c>
      <c r="W1" s="13">
        <v>45381</v>
      </c>
      <c r="X1" s="13">
        <v>45474</v>
      </c>
      <c r="Y1" s="13">
        <v>45565</v>
      </c>
    </row>
    <row r="2" spans="1:50" s="10" customFormat="1" x14ac:dyDescent="0.25">
      <c r="C2" s="10" t="s">
        <v>54</v>
      </c>
      <c r="E2" s="10" t="s">
        <v>56</v>
      </c>
      <c r="F2" s="10" t="s">
        <v>54</v>
      </c>
      <c r="G2" s="10" t="s">
        <v>55</v>
      </c>
      <c r="H2" s="10" t="s">
        <v>53</v>
      </c>
      <c r="I2" s="10" t="s">
        <v>23</v>
      </c>
      <c r="J2" s="10" t="s">
        <v>19</v>
      </c>
      <c r="K2" s="10" t="s">
        <v>20</v>
      </c>
      <c r="L2" s="10" t="s">
        <v>21</v>
      </c>
      <c r="M2" s="10" t="s">
        <v>22</v>
      </c>
      <c r="N2" s="10" t="s">
        <v>14</v>
      </c>
      <c r="O2" s="10" t="s">
        <v>15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8</v>
      </c>
      <c r="U2" s="10" t="s">
        <v>9</v>
      </c>
      <c r="V2" s="10" t="s">
        <v>24</v>
      </c>
      <c r="W2" s="10" t="s">
        <v>25</v>
      </c>
      <c r="X2" s="10" t="s">
        <v>26</v>
      </c>
      <c r="Y2" s="10" t="s">
        <v>27</v>
      </c>
      <c r="AA2" s="10">
        <v>2019</v>
      </c>
      <c r="AB2" s="10">
        <v>2020</v>
      </c>
      <c r="AC2" s="10">
        <v>2021</v>
      </c>
      <c r="AD2" s="10">
        <v>2022</v>
      </c>
      <c r="AE2" s="10">
        <v>2023</v>
      </c>
      <c r="AF2" s="10">
        <v>2024</v>
      </c>
      <c r="AG2" s="10">
        <v>2025</v>
      </c>
      <c r="AH2" s="10">
        <v>2026</v>
      </c>
      <c r="AI2" s="10">
        <v>2027</v>
      </c>
      <c r="AJ2" s="10">
        <v>2028</v>
      </c>
      <c r="AK2" s="10">
        <v>2029</v>
      </c>
      <c r="AL2" s="10">
        <v>2030</v>
      </c>
      <c r="AM2" s="10">
        <v>2031</v>
      </c>
      <c r="AN2" s="10">
        <v>2032</v>
      </c>
      <c r="AO2" s="10">
        <v>2033</v>
      </c>
      <c r="AP2" s="10">
        <v>2034</v>
      </c>
      <c r="AQ2" s="10">
        <v>2035</v>
      </c>
      <c r="AR2" s="10">
        <v>2036</v>
      </c>
      <c r="AS2" s="10">
        <v>2037</v>
      </c>
      <c r="AT2" s="10">
        <v>2038</v>
      </c>
      <c r="AU2" s="10">
        <v>2039</v>
      </c>
      <c r="AV2" s="10">
        <v>2040</v>
      </c>
      <c r="AW2" s="10">
        <v>2041</v>
      </c>
      <c r="AX2" s="10">
        <v>2042</v>
      </c>
    </row>
    <row r="3" spans="1:50" s="3" customFormat="1" x14ac:dyDescent="0.25">
      <c r="A3" s="6" t="s">
        <v>33</v>
      </c>
      <c r="E3" s="3">
        <v>765.20699999999999</v>
      </c>
      <c r="F3" s="3">
        <v>754.84299999999996</v>
      </c>
      <c r="G3" s="3">
        <v>765.27700000000004</v>
      </c>
      <c r="H3" s="3">
        <v>657.53899999999999</v>
      </c>
      <c r="I3" s="3">
        <v>706.89499999999998</v>
      </c>
      <c r="J3" s="3">
        <v>683.95399999999995</v>
      </c>
      <c r="K3" s="3">
        <v>736.40200000000004</v>
      </c>
      <c r="L3" s="3">
        <v>707.35199999999998</v>
      </c>
      <c r="M3" s="3">
        <v>724.28499999999997</v>
      </c>
      <c r="N3" s="3">
        <v>724.08600000000001</v>
      </c>
      <c r="O3" s="3">
        <v>770.78700000000003</v>
      </c>
      <c r="P3" s="3">
        <v>772.91099999999994</v>
      </c>
      <c r="Q3" s="3">
        <v>767.99900000000002</v>
      </c>
      <c r="R3" s="3">
        <v>760.10299999999995</v>
      </c>
      <c r="S3" s="3">
        <v>836.79200000000003</v>
      </c>
      <c r="T3" s="3">
        <v>850.17600000000004</v>
      </c>
      <c r="U3" s="3">
        <v>872.05100000000004</v>
      </c>
      <c r="V3" s="3">
        <v>856.85</v>
      </c>
      <c r="W3" s="3">
        <v>930.303</v>
      </c>
      <c r="X3" s="3">
        <f>T3*1.044</f>
        <v>887.58374400000002</v>
      </c>
      <c r="Y3" s="3">
        <f>U3*1.03</f>
        <v>898.21253000000002</v>
      </c>
      <c r="AB3" s="3">
        <f>SUM(F3:I3)</f>
        <v>2884.5539999999996</v>
      </c>
      <c r="AC3" s="3">
        <f>SUM(J3:M3)</f>
        <v>2851.9929999999999</v>
      </c>
      <c r="AD3" s="3">
        <f>SUM(N3:Q3)</f>
        <v>3035.7830000000004</v>
      </c>
      <c r="AE3" s="3">
        <f>SUM(R3:U3)</f>
        <v>3319.1219999999998</v>
      </c>
      <c r="AF3" s="3">
        <f>SUM(V3:Y3)</f>
        <v>3572.9492739999996</v>
      </c>
      <c r="AG3" s="3">
        <f>AF3*1.048</f>
        <v>3744.4508391519998</v>
      </c>
      <c r="AH3" s="3">
        <f>AG3*1.0721</f>
        <v>4014.425744654859</v>
      </c>
      <c r="AI3" s="3">
        <f t="shared" ref="AI3:AK3" si="0">AH3*1.0721</f>
        <v>4303.8658408444744</v>
      </c>
      <c r="AJ3" s="3">
        <f t="shared" si="0"/>
        <v>4614.1745679693613</v>
      </c>
      <c r="AK3" s="3">
        <f t="shared" si="0"/>
        <v>4946.8565543199529</v>
      </c>
      <c r="AL3" s="3">
        <f>AK3*1.05</f>
        <v>5194.1993820359512</v>
      </c>
      <c r="AM3" s="3">
        <f>AL3*1.05</f>
        <v>5453.9093511377487</v>
      </c>
      <c r="AN3" s="3">
        <f>AM3*1.05</f>
        <v>5726.6048186946364</v>
      </c>
      <c r="AO3" s="3">
        <f>AN3*1.05</f>
        <v>6012.9350596293689</v>
      </c>
      <c r="AP3" s="3">
        <f>AO3*1.025</f>
        <v>6163.2584361201025</v>
      </c>
    </row>
    <row r="4" spans="1:50" s="3" customFormat="1" x14ac:dyDescent="0.25">
      <c r="A4" s="6" t="s">
        <v>32</v>
      </c>
      <c r="E4" s="3">
        <v>558.197</v>
      </c>
      <c r="F4" s="3">
        <v>543.58600000000001</v>
      </c>
      <c r="G4" s="3">
        <v>557.22299999999996</v>
      </c>
      <c r="H4" s="3">
        <v>486.76</v>
      </c>
      <c r="I4" s="3">
        <v>530.58100000000002</v>
      </c>
      <c r="J4" s="3">
        <v>494.31099999999998</v>
      </c>
      <c r="K4" s="3">
        <v>536.49300000000005</v>
      </c>
      <c r="L4" s="3">
        <v>516.75</v>
      </c>
      <c r="M4" s="3">
        <v>528.71600000000001</v>
      </c>
      <c r="N4" s="3">
        <v>529.70600000000002</v>
      </c>
      <c r="O4" s="3">
        <v>556.07000000000005</v>
      </c>
      <c r="P4" s="3">
        <v>560.96600000000001</v>
      </c>
      <c r="Q4" s="3">
        <v>564.64200000000005</v>
      </c>
      <c r="R4" s="3">
        <v>556.41700000000003</v>
      </c>
      <c r="S4" s="3">
        <v>615.47699999999998</v>
      </c>
      <c r="T4" s="3">
        <v>627.54300000000001</v>
      </c>
      <c r="U4" s="3">
        <v>623.80799999999999</v>
      </c>
      <c r="V4" s="3">
        <v>623.65099999999995</v>
      </c>
      <c r="W4" s="3">
        <v>663.35</v>
      </c>
      <c r="X4" s="3">
        <f>X3*0.7276</f>
        <v>645.8059321344</v>
      </c>
      <c r="Y4" s="3">
        <f>Y3*0.7276</f>
        <v>653.53943682800002</v>
      </c>
      <c r="AB4" s="3">
        <f t="shared" ref="AB4:AB5" si="1">SUM(F4:I4)</f>
        <v>2118.15</v>
      </c>
      <c r="AC4" s="3">
        <f t="shared" ref="AC4:AC5" si="2">SUM(J4:M4)</f>
        <v>2076.27</v>
      </c>
      <c r="AD4" s="3">
        <f t="shared" ref="AD4:AD5" si="3">SUM(N4:Q4)</f>
        <v>2211.384</v>
      </c>
      <c r="AE4" s="3">
        <f>SUM(R4:U4)</f>
        <v>2423.2449999999999</v>
      </c>
      <c r="AF4" s="3">
        <f>SUM(V4:Y4)</f>
        <v>2586.3463689624</v>
      </c>
      <c r="AG4" s="3">
        <f>AG3*0.7276</f>
        <v>2724.462430566995</v>
      </c>
      <c r="AH4" s="3">
        <f>AH3*0.7276</f>
        <v>2920.8961718108753</v>
      </c>
      <c r="AI4" s="3">
        <f>AI3*0.7276</f>
        <v>3131.4927857984399</v>
      </c>
      <c r="AJ4" s="3">
        <f>AJ3*0.7276</f>
        <v>3357.2734156545075</v>
      </c>
      <c r="AK4" s="3">
        <f>AK3*0.7276</f>
        <v>3599.3328289231977</v>
      </c>
      <c r="AL4" s="3">
        <f>AL3*0.7276</f>
        <v>3779.299470369358</v>
      </c>
      <c r="AM4" s="3">
        <f t="shared" ref="AM4:AP4" si="4">AM3*0.7276</f>
        <v>3968.264443887826</v>
      </c>
      <c r="AN4" s="3">
        <f t="shared" si="4"/>
        <v>4166.6776660822179</v>
      </c>
      <c r="AO4" s="3">
        <f t="shared" si="4"/>
        <v>4375.0115493863286</v>
      </c>
      <c r="AP4" s="3">
        <f t="shared" si="4"/>
        <v>4484.3868381209868</v>
      </c>
    </row>
    <row r="5" spans="1:50" s="3" customFormat="1" x14ac:dyDescent="0.25">
      <c r="A5" s="6" t="s">
        <v>31</v>
      </c>
      <c r="E5" s="3">
        <v>0</v>
      </c>
      <c r="F5" s="3">
        <v>0</v>
      </c>
      <c r="G5" s="3">
        <v>0</v>
      </c>
      <c r="H5" s="3">
        <v>18.795000000000002</v>
      </c>
      <c r="I5" s="3">
        <v>3.9129999999999998</v>
      </c>
      <c r="J5" s="3">
        <v>0</v>
      </c>
      <c r="K5" s="3">
        <v>0</v>
      </c>
      <c r="L5" s="3">
        <v>0</v>
      </c>
      <c r="M5" s="3">
        <v>0.191</v>
      </c>
      <c r="N5" s="3">
        <v>1.5</v>
      </c>
      <c r="O5" s="3">
        <v>1.7050000000000001</v>
      </c>
      <c r="P5" s="3">
        <v>0.20200000000000001</v>
      </c>
      <c r="Q5" s="3">
        <v>0.191</v>
      </c>
      <c r="T5" s="3">
        <v>0</v>
      </c>
      <c r="U5" s="3">
        <v>4.3449999999999998</v>
      </c>
      <c r="W5" s="3">
        <v>0.17499999999999999</v>
      </c>
      <c r="X5" s="3">
        <v>0</v>
      </c>
      <c r="Y5" s="3">
        <v>0</v>
      </c>
      <c r="AB5" s="3">
        <f t="shared" si="1"/>
        <v>22.708000000000002</v>
      </c>
      <c r="AC5" s="3">
        <f t="shared" si="2"/>
        <v>0.191</v>
      </c>
      <c r="AD5" s="3">
        <f t="shared" si="3"/>
        <v>3.5979999999999999</v>
      </c>
      <c r="AE5" s="3">
        <f>SUM(R5:U5)</f>
        <v>4.3449999999999998</v>
      </c>
      <c r="AF5" s="3">
        <f>SUM(V5:Y5)</f>
        <v>0.17499999999999999</v>
      </c>
      <c r="AG5" s="3">
        <f>AVERAGE(AD5:AF5)</f>
        <v>2.706</v>
      </c>
      <c r="AH5" s="3">
        <f t="shared" ref="AH5:AP5" si="5">AVERAGE(AE5:AG5)</f>
        <v>2.4086666666666665</v>
      </c>
      <c r="AI5" s="3">
        <f t="shared" si="5"/>
        <v>1.763222222222222</v>
      </c>
      <c r="AJ5" s="3">
        <f t="shared" si="5"/>
        <v>2.2926296296296296</v>
      </c>
      <c r="AK5" s="3">
        <f t="shared" si="5"/>
        <v>2.1548395061728396</v>
      </c>
      <c r="AL5" s="3">
        <f t="shared" si="5"/>
        <v>2.0702304526748971</v>
      </c>
      <c r="AM5" s="3">
        <f t="shared" si="5"/>
        <v>2.1725665294924554</v>
      </c>
      <c r="AN5" s="3">
        <f t="shared" si="5"/>
        <v>2.1325454961133974</v>
      </c>
      <c r="AO5" s="3">
        <f t="shared" si="5"/>
        <v>2.1251141594269165</v>
      </c>
      <c r="AP5" s="3">
        <f t="shared" si="5"/>
        <v>2.1434087283442564</v>
      </c>
    </row>
    <row r="6" spans="1:50" s="19" customFormat="1" x14ac:dyDescent="0.25">
      <c r="A6" s="18" t="s">
        <v>30</v>
      </c>
      <c r="E6" s="19">
        <f>E3-E4-E5</f>
        <v>207.01</v>
      </c>
      <c r="F6" s="19">
        <f>F3-F4-F5</f>
        <v>211.25699999999995</v>
      </c>
      <c r="G6" s="19">
        <f>G3-G4-G5</f>
        <v>208.05400000000009</v>
      </c>
      <c r="H6" s="19">
        <f>H3-H4-H5</f>
        <v>151.98399999999998</v>
      </c>
      <c r="I6" s="19">
        <f>I3-I4-I5</f>
        <v>172.40099999999995</v>
      </c>
      <c r="J6" s="19">
        <f>J3-J4-J5</f>
        <v>189.64299999999997</v>
      </c>
      <c r="K6" s="19">
        <f>K3-K4-K5</f>
        <v>199.90899999999999</v>
      </c>
      <c r="L6" s="19">
        <f>L3-L4-L5</f>
        <v>190.60199999999998</v>
      </c>
      <c r="M6" s="19">
        <f>M3-M4-M5</f>
        <v>195.37799999999996</v>
      </c>
      <c r="N6" s="19">
        <f>N3-N4-N5</f>
        <v>192.88</v>
      </c>
      <c r="O6" s="19">
        <f>O3-O4-O5</f>
        <v>213.01199999999997</v>
      </c>
      <c r="P6" s="19">
        <f>P3-P4-P5</f>
        <v>211.74299999999994</v>
      </c>
      <c r="Q6" s="19">
        <f>Q3-Q4-Q5</f>
        <v>203.16599999999997</v>
      </c>
      <c r="R6" s="19">
        <f>R3-R4-R5</f>
        <v>203.68599999999992</v>
      </c>
      <c r="S6" s="19">
        <f>S3-S4-S5</f>
        <v>221.31500000000005</v>
      </c>
      <c r="T6" s="19">
        <f>T3-T4-T5</f>
        <v>222.63300000000004</v>
      </c>
      <c r="U6" s="19">
        <f>U3-U4-U5</f>
        <v>243.89800000000005</v>
      </c>
      <c r="V6" s="19">
        <f>V3-V4-V5</f>
        <v>233.19900000000007</v>
      </c>
      <c r="W6" s="19">
        <f>W3-W4-W5</f>
        <v>266.77799999999996</v>
      </c>
      <c r="X6" s="19">
        <f t="shared" ref="X6:Y6" si="6">X3-X4-X5</f>
        <v>241.77781186560003</v>
      </c>
      <c r="Y6" s="19">
        <f t="shared" si="6"/>
        <v>244.67309317199999</v>
      </c>
      <c r="AB6" s="19">
        <f>SUM(F6:I6)</f>
        <v>743.69600000000003</v>
      </c>
      <c r="AC6" s="19">
        <f>SUM(J6:M6)</f>
        <v>775.53199999999993</v>
      </c>
      <c r="AD6" s="19">
        <f>SUM(N6:Q6)</f>
        <v>820.80099999999982</v>
      </c>
      <c r="AE6" s="19">
        <f>SUM(R6:U6)</f>
        <v>891.53200000000004</v>
      </c>
      <c r="AF6" s="19">
        <f t="shared" ref="AF6" si="7">AF3-AF4-AF5</f>
        <v>986.42790503759966</v>
      </c>
      <c r="AG6" s="19">
        <f t="shared" ref="AG6" si="8">AG3-AG4-AG5</f>
        <v>1017.2824085850049</v>
      </c>
      <c r="AH6" s="19">
        <f t="shared" ref="AH6" si="9">AH3-AH4-AH5</f>
        <v>1091.120906177317</v>
      </c>
      <c r="AI6" s="19">
        <f t="shared" ref="AI6" si="10">AI3-AI4-AI5</f>
        <v>1170.6098328238124</v>
      </c>
      <c r="AJ6" s="19">
        <f t="shared" ref="AJ6" si="11">AJ3-AJ4-AJ5</f>
        <v>1254.6085226852242</v>
      </c>
      <c r="AK6" s="19">
        <f t="shared" ref="AK6" si="12">AK3-AK4-AK5</f>
        <v>1345.3688858905823</v>
      </c>
      <c r="AL6" s="19">
        <f t="shared" ref="AL6" si="13">AL3-AL4-AL5</f>
        <v>1412.8296812139183</v>
      </c>
      <c r="AM6" s="19">
        <f t="shared" ref="AM6" si="14">AM3-AM4-AM5</f>
        <v>1483.4723407204301</v>
      </c>
      <c r="AN6" s="19">
        <f t="shared" ref="AN6" si="15">AN3-AN4-AN5</f>
        <v>1557.7946071163051</v>
      </c>
      <c r="AO6" s="19">
        <f t="shared" ref="AO6" si="16">AO3-AO4-AO5</f>
        <v>1635.7983960836134</v>
      </c>
      <c r="AP6" s="19">
        <f t="shared" ref="AP6" si="17">AP3-AP4-AP5</f>
        <v>1676.7281892707715</v>
      </c>
    </row>
    <row r="7" spans="1:50" s="3" customFormat="1" x14ac:dyDescent="0.25">
      <c r="A7" s="6" t="s">
        <v>34</v>
      </c>
      <c r="E7" s="3">
        <v>31.934999999999999</v>
      </c>
      <c r="F7" s="3">
        <v>28.207999999999998</v>
      </c>
      <c r="G7" s="3">
        <v>26.687999999999999</v>
      </c>
      <c r="H7" s="3">
        <v>27.407</v>
      </c>
      <c r="I7" s="3">
        <v>28.562000000000001</v>
      </c>
      <c r="J7" s="3">
        <v>28.007999999999999</v>
      </c>
      <c r="K7" s="3">
        <v>30.452999999999999</v>
      </c>
      <c r="L7" s="3">
        <v>33.094999999999999</v>
      </c>
      <c r="M7" s="3">
        <v>33.972000000000001</v>
      </c>
      <c r="N7" s="3">
        <v>27.707999999999998</v>
      </c>
      <c r="O7" s="3">
        <v>30.72</v>
      </c>
      <c r="P7" s="3">
        <v>25.89</v>
      </c>
      <c r="Q7" s="3">
        <v>25.209</v>
      </c>
      <c r="R7" s="3">
        <v>23.861999999999998</v>
      </c>
      <c r="S7" s="3">
        <v>26.742999999999999</v>
      </c>
      <c r="T7" s="3">
        <v>26.501999999999999</v>
      </c>
      <c r="U7" s="3">
        <v>29.443999999999999</v>
      </c>
      <c r="V7" s="3">
        <v>30.579000000000001</v>
      </c>
      <c r="W7" s="3">
        <v>28.382000000000001</v>
      </c>
      <c r="X7" s="3">
        <f>X3*0.0334</f>
        <v>29.6452970496</v>
      </c>
      <c r="Y7" s="3">
        <f>Y3*0.0334</f>
        <v>30.000298502</v>
      </c>
      <c r="AB7" s="3">
        <f t="shared" ref="AB7:AB8" si="18">SUM(F7:I7)</f>
        <v>110.86499999999999</v>
      </c>
      <c r="AC7" s="3">
        <f t="shared" ref="AC7:AC8" si="19">SUM(J7:M7)</f>
        <v>125.52799999999999</v>
      </c>
      <c r="AD7" s="3">
        <f t="shared" ref="AD7:AD8" si="20">SUM(N7:Q7)</f>
        <v>109.527</v>
      </c>
      <c r="AE7" s="3">
        <f>SUM(R7:U7)</f>
        <v>106.551</v>
      </c>
      <c r="AF7" s="3">
        <f>SUM(V7:Y7)</f>
        <v>118.60659555160001</v>
      </c>
      <c r="AG7" s="3">
        <f t="shared" ref="AG7:AP7" si="21">AG3*0.0334</f>
        <v>125.06465802767678</v>
      </c>
      <c r="AH7" s="3">
        <f t="shared" si="21"/>
        <v>134.08181987147228</v>
      </c>
      <c r="AI7" s="3">
        <f t="shared" si="21"/>
        <v>143.74911908420543</v>
      </c>
      <c r="AJ7" s="3">
        <f t="shared" si="21"/>
        <v>154.11343057017666</v>
      </c>
      <c r="AK7" s="3">
        <f t="shared" si="21"/>
        <v>165.22500891428643</v>
      </c>
      <c r="AL7" s="3">
        <f t="shared" si="21"/>
        <v>173.48625936000076</v>
      </c>
      <c r="AM7" s="3">
        <f t="shared" si="21"/>
        <v>182.1605723280008</v>
      </c>
      <c r="AN7" s="3">
        <f t="shared" si="21"/>
        <v>191.26860094440084</v>
      </c>
      <c r="AO7" s="3">
        <f t="shared" si="21"/>
        <v>200.83203099162091</v>
      </c>
      <c r="AP7" s="3">
        <f t="shared" si="21"/>
        <v>205.85283176641141</v>
      </c>
    </row>
    <row r="8" spans="1:50" s="3" customFormat="1" x14ac:dyDescent="0.25">
      <c r="A8" s="6" t="s">
        <v>35</v>
      </c>
      <c r="E8" s="3">
        <v>104.812</v>
      </c>
      <c r="F8" s="3">
        <v>98.367000000000004</v>
      </c>
      <c r="G8" s="3">
        <v>107.251</v>
      </c>
      <c r="H8" s="3">
        <v>96.899000000000001</v>
      </c>
      <c r="I8" s="3">
        <v>95.43</v>
      </c>
      <c r="J8" s="3">
        <v>99.602999999999994</v>
      </c>
      <c r="K8" s="3">
        <v>105.131</v>
      </c>
      <c r="L8" s="3">
        <v>100.59699999999999</v>
      </c>
      <c r="M8" s="3">
        <v>106.697</v>
      </c>
      <c r="N8" s="3">
        <v>111.797</v>
      </c>
      <c r="O8" s="3">
        <v>111.01900000000001</v>
      </c>
      <c r="P8" s="3">
        <v>113.886</v>
      </c>
      <c r="Q8" s="3">
        <v>111.82899999999999</v>
      </c>
      <c r="R8" s="3">
        <v>113.16500000000001</v>
      </c>
      <c r="S8" s="3">
        <v>116.69499999999999</v>
      </c>
      <c r="T8" s="3">
        <v>121.935</v>
      </c>
      <c r="U8" s="3">
        <v>118.041</v>
      </c>
      <c r="V8" s="3">
        <v>118.72499999999999</v>
      </c>
      <c r="W8" s="3">
        <v>124.961</v>
      </c>
      <c r="X8" s="3">
        <f>X3*0.1332</f>
        <v>118.22615470080001</v>
      </c>
      <c r="Y8" s="3">
        <f>Y3*0.1332</f>
        <v>119.64190899600001</v>
      </c>
      <c r="AB8" s="3">
        <f t="shared" si="18"/>
        <v>397.947</v>
      </c>
      <c r="AC8" s="3">
        <f t="shared" si="19"/>
        <v>412.02799999999996</v>
      </c>
      <c r="AD8" s="3">
        <f t="shared" si="20"/>
        <v>448.53100000000001</v>
      </c>
      <c r="AE8" s="3">
        <f>SUM(R8:U8)</f>
        <v>469.83600000000001</v>
      </c>
      <c r="AF8" s="3">
        <f>SUM(V8:Y8)</f>
        <v>481.55406369679997</v>
      </c>
      <c r="AG8" s="3">
        <f t="shared" ref="AG8:AP8" si="22">AG3*0.1332</f>
        <v>498.76085177504643</v>
      </c>
      <c r="AH8" s="3">
        <f t="shared" si="22"/>
        <v>534.72150918802731</v>
      </c>
      <c r="AI8" s="3">
        <f t="shared" si="22"/>
        <v>573.27493000048401</v>
      </c>
      <c r="AJ8" s="3">
        <f t="shared" si="22"/>
        <v>614.60805245351901</v>
      </c>
      <c r="AK8" s="3">
        <f t="shared" si="22"/>
        <v>658.92129303541776</v>
      </c>
      <c r="AL8" s="3">
        <f t="shared" si="22"/>
        <v>691.86735768718881</v>
      </c>
      <c r="AM8" s="3">
        <f t="shared" si="22"/>
        <v>726.46072557154821</v>
      </c>
      <c r="AN8" s="3">
        <f t="shared" si="22"/>
        <v>762.78376185012564</v>
      </c>
      <c r="AO8" s="3">
        <f t="shared" si="22"/>
        <v>800.92294994263204</v>
      </c>
      <c r="AP8" s="3">
        <f t="shared" si="22"/>
        <v>820.94602369119775</v>
      </c>
    </row>
    <row r="9" spans="1:50" s="25" customFormat="1" x14ac:dyDescent="0.25">
      <c r="A9" s="24" t="s">
        <v>46</v>
      </c>
      <c r="E9" s="25">
        <f>E7+E8</f>
        <v>136.74699999999999</v>
      </c>
      <c r="F9" s="25">
        <f>F7+F8</f>
        <v>126.575</v>
      </c>
      <c r="G9" s="25">
        <f>G7+G8</f>
        <v>133.93899999999999</v>
      </c>
      <c r="H9" s="25">
        <f>H7+H8</f>
        <v>124.306</v>
      </c>
      <c r="I9" s="25">
        <f>I7+I8</f>
        <v>123.992</v>
      </c>
      <c r="J9" s="25">
        <f>J7+J8</f>
        <v>127.61099999999999</v>
      </c>
      <c r="K9" s="25">
        <f>K7+K8</f>
        <v>135.584</v>
      </c>
      <c r="L9" s="25">
        <f>L7+L8</f>
        <v>133.69200000000001</v>
      </c>
      <c r="M9" s="25">
        <f>M7+M8</f>
        <v>140.66900000000001</v>
      </c>
      <c r="N9" s="25">
        <f>N7+N8</f>
        <v>139.505</v>
      </c>
      <c r="O9" s="25">
        <f>O7+O8</f>
        <v>141.739</v>
      </c>
      <c r="P9" s="25">
        <f>P7+P8</f>
        <v>139.77600000000001</v>
      </c>
      <c r="Q9" s="25">
        <f>Q7+Q8</f>
        <v>137.03799999999998</v>
      </c>
      <c r="R9" s="25">
        <f>R7+R8</f>
        <v>137.02700000000002</v>
      </c>
      <c r="S9" s="25">
        <f>S7+S8</f>
        <v>143.43799999999999</v>
      </c>
      <c r="T9" s="25">
        <f>T7+T8</f>
        <v>148.43700000000001</v>
      </c>
      <c r="U9" s="25">
        <f>U7+U8</f>
        <v>147.48499999999999</v>
      </c>
      <c r="V9" s="25">
        <f>V7+V8</f>
        <v>149.304</v>
      </c>
      <c r="W9" s="25">
        <f>W7+W8</f>
        <v>153.34299999999999</v>
      </c>
      <c r="X9" s="25">
        <f t="shared" ref="X9:Y9" si="23">X7+X8</f>
        <v>147.87145175040001</v>
      </c>
      <c r="Y9" s="25">
        <f t="shared" si="23"/>
        <v>149.642207498</v>
      </c>
      <c r="AB9" s="25">
        <f>SUM(F9:I9)</f>
        <v>508.81200000000001</v>
      </c>
      <c r="AC9" s="25">
        <f>SUM(J9:M9)</f>
        <v>537.55600000000004</v>
      </c>
      <c r="AD9" s="25">
        <f>SUM(N9:Q9)</f>
        <v>558.05799999999999</v>
      </c>
      <c r="AE9" s="25">
        <f>SUM(R9:U9)</f>
        <v>576.38700000000006</v>
      </c>
      <c r="AF9" s="25">
        <f t="shared" ref="AF9" si="24">AF7+AF8</f>
        <v>600.16065924839995</v>
      </c>
      <c r="AG9" s="25">
        <f t="shared" ref="AG9" si="25">AG7+AG8</f>
        <v>623.82550980272322</v>
      </c>
      <c r="AH9" s="25">
        <f t="shared" ref="AH9" si="26">AH7+AH8</f>
        <v>668.80332905949956</v>
      </c>
      <c r="AI9" s="25">
        <f t="shared" ref="AI9" si="27">AI7+AI8</f>
        <v>717.02404908468941</v>
      </c>
      <c r="AJ9" s="25">
        <f t="shared" ref="AJ9" si="28">AJ7+AJ8</f>
        <v>768.72148302369567</v>
      </c>
      <c r="AK9" s="25">
        <f t="shared" ref="AK9" si="29">AK7+AK8</f>
        <v>824.14630194970414</v>
      </c>
      <c r="AL9" s="25">
        <f t="shared" ref="AL9" si="30">AL7+AL8</f>
        <v>865.35361704718957</v>
      </c>
      <c r="AM9" s="25">
        <f t="shared" ref="AM9" si="31">AM7+AM8</f>
        <v>908.62129789954906</v>
      </c>
      <c r="AN9" s="25">
        <f t="shared" ref="AN9" si="32">AN7+AN8</f>
        <v>954.05236279452652</v>
      </c>
      <c r="AO9" s="25">
        <f t="shared" ref="AO9" si="33">AO7+AO8</f>
        <v>1001.7549809342529</v>
      </c>
      <c r="AP9" s="25">
        <f t="shared" ref="AP9" si="34">AP7+AP8</f>
        <v>1026.7988554576091</v>
      </c>
    </row>
    <row r="10" spans="1:50" s="19" customFormat="1" x14ac:dyDescent="0.25">
      <c r="A10" s="18" t="s">
        <v>45</v>
      </c>
      <c r="E10" s="19">
        <f>E6-E9</f>
        <v>70.263000000000005</v>
      </c>
      <c r="F10" s="19">
        <f>F6-F9</f>
        <v>84.681999999999945</v>
      </c>
      <c r="G10" s="19">
        <f>G6-G9</f>
        <v>74.115000000000094</v>
      </c>
      <c r="H10" s="19">
        <f>H6-H9</f>
        <v>27.677999999999983</v>
      </c>
      <c r="I10" s="19">
        <f>I6-I9</f>
        <v>48.408999999999949</v>
      </c>
      <c r="J10" s="19">
        <f>J6-J9</f>
        <v>62.031999999999982</v>
      </c>
      <c r="K10" s="19">
        <f>K6-K9</f>
        <v>64.324999999999989</v>
      </c>
      <c r="L10" s="19">
        <f>L6-L9</f>
        <v>56.909999999999968</v>
      </c>
      <c r="M10" s="19">
        <f>M6-M9</f>
        <v>54.708999999999946</v>
      </c>
      <c r="N10" s="19">
        <f>N6-N9</f>
        <v>53.375</v>
      </c>
      <c r="O10" s="19">
        <f>O6-O9</f>
        <v>71.272999999999968</v>
      </c>
      <c r="P10" s="19">
        <f>P6-P9</f>
        <v>71.966999999999928</v>
      </c>
      <c r="Q10" s="19">
        <f>Q6-Q9</f>
        <v>66.127999999999986</v>
      </c>
      <c r="R10" s="19">
        <f>R6-R9</f>
        <v>66.658999999999907</v>
      </c>
      <c r="S10" s="19">
        <f>S6-S9</f>
        <v>77.877000000000066</v>
      </c>
      <c r="T10" s="19">
        <f>T6-T9</f>
        <v>74.196000000000026</v>
      </c>
      <c r="U10" s="19">
        <f>U6-U9</f>
        <v>96.413000000000068</v>
      </c>
      <c r="V10" s="19">
        <f>V6-V9</f>
        <v>83.895000000000067</v>
      </c>
      <c r="W10" s="19">
        <f>W6-W9</f>
        <v>113.43499999999997</v>
      </c>
      <c r="X10" s="19">
        <f t="shared" ref="X10:Y10" si="35">X6-X9</f>
        <v>93.906360115200016</v>
      </c>
      <c r="Y10" s="19">
        <f t="shared" si="35"/>
        <v>95.03088567399999</v>
      </c>
      <c r="AB10" s="19">
        <f>SUM(F10:I10)</f>
        <v>234.88399999999996</v>
      </c>
      <c r="AC10" s="19">
        <f>SUM(J10:M10)</f>
        <v>237.97599999999989</v>
      </c>
      <c r="AD10" s="19">
        <f>SUM(N10:Q10)</f>
        <v>262.74299999999988</v>
      </c>
      <c r="AE10" s="19">
        <f>SUM(R10:U10)</f>
        <v>315.1450000000001</v>
      </c>
      <c r="AF10" s="19">
        <f t="shared" ref="AF10" si="36">AF6-AF9</f>
        <v>386.26724578919971</v>
      </c>
      <c r="AG10" s="19">
        <f t="shared" ref="AG10" si="37">AG6-AG9</f>
        <v>393.45689878228166</v>
      </c>
      <c r="AH10" s="19">
        <f t="shared" ref="AH10" si="38">AH6-AH9</f>
        <v>422.31757711781745</v>
      </c>
      <c r="AI10" s="19">
        <f t="shared" ref="AI10" si="39">AI6-AI9</f>
        <v>453.58578373912303</v>
      </c>
      <c r="AJ10" s="19">
        <f t="shared" ref="AJ10" si="40">AJ6-AJ9</f>
        <v>485.88703966152855</v>
      </c>
      <c r="AK10" s="19">
        <f t="shared" ref="AK10" si="41">AK6-AK9</f>
        <v>521.22258394087817</v>
      </c>
      <c r="AL10" s="19">
        <f t="shared" ref="AL10" si="42">AL6-AL9</f>
        <v>547.47606416672875</v>
      </c>
      <c r="AM10" s="19">
        <f t="shared" ref="AM10" si="43">AM6-AM9</f>
        <v>574.85104282088105</v>
      </c>
      <c r="AN10" s="19">
        <f t="shared" ref="AN10" si="44">AN6-AN9</f>
        <v>603.74224432177857</v>
      </c>
      <c r="AO10" s="19">
        <f t="shared" ref="AO10" si="45">AO6-AO9</f>
        <v>634.0434151493605</v>
      </c>
      <c r="AP10" s="19">
        <f t="shared" ref="AP10" si="46">AP6-AP9</f>
        <v>649.92933381316243</v>
      </c>
    </row>
    <row r="11" spans="1:50" s="3" customFormat="1" x14ac:dyDescent="0.25">
      <c r="A11" s="6" t="s">
        <v>36</v>
      </c>
      <c r="E11" s="3">
        <v>9.8680000000000003</v>
      </c>
      <c r="F11" s="3">
        <v>10.231999999999999</v>
      </c>
      <c r="G11" s="3">
        <v>10.250999999999999</v>
      </c>
      <c r="H11" s="3">
        <v>9.44</v>
      </c>
      <c r="I11" s="3">
        <v>8.9740000000000002</v>
      </c>
      <c r="J11" s="3">
        <v>8.42</v>
      </c>
      <c r="K11" s="3">
        <v>8.6289999999999996</v>
      </c>
      <c r="L11" s="3">
        <v>8.2390000000000008</v>
      </c>
      <c r="M11" s="3">
        <v>8.6039999999999992</v>
      </c>
      <c r="N11" s="3">
        <v>7.9820000000000002</v>
      </c>
      <c r="O11" s="3">
        <v>8.2629999999999999</v>
      </c>
      <c r="P11" s="3">
        <v>9.1310000000000002</v>
      </c>
      <c r="Q11" s="3">
        <v>11.381</v>
      </c>
      <c r="R11" s="3">
        <v>13.132</v>
      </c>
      <c r="S11" s="3">
        <v>14.962999999999999</v>
      </c>
      <c r="T11" s="3">
        <v>17.256</v>
      </c>
      <c r="U11" s="3">
        <v>18.227</v>
      </c>
      <c r="V11" s="3">
        <v>16.693999999999999</v>
      </c>
      <c r="W11" s="3">
        <v>18.003</v>
      </c>
      <c r="X11" s="3">
        <f>X3*0.0169</f>
        <v>15.000165273599999</v>
      </c>
      <c r="Y11" s="3">
        <f>Y3*0.0169</f>
        <v>15.179791756999998</v>
      </c>
      <c r="AB11" s="3">
        <f t="shared" ref="AB11:AB17" si="47">SUM(F11:I11)</f>
        <v>38.896999999999991</v>
      </c>
      <c r="AC11" s="3">
        <f t="shared" ref="AC11:AC17" si="48">SUM(J11:M11)</f>
        <v>33.891999999999996</v>
      </c>
      <c r="AD11" s="3">
        <f t="shared" ref="AD11:AD17" si="49">SUM(N11:Q11)</f>
        <v>36.757000000000005</v>
      </c>
      <c r="AE11" s="3">
        <f t="shared" ref="AE11:AE17" si="50">SUM(R11:U11)</f>
        <v>63.578000000000003</v>
      </c>
      <c r="AF11" s="3">
        <f t="shared" ref="AF11:AF17" si="51">SUM(V11:Y11)</f>
        <v>64.876957030599996</v>
      </c>
      <c r="AG11" s="3">
        <f t="shared" ref="AG11:AP11" si="52">AG3*0.0169</f>
        <v>63.281219181668789</v>
      </c>
      <c r="AH11" s="3">
        <f t="shared" si="52"/>
        <v>67.843795084667107</v>
      </c>
      <c r="AI11" s="3">
        <f t="shared" si="52"/>
        <v>72.735332710271607</v>
      </c>
      <c r="AJ11" s="3">
        <f t="shared" si="52"/>
        <v>77.979550198682205</v>
      </c>
      <c r="AK11" s="3">
        <f t="shared" si="52"/>
        <v>83.60187576800719</v>
      </c>
      <c r="AL11" s="3">
        <f t="shared" si="52"/>
        <v>87.78196955640756</v>
      </c>
      <c r="AM11" s="3">
        <f t="shared" si="52"/>
        <v>92.171068034227943</v>
      </c>
      <c r="AN11" s="3">
        <f t="shared" si="52"/>
        <v>96.779621435939347</v>
      </c>
      <c r="AO11" s="3">
        <f t="shared" si="52"/>
        <v>101.61860250773633</v>
      </c>
      <c r="AP11" s="3">
        <f t="shared" si="52"/>
        <v>104.15906757042973</v>
      </c>
    </row>
    <row r="12" spans="1:50" s="3" customFormat="1" x14ac:dyDescent="0.25">
      <c r="A12" s="6" t="s">
        <v>37</v>
      </c>
      <c r="E12" s="3">
        <v>0</v>
      </c>
      <c r="F12" s="3">
        <v>0</v>
      </c>
      <c r="G12" s="3">
        <v>0</v>
      </c>
      <c r="H12" s="3">
        <v>31.870999999999999</v>
      </c>
      <c r="I12" s="3">
        <v>5.968</v>
      </c>
      <c r="J12" s="3">
        <v>0</v>
      </c>
      <c r="K12" s="3">
        <v>0</v>
      </c>
      <c r="L12" s="3">
        <v>0</v>
      </c>
      <c r="M12" s="3">
        <v>1.5</v>
      </c>
      <c r="N12" s="3">
        <v>0</v>
      </c>
      <c r="O12" s="3">
        <v>15.236000000000001</v>
      </c>
      <c r="P12" s="3">
        <v>0.69199999999999995</v>
      </c>
      <c r="Q12" s="3">
        <v>2.125</v>
      </c>
      <c r="R12" s="3">
        <v>0</v>
      </c>
      <c r="S12" s="3">
        <v>1.2190000000000001</v>
      </c>
      <c r="T12" s="3">
        <v>0.435</v>
      </c>
      <c r="U12" s="3">
        <v>12.974</v>
      </c>
      <c r="V12" s="3">
        <v>0</v>
      </c>
      <c r="W12" s="3">
        <v>6.75</v>
      </c>
      <c r="X12" s="3">
        <f>AVERAGE(T12:W12)</f>
        <v>5.0397499999999997</v>
      </c>
      <c r="Y12" s="3">
        <f>AVERAGE(U12:X12)</f>
        <v>6.1909375000000004</v>
      </c>
      <c r="AB12" s="3">
        <f t="shared" si="47"/>
        <v>37.838999999999999</v>
      </c>
      <c r="AC12" s="3">
        <f t="shared" si="48"/>
        <v>1.5</v>
      </c>
      <c r="AD12" s="3">
        <f t="shared" si="49"/>
        <v>18.053000000000001</v>
      </c>
      <c r="AE12" s="3">
        <f t="shared" si="50"/>
        <v>14.628</v>
      </c>
      <c r="AF12" s="3">
        <f t="shared" si="51"/>
        <v>17.980687500000002</v>
      </c>
      <c r="AG12" s="3">
        <f>AVERAGE(AB12:AF12)</f>
        <v>18.000137500000001</v>
      </c>
      <c r="AH12" s="21">
        <f t="shared" ref="AH12:AP12" si="53">AVERAGE(AC12:AG12)</f>
        <v>14.032364999999999</v>
      </c>
      <c r="AI12" s="21">
        <f t="shared" si="53"/>
        <v>16.538837999999998</v>
      </c>
      <c r="AJ12" s="21">
        <f t="shared" si="53"/>
        <v>16.236005599999999</v>
      </c>
      <c r="AK12" s="21">
        <f t="shared" si="53"/>
        <v>16.557606720000003</v>
      </c>
      <c r="AL12" s="21">
        <f t="shared" si="53"/>
        <v>16.272990563999997</v>
      </c>
      <c r="AM12" s="21">
        <f t="shared" si="53"/>
        <v>15.927561176799998</v>
      </c>
      <c r="AN12" s="21">
        <f t="shared" si="53"/>
        <v>16.306600412159998</v>
      </c>
      <c r="AO12" s="21">
        <f t="shared" si="53"/>
        <v>16.260152894591997</v>
      </c>
      <c r="AP12" s="21">
        <f t="shared" si="53"/>
        <v>16.264982353510398</v>
      </c>
    </row>
    <row r="13" spans="1:50" s="3" customFormat="1" x14ac:dyDescent="0.25">
      <c r="A13" s="6" t="s">
        <v>38</v>
      </c>
      <c r="E13" s="3">
        <v>0</v>
      </c>
      <c r="F13" s="3">
        <v>0</v>
      </c>
      <c r="G13" s="3">
        <v>0</v>
      </c>
      <c r="H13" s="3">
        <v>5.306</v>
      </c>
      <c r="I13" s="3">
        <v>5.3940000000000001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7.7930000000000001</v>
      </c>
      <c r="P13" s="3">
        <v>0.57599999999999996</v>
      </c>
      <c r="Q13" s="3">
        <v>1.1399999999999999</v>
      </c>
      <c r="R13" s="3">
        <v>1.0780000000000001</v>
      </c>
      <c r="S13" s="3">
        <v>2.0169999999999999</v>
      </c>
      <c r="T13" s="3">
        <v>1.6419999999999999</v>
      </c>
      <c r="U13" s="3">
        <v>3.26</v>
      </c>
      <c r="V13" s="3">
        <v>1.889</v>
      </c>
      <c r="W13" s="3">
        <v>6.75</v>
      </c>
      <c r="X13" s="3">
        <f>AVERAGE(T13:W13)</f>
        <v>3.3852500000000001</v>
      </c>
      <c r="Y13" s="3">
        <f>AVERAGE(U13:X13)</f>
        <v>3.8210625</v>
      </c>
      <c r="AB13" s="3">
        <f t="shared" si="47"/>
        <v>10.7</v>
      </c>
      <c r="AC13" s="3">
        <f t="shared" si="48"/>
        <v>0</v>
      </c>
      <c r="AD13" s="3">
        <f t="shared" si="49"/>
        <v>9.5090000000000003</v>
      </c>
      <c r="AE13" s="3">
        <f t="shared" si="50"/>
        <v>7.9969999999999999</v>
      </c>
      <c r="AF13" s="3">
        <f t="shared" si="51"/>
        <v>15.845312499999999</v>
      </c>
      <c r="AG13" s="3">
        <f>AVERAGE(AB13:AF13)</f>
        <v>8.8102624999999986</v>
      </c>
      <c r="AH13" s="21">
        <f t="shared" ref="AH13:AP13" si="54">AVERAGE(AC13:AG13)</f>
        <v>8.4323149999999991</v>
      </c>
      <c r="AI13" s="21">
        <f t="shared" si="54"/>
        <v>10.118778000000001</v>
      </c>
      <c r="AJ13" s="21">
        <f t="shared" si="54"/>
        <v>10.2407336</v>
      </c>
      <c r="AK13" s="21">
        <f t="shared" si="54"/>
        <v>10.689480319999999</v>
      </c>
      <c r="AL13" s="21">
        <f t="shared" si="54"/>
        <v>9.6583138839999982</v>
      </c>
      <c r="AM13" s="21">
        <f t="shared" si="54"/>
        <v>9.8279241608000003</v>
      </c>
      <c r="AN13" s="21">
        <f t="shared" si="54"/>
        <v>10.10704599296</v>
      </c>
      <c r="AO13" s="21">
        <f t="shared" si="54"/>
        <v>10.104699591552</v>
      </c>
      <c r="AP13" s="21">
        <f t="shared" si="54"/>
        <v>10.077492789862401</v>
      </c>
    </row>
    <row r="14" spans="1:50" s="3" customFormat="1" x14ac:dyDescent="0.25">
      <c r="A14" s="6" t="s">
        <v>47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1.536</v>
      </c>
      <c r="N14" s="3">
        <v>16.146000000000001</v>
      </c>
      <c r="O14" s="3">
        <v>0</v>
      </c>
      <c r="P14" s="3">
        <v>0</v>
      </c>
      <c r="Q14" s="3">
        <v>19.492000000000001</v>
      </c>
      <c r="T14" s="3">
        <v>0</v>
      </c>
      <c r="U14" s="3">
        <v>0.9</v>
      </c>
      <c r="X14" s="3">
        <f>AVERAGE(T14:W14)</f>
        <v>0.45</v>
      </c>
      <c r="Y14" s="3">
        <f>AVERAGE(U14:X14)</f>
        <v>0.67500000000000004</v>
      </c>
      <c r="AB14" s="3">
        <f t="shared" si="47"/>
        <v>0</v>
      </c>
      <c r="AC14" s="3">
        <f t="shared" si="48"/>
        <v>1.536</v>
      </c>
      <c r="AD14" s="3">
        <f t="shared" si="49"/>
        <v>35.638000000000005</v>
      </c>
      <c r="AE14" s="3">
        <f t="shared" si="50"/>
        <v>0.9</v>
      </c>
      <c r="AF14" s="3">
        <f t="shared" si="51"/>
        <v>1.125</v>
      </c>
      <c r="AG14" s="3">
        <f>AVERAGE(AB14:AF14)</f>
        <v>7.8398000000000012</v>
      </c>
      <c r="AH14" s="3">
        <f t="shared" ref="AH14:AP14" si="55">AVERAGE(AC14:AG14)</f>
        <v>9.4077600000000015</v>
      </c>
      <c r="AI14" s="3">
        <f t="shared" si="55"/>
        <v>10.982112000000003</v>
      </c>
      <c r="AJ14" s="3">
        <f t="shared" si="55"/>
        <v>6.0509344000000009</v>
      </c>
      <c r="AK14" s="3">
        <f t="shared" si="55"/>
        <v>7.0811212800000005</v>
      </c>
      <c r="AL14" s="3">
        <f t="shared" si="55"/>
        <v>8.2723455360000013</v>
      </c>
      <c r="AM14" s="3">
        <f t="shared" si="55"/>
        <v>8.3588546432000008</v>
      </c>
      <c r="AN14" s="3">
        <f t="shared" si="55"/>
        <v>8.1490735718400007</v>
      </c>
      <c r="AO14" s="3">
        <f t="shared" si="55"/>
        <v>7.5824658862080012</v>
      </c>
      <c r="AP14" s="3">
        <f t="shared" si="55"/>
        <v>7.8887721834496007</v>
      </c>
    </row>
    <row r="15" spans="1:50" s="3" customFormat="1" x14ac:dyDescent="0.25">
      <c r="A15" s="6" t="s">
        <v>39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9.0749999999999993</v>
      </c>
      <c r="R15" s="3">
        <v>9.5030000000000001</v>
      </c>
      <c r="S15" s="3">
        <v>0.52700000000000002</v>
      </c>
      <c r="T15" s="3">
        <v>0</v>
      </c>
      <c r="U15" s="3">
        <v>0</v>
      </c>
      <c r="V15" s="3">
        <v>0</v>
      </c>
      <c r="W15" s="3">
        <v>0</v>
      </c>
      <c r="X15" s="3">
        <f>AVERAGE(T15:W15)</f>
        <v>0</v>
      </c>
      <c r="Y15" s="3">
        <f>AVERAGE(U15:X15)</f>
        <v>0</v>
      </c>
      <c r="AB15" s="3">
        <f t="shared" si="47"/>
        <v>0</v>
      </c>
      <c r="AC15" s="3">
        <f t="shared" si="48"/>
        <v>0</v>
      </c>
      <c r="AD15" s="3">
        <f t="shared" si="49"/>
        <v>9.0749999999999993</v>
      </c>
      <c r="AE15" s="3">
        <f t="shared" si="50"/>
        <v>10.029999999999999</v>
      </c>
      <c r="AF15" s="3">
        <f t="shared" si="51"/>
        <v>0</v>
      </c>
      <c r="AG15" s="3">
        <f>AVERAGE(AB15:AF15)</f>
        <v>3.8209999999999993</v>
      </c>
      <c r="AH15" s="3">
        <f t="shared" ref="AH15:AP17" si="56">AVERAGE(AC15:AG15)</f>
        <v>4.5851999999999986</v>
      </c>
      <c r="AI15" s="3">
        <f t="shared" si="56"/>
        <v>5.5022399999999987</v>
      </c>
      <c r="AJ15" s="3">
        <f t="shared" si="56"/>
        <v>4.7876880000000002</v>
      </c>
      <c r="AK15" s="3">
        <f t="shared" si="56"/>
        <v>3.7392255999999997</v>
      </c>
      <c r="AL15" s="3">
        <f t="shared" si="56"/>
        <v>4.4870707200000002</v>
      </c>
      <c r="AM15" s="3">
        <f t="shared" si="56"/>
        <v>4.6202848640000003</v>
      </c>
      <c r="AN15" s="3">
        <f t="shared" si="56"/>
        <v>4.6273018367999992</v>
      </c>
      <c r="AO15" s="3">
        <f t="shared" si="56"/>
        <v>4.4523142041599995</v>
      </c>
      <c r="AP15" s="3">
        <f t="shared" si="56"/>
        <v>4.385239444992</v>
      </c>
    </row>
    <row r="16" spans="1:50" s="3" customFormat="1" x14ac:dyDescent="0.25">
      <c r="A16" s="6" t="s">
        <v>48</v>
      </c>
      <c r="E16" s="3">
        <v>0</v>
      </c>
      <c r="F16" s="3">
        <v>0</v>
      </c>
      <c r="G16" s="3">
        <v>0</v>
      </c>
      <c r="H16" s="3">
        <v>0</v>
      </c>
      <c r="I16" s="3">
        <v>121.324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T16" s="3">
        <v>0</v>
      </c>
      <c r="U16" s="3">
        <v>12.542</v>
      </c>
      <c r="X16" s="3">
        <v>0</v>
      </c>
      <c r="Y16" s="3">
        <v>0</v>
      </c>
      <c r="AB16" s="3">
        <f t="shared" si="47"/>
        <v>121.324</v>
      </c>
      <c r="AC16" s="3">
        <f t="shared" si="48"/>
        <v>0</v>
      </c>
      <c r="AD16" s="3">
        <f t="shared" si="49"/>
        <v>0</v>
      </c>
      <c r="AE16" s="3">
        <f t="shared" si="50"/>
        <v>12.542</v>
      </c>
      <c r="AF16" s="3">
        <f t="shared" si="51"/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</row>
    <row r="17" spans="1:154" s="3" customFormat="1" x14ac:dyDescent="0.25">
      <c r="A17" s="6" t="s">
        <v>40</v>
      </c>
      <c r="E17" s="3">
        <v>3.86</v>
      </c>
      <c r="F17" s="3">
        <v>7.5460000000000003</v>
      </c>
      <c r="G17" s="3">
        <v>2.3330000000000002</v>
      </c>
      <c r="H17" s="3">
        <v>4.415</v>
      </c>
      <c r="I17" s="3">
        <v>6.4130000000000003</v>
      </c>
      <c r="J17" s="3">
        <v>3.2410000000000001</v>
      </c>
      <c r="K17" s="3">
        <v>6.4320000000000004</v>
      </c>
      <c r="L17" s="3">
        <v>7.6E-3</v>
      </c>
      <c r="M17" s="3">
        <v>0.57999999999999996</v>
      </c>
      <c r="N17" s="3">
        <v>0.11600000000000001</v>
      </c>
      <c r="O17" s="3">
        <v>1.268</v>
      </c>
      <c r="P17" s="3">
        <v>1.7589999999999999</v>
      </c>
      <c r="Q17" s="3">
        <v>1.9690000000000001</v>
      </c>
      <c r="R17" s="3">
        <v>1.651</v>
      </c>
      <c r="S17" s="3">
        <v>3.9009999999999998</v>
      </c>
      <c r="T17" s="3">
        <v>4.5250000000000004</v>
      </c>
      <c r="U17" s="3">
        <v>-0.59899999999999998</v>
      </c>
      <c r="V17" s="3">
        <v>2.7010000000000001</v>
      </c>
      <c r="W17" s="3">
        <v>3.1829999999999998</v>
      </c>
      <c r="X17" s="3">
        <f>AVERAGE(T17:W17)</f>
        <v>2.4525000000000001</v>
      </c>
      <c r="Y17" s="3">
        <f>AVERAGE(U17:X17)</f>
        <v>1.9343750000000002</v>
      </c>
      <c r="AB17" s="3">
        <f t="shared" si="47"/>
        <v>20.707000000000001</v>
      </c>
      <c r="AC17" s="3">
        <f t="shared" si="48"/>
        <v>10.2606</v>
      </c>
      <c r="AD17" s="3">
        <f t="shared" si="49"/>
        <v>5.1120000000000001</v>
      </c>
      <c r="AE17" s="3">
        <f t="shared" si="50"/>
        <v>9.4779999999999998</v>
      </c>
      <c r="AF17" s="3">
        <f t="shared" si="51"/>
        <v>10.270875</v>
      </c>
      <c r="AG17" s="3">
        <f>AVERAGE(AC17:AF17)</f>
        <v>8.7803687500000009</v>
      </c>
      <c r="AH17" s="3">
        <f t="shared" si="56"/>
        <v>8.7803687500000009</v>
      </c>
      <c r="AI17" s="3">
        <f t="shared" si="56"/>
        <v>8.4843225000000011</v>
      </c>
      <c r="AJ17" s="3">
        <f t="shared" si="56"/>
        <v>9.1587870000000002</v>
      </c>
      <c r="AK17" s="3">
        <f t="shared" si="56"/>
        <v>9.0949443999999993</v>
      </c>
      <c r="AL17" s="3">
        <f t="shared" si="56"/>
        <v>8.8597582799999994</v>
      </c>
      <c r="AM17" s="3">
        <f t="shared" si="56"/>
        <v>8.8756361860000013</v>
      </c>
      <c r="AN17" s="3">
        <f t="shared" si="56"/>
        <v>8.8946896732000003</v>
      </c>
      <c r="AO17" s="3">
        <f t="shared" si="56"/>
        <v>8.9767631078400001</v>
      </c>
      <c r="AP17" s="3">
        <f t="shared" si="56"/>
        <v>8.9403583294079993</v>
      </c>
    </row>
    <row r="18" spans="1:154" s="23" customFormat="1" x14ac:dyDescent="0.25">
      <c r="A18" s="22" t="s">
        <v>41</v>
      </c>
      <c r="E18" s="23">
        <f>E10-E11-E12-E13-E14+E15-E16-E17</f>
        <v>56.535000000000004</v>
      </c>
      <c r="F18" s="23">
        <f>F10-F11-F12-F13-F14+F15-F16-F17</f>
        <v>66.90399999999994</v>
      </c>
      <c r="G18" s="23">
        <f>G10-G11-G12-G13-G14+G15-G16-G17</f>
        <v>61.531000000000098</v>
      </c>
      <c r="H18" s="23">
        <f>H10-H11-H12-H13-H14+H15-H16-H17</f>
        <v>-23.354000000000013</v>
      </c>
      <c r="I18" s="23">
        <f>I10-I11-I12-I13-I14+I15-I16-I17</f>
        <v>-99.664000000000058</v>
      </c>
      <c r="J18" s="23">
        <f>J10-J11-J12-J13-J14+J15-J16-J17</f>
        <v>50.370999999999981</v>
      </c>
      <c r="K18" s="23">
        <f>K10-K11-K12-K13-K14+K15-K16+K17</f>
        <v>62.127999999999993</v>
      </c>
      <c r="L18" s="23">
        <f>L10-L11-L12-L13-L14+L15-L16-L17</f>
        <v>48.663399999999967</v>
      </c>
      <c r="M18" s="23">
        <f>M10-M11-M12-M13-M14+M15-M16-M17</f>
        <v>42.488999999999947</v>
      </c>
      <c r="N18" s="23">
        <f>N10-N11-N12-N13+N14+N15-N16-N17</f>
        <v>61.423000000000002</v>
      </c>
      <c r="O18" s="23">
        <f>O10-O11-O12-O13-O14+O15-O16-O17</f>
        <v>38.712999999999973</v>
      </c>
      <c r="P18" s="23">
        <f>P10-P11-P12-P13-P14+P15-P16-P17</f>
        <v>59.808999999999926</v>
      </c>
      <c r="Q18" s="23">
        <f>Q10-Q11-Q12-Q13-Q14+Q15-Q16+Q17</f>
        <v>43.033999999999985</v>
      </c>
      <c r="R18" s="23">
        <f>R10-R11-R12-R13+R15-R17</f>
        <v>60.300999999999902</v>
      </c>
      <c r="S18" s="23">
        <f>S10-S11-S12-S13+S15-S17</f>
        <v>56.304000000000059</v>
      </c>
      <c r="T18" s="23">
        <f>T10-T11-T12-T13-T14+T15-T16-T17</f>
        <v>50.338000000000022</v>
      </c>
      <c r="U18" s="23">
        <f>U10-U11-U12-U13+U15-U17-U14-U16</f>
        <v>49.109000000000059</v>
      </c>
      <c r="V18" s="23">
        <f>V10-V11-V12-V13+V15-V17</f>
        <v>62.611000000000068</v>
      </c>
      <c r="W18" s="23">
        <f>W10-W11-W12-W13+W15-W17</f>
        <v>78.748999999999967</v>
      </c>
      <c r="X18" s="23">
        <f t="shared" ref="X18:Y18" si="57">X10-X11-X12-X13+X15-X17</f>
        <v>68.028694841600014</v>
      </c>
      <c r="Y18" s="23">
        <f t="shared" si="57"/>
        <v>67.904718916999983</v>
      </c>
      <c r="AB18" s="25">
        <f>SUM(F18:I18)</f>
        <v>5.416999999999959</v>
      </c>
      <c r="AC18" s="25">
        <f>SUM(J18:M18)</f>
        <v>203.65139999999988</v>
      </c>
      <c r="AD18" s="25">
        <f>SUM(N18:Q18)</f>
        <v>202.97899999999987</v>
      </c>
      <c r="AE18" s="25">
        <f>SUM(R18:U18)</f>
        <v>216.05200000000005</v>
      </c>
      <c r="AF18" s="23">
        <f>AF10-AF11-AF12-AF13-AF14+AF15-AF16-AF17</f>
        <v>276.16841375859974</v>
      </c>
      <c r="AG18" s="23">
        <f t="shared" ref="AG18:AP18" si="58">AG10-AG11-AG12-AG13-AG14+AG15-AG16-AG17</f>
        <v>290.56611085061286</v>
      </c>
      <c r="AH18" s="23">
        <f t="shared" si="58"/>
        <v>318.40617328315028</v>
      </c>
      <c r="AI18" s="23">
        <f t="shared" si="58"/>
        <v>340.22864052885132</v>
      </c>
      <c r="AJ18" s="23">
        <f t="shared" si="58"/>
        <v>371.00871686284631</v>
      </c>
      <c r="AK18" s="23">
        <f t="shared" si="58"/>
        <v>397.93678105287103</v>
      </c>
      <c r="AL18" s="23">
        <f t="shared" si="58"/>
        <v>421.11775706632125</v>
      </c>
      <c r="AM18" s="23">
        <f t="shared" si="58"/>
        <v>444.31028348385308</v>
      </c>
      <c r="AN18" s="23">
        <f t="shared" si="58"/>
        <v>468.13251507247918</v>
      </c>
      <c r="AO18" s="23">
        <f t="shared" si="58"/>
        <v>493.95304536559217</v>
      </c>
      <c r="AP18" s="23">
        <f t="shared" si="58"/>
        <v>506.98390003149439</v>
      </c>
    </row>
    <row r="19" spans="1:154" s="3" customFormat="1" x14ac:dyDescent="0.25">
      <c r="A19" s="6" t="s">
        <v>42</v>
      </c>
      <c r="E19" s="3">
        <v>11.98</v>
      </c>
      <c r="F19" s="3">
        <v>16.876999999999999</v>
      </c>
      <c r="G19" s="3">
        <v>11.786</v>
      </c>
      <c r="H19" s="3">
        <v>10.763999999999999</v>
      </c>
      <c r="I19" s="3">
        <v>21.687000000000001</v>
      </c>
      <c r="J19" s="3">
        <v>12.529</v>
      </c>
      <c r="K19" s="3">
        <v>13.44</v>
      </c>
      <c r="L19" s="3">
        <v>12.473000000000001</v>
      </c>
      <c r="M19" s="3">
        <v>8.1120000000000001</v>
      </c>
      <c r="N19" s="3">
        <v>15.157999999999999</v>
      </c>
      <c r="O19" s="3">
        <v>9.6259999999999994</v>
      </c>
      <c r="P19" s="3">
        <v>9.4</v>
      </c>
      <c r="Q19" s="3">
        <v>13.618</v>
      </c>
      <c r="R19" s="3">
        <v>14.285</v>
      </c>
      <c r="S19" s="3">
        <v>13.291</v>
      </c>
      <c r="T19" s="3">
        <v>7.9509999999999996</v>
      </c>
      <c r="U19" s="3">
        <v>9.5269999999999992</v>
      </c>
      <c r="V19" s="3">
        <v>14.798999999999999</v>
      </c>
      <c r="W19" s="3">
        <v>18.745999999999999</v>
      </c>
      <c r="X19" s="3">
        <f>X18*0.23</f>
        <v>15.646599813568004</v>
      </c>
      <c r="Y19" s="3">
        <f>Y18*0.23</f>
        <v>15.618085350909997</v>
      </c>
      <c r="AB19" s="3">
        <f>SUM(F19:I19)</f>
        <v>61.11399999999999</v>
      </c>
      <c r="AC19" s="3">
        <f>SUM(J19:M19)</f>
        <v>46.554000000000002</v>
      </c>
      <c r="AD19" s="3">
        <f>SUM(N19:Q19)</f>
        <v>47.802</v>
      </c>
      <c r="AE19" s="3">
        <f>SUM(R19:U19)</f>
        <v>45.054000000000002</v>
      </c>
      <c r="AF19" s="23">
        <f>SUM(V19:Y19)</f>
        <v>64.809685164477997</v>
      </c>
      <c r="AG19" s="3">
        <f>AG18*0.22</f>
        <v>63.92454438713483</v>
      </c>
      <c r="AH19" s="3">
        <f t="shared" ref="AG19:AP19" si="59">AH18*0.23</f>
        <v>73.233419855124566</v>
      </c>
      <c r="AI19" s="3">
        <f>AI18*0.22</f>
        <v>74.850300916347294</v>
      </c>
      <c r="AJ19" s="3">
        <f t="shared" si="59"/>
        <v>85.332004878454654</v>
      </c>
      <c r="AK19" s="3">
        <f>AK18*0.22</f>
        <v>87.546091831631628</v>
      </c>
      <c r="AL19" s="3">
        <f t="shared" si="59"/>
        <v>96.857084125253891</v>
      </c>
      <c r="AM19" s="3">
        <f>AM18*0.22</f>
        <v>97.748262366447676</v>
      </c>
      <c r="AN19" s="3">
        <f t="shared" si="59"/>
        <v>107.67047846667022</v>
      </c>
      <c r="AO19" s="3">
        <f>AO18*0.22</f>
        <v>108.66966998043029</v>
      </c>
      <c r="AP19" s="3">
        <f t="shared" si="59"/>
        <v>116.60629700724371</v>
      </c>
    </row>
    <row r="20" spans="1:154" s="19" customFormat="1" x14ac:dyDescent="0.25">
      <c r="A20" s="18" t="s">
        <v>43</v>
      </c>
      <c r="E20" s="19">
        <f>E18-E19</f>
        <v>44.555000000000007</v>
      </c>
      <c r="F20" s="19">
        <f>F18-F19</f>
        <v>50.026999999999944</v>
      </c>
      <c r="G20" s="19">
        <f>G18-G19</f>
        <v>49.745000000000097</v>
      </c>
      <c r="H20" s="19">
        <f>H18+H19</f>
        <v>-12.590000000000014</v>
      </c>
      <c r="I20" s="19">
        <f>I18+I19</f>
        <v>-77.977000000000061</v>
      </c>
      <c r="J20" s="19">
        <f>J18-J19</f>
        <v>37.841999999999985</v>
      </c>
      <c r="K20" s="19">
        <f>K18-K19</f>
        <v>48.687999999999995</v>
      </c>
      <c r="L20" s="19">
        <f>L18-L19</f>
        <v>36.190399999999968</v>
      </c>
      <c r="M20" s="19">
        <f>M18-M19</f>
        <v>34.376999999999946</v>
      </c>
      <c r="N20" s="19">
        <f>N18-N19</f>
        <v>46.265000000000001</v>
      </c>
      <c r="O20" s="19">
        <f>O18-O19</f>
        <v>29.086999999999975</v>
      </c>
      <c r="P20" s="19">
        <f>P18-P19</f>
        <v>50.408999999999928</v>
      </c>
      <c r="Q20" s="19">
        <f>Q18-Q19</f>
        <v>29.415999999999983</v>
      </c>
      <c r="R20" s="19">
        <f>R18-R19</f>
        <v>46.015999999999906</v>
      </c>
      <c r="S20" s="19">
        <f>S18-S19</f>
        <v>43.013000000000062</v>
      </c>
      <c r="T20" s="19">
        <f>T18-T19</f>
        <v>42.387000000000022</v>
      </c>
      <c r="U20" s="19">
        <f>U18-U19</f>
        <v>39.582000000000058</v>
      </c>
      <c r="V20" s="19">
        <f>V18-V19</f>
        <v>47.812000000000069</v>
      </c>
      <c r="W20" s="19">
        <f>W18-W19</f>
        <v>60.002999999999972</v>
      </c>
      <c r="X20" s="19">
        <f t="shared" ref="X20:Y20" si="60">X18-X19</f>
        <v>52.382095028032012</v>
      </c>
      <c r="Y20" s="19">
        <f t="shared" si="60"/>
        <v>52.286633566089989</v>
      </c>
      <c r="AB20" s="19">
        <f>SUM(F20:I20)</f>
        <v>9.2049999999999699</v>
      </c>
      <c r="AC20" s="19">
        <f>SUM(J20:M20)</f>
        <v>157.09739999999988</v>
      </c>
      <c r="AD20" s="19">
        <f>SUM(N20:Q20)</f>
        <v>155.17699999999991</v>
      </c>
      <c r="AE20" s="19">
        <f>SUM(R20:U20)</f>
        <v>170.99800000000005</v>
      </c>
      <c r="AF20" s="19">
        <f t="shared" ref="AF20" si="61">AF18-AF19</f>
        <v>211.35872859412174</v>
      </c>
      <c r="AG20" s="19">
        <f t="shared" ref="AG20" si="62">AG18-AG19</f>
        <v>226.64156646347803</v>
      </c>
      <c r="AH20" s="19">
        <f t="shared" ref="AH20" si="63">AH18-AH19</f>
        <v>245.17275342802571</v>
      </c>
      <c r="AI20" s="19">
        <f t="shared" ref="AI20" si="64">AI18-AI19</f>
        <v>265.37833961250402</v>
      </c>
      <c r="AJ20" s="19">
        <f t="shared" ref="AJ20" si="65">AJ18-AJ19</f>
        <v>285.67671198439166</v>
      </c>
      <c r="AK20" s="19">
        <f t="shared" ref="AK20" si="66">AK18-AK19</f>
        <v>310.39068922123943</v>
      </c>
      <c r="AL20" s="19">
        <f t="shared" ref="AL20" si="67">AL18-AL19</f>
        <v>324.26067294106736</v>
      </c>
      <c r="AM20" s="19">
        <f t="shared" ref="AM20" si="68">AM18-AM19</f>
        <v>346.56202111740538</v>
      </c>
      <c r="AN20" s="19">
        <f t="shared" ref="AN20" si="69">AN18-AN19</f>
        <v>360.46203660580898</v>
      </c>
      <c r="AO20" s="19">
        <f t="shared" ref="AO20" si="70">AO18-AO19</f>
        <v>385.28337538516189</v>
      </c>
      <c r="AP20" s="19">
        <f t="shared" ref="AP20" si="71">AP18-AP19</f>
        <v>390.37760302425067</v>
      </c>
      <c r="AQ20" s="19">
        <f>AP20*(1+$AT$21)</f>
        <v>386.47382699400816</v>
      </c>
      <c r="AR20" s="19">
        <f t="shared" ref="AR20:DC20" si="72">AQ20*(1+$AT$21)</f>
        <v>382.6090887240681</v>
      </c>
      <c r="AS20" s="19">
        <f t="shared" si="72"/>
        <v>378.78299783682741</v>
      </c>
      <c r="AT20" s="19">
        <f t="shared" si="72"/>
        <v>374.99516785845913</v>
      </c>
      <c r="AU20" s="19">
        <f t="shared" si="72"/>
        <v>371.24521617987455</v>
      </c>
      <c r="AV20" s="19">
        <f t="shared" si="72"/>
        <v>367.5327640180758</v>
      </c>
      <c r="AW20" s="19">
        <f t="shared" si="72"/>
        <v>363.85743637789506</v>
      </c>
      <c r="AX20" s="19">
        <f t="shared" si="72"/>
        <v>360.2188620141161</v>
      </c>
      <c r="AY20" s="19">
        <f t="shared" si="72"/>
        <v>356.61667339397491</v>
      </c>
      <c r="AZ20" s="19">
        <f t="shared" si="72"/>
        <v>353.05050666003518</v>
      </c>
      <c r="BA20" s="19">
        <f t="shared" si="72"/>
        <v>349.52000159343481</v>
      </c>
      <c r="BB20" s="19">
        <f t="shared" si="72"/>
        <v>346.02480157750045</v>
      </c>
      <c r="BC20" s="19">
        <f t="shared" si="72"/>
        <v>342.56455356172546</v>
      </c>
      <c r="BD20" s="19">
        <f t="shared" si="72"/>
        <v>339.1389080261082</v>
      </c>
      <c r="BE20" s="19">
        <f t="shared" si="72"/>
        <v>335.7475189458471</v>
      </c>
      <c r="BF20" s="19">
        <f t="shared" si="72"/>
        <v>332.39004375638865</v>
      </c>
      <c r="BG20" s="19">
        <f t="shared" si="72"/>
        <v>329.06614331882474</v>
      </c>
      <c r="BH20" s="19">
        <f t="shared" si="72"/>
        <v>325.77548188563651</v>
      </c>
      <c r="BI20" s="19">
        <f t="shared" si="72"/>
        <v>322.51772706678014</v>
      </c>
      <c r="BJ20" s="19">
        <f t="shared" si="72"/>
        <v>319.29254979611233</v>
      </c>
      <c r="BK20" s="19">
        <f t="shared" si="72"/>
        <v>316.09962429815118</v>
      </c>
      <c r="BL20" s="19">
        <f t="shared" si="72"/>
        <v>312.93862805516966</v>
      </c>
      <c r="BM20" s="19">
        <f t="shared" si="72"/>
        <v>309.80924177461799</v>
      </c>
      <c r="BN20" s="19">
        <f t="shared" si="72"/>
        <v>306.71114935687183</v>
      </c>
      <c r="BO20" s="19">
        <f t="shared" si="72"/>
        <v>303.64403786330308</v>
      </c>
      <c r="BP20" s="19">
        <f t="shared" si="72"/>
        <v>300.60759748467007</v>
      </c>
      <c r="BQ20" s="19">
        <f t="shared" si="72"/>
        <v>297.60152150982339</v>
      </c>
      <c r="BR20" s="19">
        <f t="shared" si="72"/>
        <v>294.62550629472514</v>
      </c>
      <c r="BS20" s="19">
        <f t="shared" si="72"/>
        <v>291.67925123177787</v>
      </c>
      <c r="BT20" s="19">
        <f t="shared" si="72"/>
        <v>288.76245871946008</v>
      </c>
      <c r="BU20" s="19">
        <f t="shared" si="72"/>
        <v>285.87483413226551</v>
      </c>
      <c r="BV20" s="19">
        <f t="shared" si="72"/>
        <v>283.01608579094284</v>
      </c>
      <c r="BW20" s="19">
        <f t="shared" si="72"/>
        <v>280.18592493303339</v>
      </c>
      <c r="BX20" s="19">
        <f t="shared" si="72"/>
        <v>277.38406568370306</v>
      </c>
      <c r="BY20" s="19">
        <f t="shared" si="72"/>
        <v>274.61022502686603</v>
      </c>
      <c r="BZ20" s="19">
        <f t="shared" si="72"/>
        <v>271.86412277659736</v>
      </c>
      <c r="CA20" s="19">
        <f t="shared" si="72"/>
        <v>269.14548154883136</v>
      </c>
      <c r="CB20" s="19">
        <f t="shared" si="72"/>
        <v>266.45402673334303</v>
      </c>
      <c r="CC20" s="19">
        <f t="shared" si="72"/>
        <v>263.78948646600958</v>
      </c>
      <c r="CD20" s="19">
        <f t="shared" si="72"/>
        <v>261.15159160134948</v>
      </c>
      <c r="CE20" s="19">
        <f t="shared" si="72"/>
        <v>258.54007568533598</v>
      </c>
      <c r="CF20" s="19">
        <f t="shared" si="72"/>
        <v>255.9546749284826</v>
      </c>
      <c r="CG20" s="19">
        <f t="shared" si="72"/>
        <v>253.39512817919777</v>
      </c>
      <c r="CH20" s="19">
        <f t="shared" si="72"/>
        <v>250.86117689740578</v>
      </c>
      <c r="CI20" s="19">
        <f t="shared" si="72"/>
        <v>248.35256512843173</v>
      </c>
      <c r="CJ20" s="19">
        <f t="shared" si="72"/>
        <v>245.86903947714742</v>
      </c>
      <c r="CK20" s="19">
        <f t="shared" si="72"/>
        <v>243.41034908237594</v>
      </c>
      <c r="CL20" s="19">
        <f t="shared" si="72"/>
        <v>240.97624559155219</v>
      </c>
      <c r="CM20" s="19">
        <f t="shared" si="72"/>
        <v>238.56648313563667</v>
      </c>
      <c r="CN20" s="19">
        <f t="shared" si="72"/>
        <v>236.18081830428031</v>
      </c>
      <c r="CO20" s="19">
        <f t="shared" si="72"/>
        <v>233.81901012123751</v>
      </c>
      <c r="CP20" s="19">
        <f t="shared" si="72"/>
        <v>231.48082002002513</v>
      </c>
      <c r="CQ20" s="19">
        <f t="shared" si="72"/>
        <v>229.16601181982489</v>
      </c>
      <c r="CR20" s="19">
        <f t="shared" si="72"/>
        <v>226.87435170162664</v>
      </c>
      <c r="CS20" s="19">
        <f t="shared" si="72"/>
        <v>224.60560818461036</v>
      </c>
      <c r="CT20" s="19">
        <f t="shared" si="72"/>
        <v>222.35955210276427</v>
      </c>
      <c r="CU20" s="19">
        <f t="shared" si="72"/>
        <v>220.13595658173662</v>
      </c>
      <c r="CV20" s="19">
        <f t="shared" si="72"/>
        <v>217.93459701591925</v>
      </c>
      <c r="CW20" s="19">
        <f t="shared" si="72"/>
        <v>215.75525104576005</v>
      </c>
      <c r="CX20" s="19">
        <f t="shared" si="72"/>
        <v>213.59769853530244</v>
      </c>
      <c r="CY20" s="19">
        <f t="shared" si="72"/>
        <v>211.4617215499494</v>
      </c>
      <c r="CZ20" s="19">
        <f t="shared" si="72"/>
        <v>209.34710433444991</v>
      </c>
      <c r="DA20" s="19">
        <f t="shared" si="72"/>
        <v>207.25363329110542</v>
      </c>
      <c r="DB20" s="19">
        <f t="shared" si="72"/>
        <v>205.18109695819436</v>
      </c>
      <c r="DC20" s="19">
        <f t="shared" si="72"/>
        <v>203.12928598861242</v>
      </c>
      <c r="DD20" s="19">
        <f t="shared" ref="DD20:EX20" si="73">DC20*(1+$AT$21)</f>
        <v>201.0979931287263</v>
      </c>
      <c r="DE20" s="19">
        <f t="shared" si="73"/>
        <v>199.08701319743903</v>
      </c>
      <c r="DF20" s="19">
        <f t="shared" si="73"/>
        <v>197.09614306546464</v>
      </c>
      <c r="DG20" s="19">
        <f t="shared" si="73"/>
        <v>195.12518163480999</v>
      </c>
      <c r="DH20" s="19">
        <f t="shared" si="73"/>
        <v>193.17392981846189</v>
      </c>
      <c r="DI20" s="19">
        <f t="shared" si="73"/>
        <v>191.24219052027726</v>
      </c>
      <c r="DJ20" s="19">
        <f t="shared" si="73"/>
        <v>189.3297686150745</v>
      </c>
      <c r="DK20" s="19">
        <f t="shared" si="73"/>
        <v>187.43647092892374</v>
      </c>
      <c r="DL20" s="19">
        <f t="shared" si="73"/>
        <v>185.5621062196345</v>
      </c>
      <c r="DM20" s="19">
        <f t="shared" si="73"/>
        <v>183.70648515743815</v>
      </c>
      <c r="DN20" s="19">
        <f t="shared" si="73"/>
        <v>181.86942030586377</v>
      </c>
      <c r="DO20" s="19">
        <f t="shared" si="73"/>
        <v>180.05072610280513</v>
      </c>
      <c r="DP20" s="19">
        <f t="shared" si="73"/>
        <v>178.25021884177707</v>
      </c>
      <c r="DQ20" s="19">
        <f t="shared" si="73"/>
        <v>176.4677166533593</v>
      </c>
      <c r="DR20" s="19">
        <f t="shared" si="73"/>
        <v>174.7030394868257</v>
      </c>
      <c r="DS20" s="19">
        <f t="shared" si="73"/>
        <v>172.95600909195744</v>
      </c>
      <c r="DT20" s="19">
        <f t="shared" si="73"/>
        <v>171.22644900103788</v>
      </c>
      <c r="DU20" s="19">
        <f t="shared" si="73"/>
        <v>169.51418451102751</v>
      </c>
      <c r="DV20" s="19">
        <f t="shared" si="73"/>
        <v>167.81904266591724</v>
      </c>
      <c r="DW20" s="19">
        <f t="shared" si="73"/>
        <v>166.14085223925807</v>
      </c>
      <c r="DX20" s="19">
        <f t="shared" si="73"/>
        <v>164.47944371686549</v>
      </c>
      <c r="DY20" s="19">
        <f t="shared" si="73"/>
        <v>162.83464927969683</v>
      </c>
      <c r="DZ20" s="19">
        <f t="shared" si="73"/>
        <v>161.20630278689987</v>
      </c>
      <c r="EA20" s="19">
        <f t="shared" si="73"/>
        <v>159.59423975903087</v>
      </c>
      <c r="EB20" s="19">
        <f t="shared" si="73"/>
        <v>157.99829736144056</v>
      </c>
      <c r="EC20" s="19">
        <f t="shared" si="73"/>
        <v>156.41831438782614</v>
      </c>
      <c r="ED20" s="19">
        <f t="shared" si="73"/>
        <v>154.85413124394788</v>
      </c>
      <c r="EE20" s="19">
        <f t="shared" si="73"/>
        <v>153.30558993150839</v>
      </c>
      <c r="EF20" s="19">
        <f t="shared" si="73"/>
        <v>151.77253403219331</v>
      </c>
      <c r="EG20" s="19">
        <f t="shared" si="73"/>
        <v>150.25480869187138</v>
      </c>
      <c r="EH20" s="19">
        <f t="shared" si="73"/>
        <v>148.75226060495265</v>
      </c>
      <c r="EI20" s="19">
        <f t="shared" si="73"/>
        <v>147.26473799890312</v>
      </c>
      <c r="EJ20" s="19">
        <f t="shared" si="73"/>
        <v>145.79209061891407</v>
      </c>
      <c r="EK20" s="19">
        <f t="shared" si="73"/>
        <v>144.33416971272493</v>
      </c>
      <c r="EL20" s="19">
        <f t="shared" si="73"/>
        <v>142.89082801559769</v>
      </c>
      <c r="EM20" s="19">
        <f t="shared" si="73"/>
        <v>141.46191973544171</v>
      </c>
      <c r="EN20" s="19">
        <f t="shared" si="73"/>
        <v>140.04730053808728</v>
      </c>
      <c r="EO20" s="19">
        <f t="shared" si="73"/>
        <v>138.64682753270642</v>
      </c>
      <c r="EP20" s="19">
        <f t="shared" si="73"/>
        <v>137.26035925737935</v>
      </c>
      <c r="EQ20" s="19">
        <f t="shared" si="73"/>
        <v>135.88775566480555</v>
      </c>
      <c r="ER20" s="19">
        <f t="shared" si="73"/>
        <v>134.5288781081575</v>
      </c>
      <c r="ES20" s="19">
        <f t="shared" si="73"/>
        <v>133.18358932707594</v>
      </c>
      <c r="ET20" s="19">
        <f t="shared" si="73"/>
        <v>131.85175343380519</v>
      </c>
      <c r="EU20" s="19">
        <f t="shared" si="73"/>
        <v>130.53323589946714</v>
      </c>
      <c r="EV20" s="19">
        <f t="shared" si="73"/>
        <v>129.22790354047248</v>
      </c>
      <c r="EW20" s="19">
        <f t="shared" si="73"/>
        <v>127.93562450506775</v>
      </c>
      <c r="EX20" s="19">
        <f t="shared" si="73"/>
        <v>126.65626826001707</v>
      </c>
    </row>
    <row r="21" spans="1:154" s="3" customFormat="1" x14ac:dyDescent="0.25">
      <c r="A21" s="6" t="s">
        <v>44</v>
      </c>
      <c r="E21" s="20">
        <f>E20/E22</f>
        <v>1.2690840779096573</v>
      </c>
      <c r="F21" s="20">
        <f>F20/F22</f>
        <v>1.4380779893779927</v>
      </c>
      <c r="G21" s="20">
        <f>G20/G22</f>
        <v>1.4767527588736928</v>
      </c>
      <c r="H21" s="20">
        <f>H20/H22</f>
        <v>-0.38617877512987875</v>
      </c>
      <c r="I21" s="20">
        <f>I20/I22</f>
        <v>-2.3963983433175855</v>
      </c>
      <c r="J21" s="20">
        <f>J20/J22</f>
        <v>1.1738608164998878</v>
      </c>
      <c r="K21" s="20">
        <f>K20/K22</f>
        <v>1.506179611671209</v>
      </c>
      <c r="L21" s="20">
        <f>L20/L22</f>
        <v>1.1185329559312767</v>
      </c>
      <c r="M21" s="20">
        <f>M20/M22</f>
        <v>1.0651510415595107</v>
      </c>
      <c r="N21" s="20">
        <f>N20/N22</f>
        <v>1.4373298403717292</v>
      </c>
      <c r="O21" s="20">
        <f>O20/O22</f>
        <v>0.90555238384088754</v>
      </c>
      <c r="P21" s="20">
        <f>P20/P22</f>
        <v>1.5719687679377849</v>
      </c>
      <c r="Q21" s="20">
        <f>Q20/Q22</f>
        <v>0.91676947962953814</v>
      </c>
      <c r="R21" s="20">
        <f>R20/R22</f>
        <v>1.443651987760328</v>
      </c>
      <c r="S21" s="20">
        <f>S20/S22</f>
        <v>1.3423143430374154</v>
      </c>
      <c r="T21" s="20">
        <f>T20/T22</f>
        <v>1.3218100593216338</v>
      </c>
      <c r="U21" s="20">
        <f>U20/U22</f>
        <v>1.2297320006296872</v>
      </c>
      <c r="V21" s="20">
        <f>V20/V22</f>
        <v>1.482574217937606</v>
      </c>
      <c r="W21" s="20">
        <f>W20/W22</f>
        <v>1.8556432454344638</v>
      </c>
      <c r="X21" s="20">
        <f t="shared" ref="X21:Y21" si="74">X20/X22</f>
        <v>1.6199603489904482</v>
      </c>
      <c r="Y21" s="20">
        <f t="shared" si="74"/>
        <v>1.6170081229842148</v>
      </c>
      <c r="AB21" s="20">
        <f>SUM(F21:I21)</f>
        <v>0.13225362980422162</v>
      </c>
      <c r="AC21" s="20">
        <f>SUM(J21:M21)</f>
        <v>4.8637244256618839</v>
      </c>
      <c r="AD21" s="20">
        <f>SUM(N21:Q21)</f>
        <v>4.8316204717799396</v>
      </c>
      <c r="AE21" s="20">
        <f>SUM(R21:U21)</f>
        <v>5.3375083907490648</v>
      </c>
      <c r="AF21" s="20">
        <f>SUM(V21:Y21)</f>
        <v>6.5751859353467328</v>
      </c>
      <c r="AG21" s="20">
        <f t="shared" ref="AG21:AP21" si="75">SUM(W21:Z21)</f>
        <v>5.0926117174091265</v>
      </c>
      <c r="AH21" s="20">
        <f t="shared" si="75"/>
        <v>3.236968471974663</v>
      </c>
      <c r="AI21" s="20">
        <f t="shared" si="75"/>
        <v>1.7492617527884364</v>
      </c>
      <c r="AJ21" s="20">
        <f t="shared" si="75"/>
        <v>4.9959780554661055</v>
      </c>
      <c r="AK21" s="20">
        <f t="shared" si="75"/>
        <v>9.827598527246046</v>
      </c>
      <c r="AL21" s="20">
        <f t="shared" si="75"/>
        <v>15.165106917995111</v>
      </c>
      <c r="AM21" s="20">
        <f t="shared" si="75"/>
        <v>21.608039223537624</v>
      </c>
      <c r="AN21" s="20">
        <f t="shared" si="75"/>
        <v>21.836926515284866</v>
      </c>
      <c r="AO21" s="20">
        <f t="shared" si="75"/>
        <v>20.242274515479586</v>
      </c>
      <c r="AP21" s="20">
        <f t="shared" si="75"/>
        <v>16.654027877518956</v>
      </c>
      <c r="AS21" s="3" t="s">
        <v>97</v>
      </c>
      <c r="AT21" s="54">
        <v>-0.01</v>
      </c>
    </row>
    <row r="22" spans="1:154" s="3" customFormat="1" x14ac:dyDescent="0.25">
      <c r="A22" s="6" t="s">
        <v>1</v>
      </c>
      <c r="E22" s="3">
        <v>35.107996999999997</v>
      </c>
      <c r="F22" s="3">
        <v>34.787404000000002</v>
      </c>
      <c r="G22" s="3">
        <v>33.685395</v>
      </c>
      <c r="H22" s="3">
        <v>32.601481</v>
      </c>
      <c r="I22" s="3">
        <v>32.539248000000001</v>
      </c>
      <c r="J22" s="3">
        <v>32.237212</v>
      </c>
      <c r="K22" s="3">
        <v>32.325493999999999</v>
      </c>
      <c r="L22" s="3">
        <v>32.355238</v>
      </c>
      <c r="M22" s="3">
        <v>32.274296</v>
      </c>
      <c r="N22" s="3">
        <v>32.188158000000001</v>
      </c>
      <c r="O22" s="3">
        <v>32.120725999999998</v>
      </c>
      <c r="P22" s="3">
        <v>32.067430999999999</v>
      </c>
      <c r="Q22" s="3">
        <v>32.086582999999997</v>
      </c>
      <c r="R22" s="3">
        <v>31.874718000000001</v>
      </c>
      <c r="S22" s="3">
        <v>32.043909999999997</v>
      </c>
      <c r="T22" s="3">
        <v>32.067391000000001</v>
      </c>
      <c r="U22" s="3">
        <v>32.187500999999997</v>
      </c>
      <c r="V22" s="3">
        <v>32.249313000000001</v>
      </c>
      <c r="W22" s="17">
        <v>32.335417999999997</v>
      </c>
      <c r="X22" s="17">
        <v>32.335417999999997</v>
      </c>
      <c r="Y22" s="17">
        <v>32.335417999999997</v>
      </c>
      <c r="AB22" s="3">
        <f>AVERAGE(F22:I22)</f>
        <v>33.403382000000008</v>
      </c>
      <c r="AC22" s="3">
        <f>AVERAGE(J22:M22)</f>
        <v>32.29806</v>
      </c>
      <c r="AD22" s="3">
        <f>AVERAGE(N22:Q22)</f>
        <v>32.115724499999999</v>
      </c>
      <c r="AE22" s="3">
        <f>AVERAGE(R22:U22)</f>
        <v>32.043379999999999</v>
      </c>
      <c r="AF22" s="3">
        <f>AVERAGE(V22:Y22)</f>
        <v>32.313891750000003</v>
      </c>
      <c r="AG22" s="3">
        <f t="shared" ref="AG22:AP22" si="76">AVERAGE(W22:Z22)</f>
        <v>32.335417999999997</v>
      </c>
      <c r="AH22" s="3">
        <f t="shared" si="76"/>
        <v>32.335417999999997</v>
      </c>
      <c r="AI22" s="3">
        <f t="shared" si="76"/>
        <v>32.869399999999999</v>
      </c>
      <c r="AJ22" s="3">
        <f t="shared" si="76"/>
        <v>32.850721000000007</v>
      </c>
      <c r="AK22" s="3">
        <f t="shared" si="76"/>
        <v>32.605722166666673</v>
      </c>
      <c r="AL22" s="3">
        <f t="shared" si="76"/>
        <v>32.465136625</v>
      </c>
      <c r="AM22" s="3">
        <f t="shared" si="76"/>
        <v>32.192764062499997</v>
      </c>
      <c r="AN22" s="3">
        <f t="shared" si="76"/>
        <v>32.2021035625</v>
      </c>
      <c r="AO22" s="3">
        <f t="shared" si="76"/>
        <v>32.257026937500001</v>
      </c>
      <c r="AP22" s="3">
        <f t="shared" si="76"/>
        <v>32.463531937499994</v>
      </c>
      <c r="AS22" s="3" t="s">
        <v>98</v>
      </c>
      <c r="AT22" s="54">
        <v>7.4999999999999997E-2</v>
      </c>
    </row>
    <row r="23" spans="1:154" x14ac:dyDescent="0.25">
      <c r="A23" s="7" t="s">
        <v>57</v>
      </c>
      <c r="F23">
        <v>0.25</v>
      </c>
      <c r="G23">
        <v>0.25</v>
      </c>
      <c r="J23">
        <v>0.25</v>
      </c>
      <c r="K23">
        <v>0.25</v>
      </c>
      <c r="L23">
        <v>0.25</v>
      </c>
      <c r="AS23" t="s">
        <v>99</v>
      </c>
      <c r="AT23" s="3">
        <f>NPV(AT22,AF20:EX20)</f>
        <v>4181.7679662296578</v>
      </c>
    </row>
    <row r="24" spans="1:154" x14ac:dyDescent="0.25">
      <c r="AS24" s="3" t="s">
        <v>3</v>
      </c>
      <c r="AT24">
        <v>-1050</v>
      </c>
    </row>
    <row r="25" spans="1:154" x14ac:dyDescent="0.25">
      <c r="AS25" s="3" t="s">
        <v>100</v>
      </c>
      <c r="AT25" s="3">
        <f>AT23+AT24</f>
        <v>3131.7679662296578</v>
      </c>
    </row>
    <row r="26" spans="1:154" x14ac:dyDescent="0.25">
      <c r="AS26" s="3" t="s">
        <v>101</v>
      </c>
      <c r="AT26" s="16">
        <f>AT25/Main!L3</f>
        <v>97.96244801864583</v>
      </c>
    </row>
    <row r="27" spans="1:154" s="46" customFormat="1" x14ac:dyDescent="0.25">
      <c r="A27" s="45" t="s">
        <v>84</v>
      </c>
      <c r="H27" s="51"/>
      <c r="I27" s="51">
        <f>I3/E3-1</f>
        <v>-7.6204216636805433E-2</v>
      </c>
      <c r="J27" s="51">
        <f>J3/F3-1</f>
        <v>-9.3912244003057643E-2</v>
      </c>
      <c r="K27" s="51">
        <f>K3/G3-1</f>
        <v>-3.7731435806903857E-2</v>
      </c>
      <c r="L27" s="51">
        <f>L3/H3-1</f>
        <v>7.5756723175355312E-2</v>
      </c>
      <c r="M27" s="51">
        <f>M3/I3-1</f>
        <v>2.46005418060673E-2</v>
      </c>
      <c r="N27" s="51">
        <f>N3/J3-1</f>
        <v>5.8676460697649313E-2</v>
      </c>
      <c r="O27" s="51">
        <f>O3/K3-1</f>
        <v>4.6693246351856788E-2</v>
      </c>
      <c r="P27" s="51">
        <f>P3/L3-1</f>
        <v>9.2682285481627158E-2</v>
      </c>
      <c r="Q27" s="51">
        <f>Q3/M3-1</f>
        <v>6.0354694629876526E-2</v>
      </c>
      <c r="R27" s="51">
        <f>R3/N3-1</f>
        <v>4.9741329068646367E-2</v>
      </c>
      <c r="S27" s="51">
        <f>S3/O3-1</f>
        <v>8.5633255361079019E-2</v>
      </c>
      <c r="T27" s="51">
        <f>T3/P3-1</f>
        <v>9.99662315583556E-2</v>
      </c>
      <c r="U27" s="51">
        <f>U3/Q3-1</f>
        <v>0.1354845514121763</v>
      </c>
      <c r="V27" s="51">
        <f>V3/R3-1</f>
        <v>0.12728143422667726</v>
      </c>
      <c r="W27" s="51">
        <f>W3/S3-1</f>
        <v>0.11174939530970662</v>
      </c>
      <c r="X27" s="51">
        <f>X3/T3-1</f>
        <v>4.4000000000000039E-2</v>
      </c>
      <c r="Y27" s="51">
        <f>Y3/U3-1</f>
        <v>3.0000000000000027E-2</v>
      </c>
      <c r="AC27" s="51">
        <f>AC3/AB3-1</f>
        <v>-1.1288053543112575E-2</v>
      </c>
      <c r="AD27" s="51">
        <f>AD3/AC3-1</f>
        <v>6.4442654662897336E-2</v>
      </c>
      <c r="AE27" s="51">
        <f>AE3/AD3-1</f>
        <v>9.3333087378116186E-2</v>
      </c>
      <c r="AF27" s="51">
        <f>AF3/AE3-1</f>
        <v>7.647422239977919E-2</v>
      </c>
      <c r="AG27" s="51">
        <f>AG3/AF3-1</f>
        <v>4.8000000000000043E-2</v>
      </c>
      <c r="AH27" s="51">
        <f>AH3/AG3-1</f>
        <v>7.2100000000000053E-2</v>
      </c>
      <c r="AI27" s="51">
        <f>AI3/AH3-1</f>
        <v>7.2100000000000053E-2</v>
      </c>
      <c r="AJ27" s="51">
        <f>AJ3/AI3-1</f>
        <v>7.2100000000000053E-2</v>
      </c>
      <c r="AK27" s="51">
        <f>AK3/AJ3-1</f>
        <v>7.2100000000000053E-2</v>
      </c>
      <c r="AL27" s="51">
        <f>AL3/AK3-1</f>
        <v>5.0000000000000044E-2</v>
      </c>
      <c r="AM27" s="51">
        <f>AM3/AL3-1</f>
        <v>5.0000000000000044E-2</v>
      </c>
      <c r="AN27" s="51">
        <f>AN3/AM3-1</f>
        <v>5.0000000000000044E-2</v>
      </c>
      <c r="AO27" s="51">
        <f>AO3/AN3-1</f>
        <v>5.0000000000000044E-2</v>
      </c>
      <c r="AP27" s="51">
        <f>AP3/AO3-1</f>
        <v>2.4999999999999911E-2</v>
      </c>
      <c r="AS27" s="46" t="s">
        <v>102</v>
      </c>
      <c r="AT27" s="51">
        <f>AT26/Main!L2-1</f>
        <v>-0.4002911048751403</v>
      </c>
    </row>
    <row r="28" spans="1:154" s="48" customFormat="1" x14ac:dyDescent="0.25">
      <c r="A28" s="47" t="s">
        <v>85</v>
      </c>
      <c r="F28" s="52">
        <f>F3/E3-1</f>
        <v>-1.3544047558373129E-2</v>
      </c>
      <c r="G28" s="52">
        <f>G3/F3-1</f>
        <v>1.3822741947663308E-2</v>
      </c>
      <c r="H28" s="52">
        <f>H3/G3-1</f>
        <v>-0.14078301059616327</v>
      </c>
      <c r="I28" s="52">
        <f>I3/H3-1</f>
        <v>7.5061707366407049E-2</v>
      </c>
      <c r="J28" s="52">
        <f>J3/I3-1</f>
        <v>-3.2453193189936336E-2</v>
      </c>
      <c r="K28" s="52">
        <f>K3/J3-1</f>
        <v>7.6683519651906451E-2</v>
      </c>
      <c r="L28" s="52">
        <f>L3/K3-1</f>
        <v>-3.9448562062569192E-2</v>
      </c>
      <c r="M28" s="52">
        <f>M3/L3-1</f>
        <v>2.3938576550288859E-2</v>
      </c>
      <c r="N28" s="52">
        <f>N3/M3-1</f>
        <v>-2.7475372263674469E-4</v>
      </c>
      <c r="O28" s="52">
        <f>O3/N3-1</f>
        <v>6.4496482462027993E-2</v>
      </c>
      <c r="P28" s="52">
        <f>P3/O3-1</f>
        <v>2.7556250948703731E-3</v>
      </c>
      <c r="Q28" s="52">
        <f>Q3/P3-1</f>
        <v>-6.3551948413205217E-3</v>
      </c>
      <c r="R28" s="52">
        <f>R3/Q3-1</f>
        <v>-1.0281263387061812E-2</v>
      </c>
      <c r="S28" s="52">
        <f>S3/R3-1</f>
        <v>0.10089290530362338</v>
      </c>
      <c r="T28" s="52">
        <f>T3/S3-1</f>
        <v>1.5994416772626918E-2</v>
      </c>
      <c r="U28" s="52">
        <f>U3/T3-1</f>
        <v>2.5729966501053969E-2</v>
      </c>
      <c r="V28" s="52">
        <f>V3/U3-1</f>
        <v>-1.7431319957204372E-2</v>
      </c>
      <c r="W28" s="52">
        <f>W3/V3-1</f>
        <v>8.5724455855750614E-2</v>
      </c>
      <c r="X28" s="52">
        <f>X3/W3-1</f>
        <v>-4.5919722928981166E-2</v>
      </c>
      <c r="Y28" s="52">
        <f>Y3/X3-1</f>
        <v>1.1974966950273558E-2</v>
      </c>
    </row>
    <row r="29" spans="1:154" s="3" customFormat="1" x14ac:dyDescent="0.25">
      <c r="A29" s="6"/>
    </row>
    <row r="30" spans="1:154" s="46" customFormat="1" x14ac:dyDescent="0.25">
      <c r="A30" s="45" t="s">
        <v>86</v>
      </c>
      <c r="E30" s="51">
        <f>E6/E3</f>
        <v>0.27052810546688671</v>
      </c>
      <c r="F30" s="51">
        <f>F6/F3</f>
        <v>0.27986879390813713</v>
      </c>
      <c r="G30" s="51">
        <f>G6/G3</f>
        <v>0.27186757213401169</v>
      </c>
      <c r="H30" s="51">
        <f>H6/H3</f>
        <v>0.23114066237896153</v>
      </c>
      <c r="I30" s="51">
        <f>I6/I3</f>
        <v>0.24388487682046125</v>
      </c>
      <c r="J30" s="51">
        <f>J6/J3</f>
        <v>0.27727449506838175</v>
      </c>
      <c r="K30" s="51">
        <f>K6/K3</f>
        <v>0.27146721491793879</v>
      </c>
      <c r="L30" s="51">
        <f>L6/L3</f>
        <v>0.26945848742917244</v>
      </c>
      <c r="M30" s="51">
        <f>M6/M3</f>
        <v>0.26975292875042278</v>
      </c>
      <c r="N30" s="51">
        <f>N6/N3</f>
        <v>0.26637719828860107</v>
      </c>
      <c r="O30" s="51">
        <f>O6/O3</f>
        <v>0.27635650315846005</v>
      </c>
      <c r="P30" s="51">
        <f>P6/P3</f>
        <v>0.273955216059805</v>
      </c>
      <c r="Q30" s="51">
        <f>Q6/Q3</f>
        <v>0.26453940695235273</v>
      </c>
      <c r="R30" s="51">
        <f>R6/R3</f>
        <v>0.26797157753620227</v>
      </c>
      <c r="S30" s="51">
        <f>S6/S3</f>
        <v>0.26448030095890024</v>
      </c>
      <c r="T30" s="51">
        <f>T6/T3</f>
        <v>0.26186695460704612</v>
      </c>
      <c r="U30" s="51">
        <f>U6/U3</f>
        <v>0.27968318366701034</v>
      </c>
      <c r="V30" s="51">
        <f>V6/V3</f>
        <v>0.27215848748322352</v>
      </c>
      <c r="W30" s="51">
        <f>W6/W3</f>
        <v>0.28676463474803365</v>
      </c>
      <c r="X30" s="51">
        <f>X6/X3</f>
        <v>0.27240000000000003</v>
      </c>
      <c r="Y30" s="51">
        <f>Y6/Y3</f>
        <v>0.27239999999999998</v>
      </c>
      <c r="AB30" s="51">
        <f>AB6/AB3</f>
        <v>0.25782009974505593</v>
      </c>
      <c r="AC30" s="51">
        <f>AC6/AC3</f>
        <v>0.27192633362003343</v>
      </c>
      <c r="AD30" s="51">
        <f>AD6/AD3</f>
        <v>0.27037538585597182</v>
      </c>
      <c r="AE30" s="51">
        <f>AE6/AE3</f>
        <v>0.26860476957460439</v>
      </c>
      <c r="AF30" s="51">
        <f>AF6/AF3</f>
        <v>0.27608225849041251</v>
      </c>
      <c r="AG30" s="51">
        <f>AG6/AG3</f>
        <v>0.27167733061101884</v>
      </c>
      <c r="AH30" s="51">
        <f>AH6/AH3</f>
        <v>0.27179999720511117</v>
      </c>
      <c r="AI30" s="51">
        <f>AI6/AI3</f>
        <v>0.27199031663917378</v>
      </c>
      <c r="AJ30" s="51">
        <f>AJ6/AJ3</f>
        <v>0.27190313331325938</v>
      </c>
      <c r="AK30" s="51">
        <f>AK6/AK3</f>
        <v>0.27196440226586094</v>
      </c>
      <c r="AL30" s="51">
        <f>AL6/AL3</f>
        <v>0.27200143415752681</v>
      </c>
      <c r="AM30" s="51">
        <f>AM6/AM3</f>
        <v>0.27200164968106055</v>
      </c>
      <c r="AN30" s="51">
        <f>AN6/AN3</f>
        <v>0.27202760735835096</v>
      </c>
      <c r="AO30" s="51">
        <f>AO6/AO3</f>
        <v>0.27204657623301232</v>
      </c>
      <c r="AP30" s="51">
        <f>AP6/AP3</f>
        <v>0.27205222799748541</v>
      </c>
    </row>
    <row r="31" spans="1:154" s="50" customFormat="1" x14ac:dyDescent="0.25">
      <c r="A31" s="49" t="s">
        <v>87</v>
      </c>
      <c r="E31" s="53">
        <f>E10/E3</f>
        <v>9.1822212813003554E-2</v>
      </c>
      <c r="F31" s="53">
        <f>F10/F3</f>
        <v>0.11218491792332969</v>
      </c>
      <c r="G31" s="53">
        <f>G10/G3</f>
        <v>9.6847285362032423E-2</v>
      </c>
      <c r="H31" s="53">
        <f>H10/H3</f>
        <v>4.2093320700369079E-2</v>
      </c>
      <c r="I31" s="53">
        <f>I10/I3</f>
        <v>6.848117471477369E-2</v>
      </c>
      <c r="J31" s="53">
        <f>J10/J3</f>
        <v>9.0696157928749577E-2</v>
      </c>
      <c r="K31" s="53">
        <f>K10/K3</f>
        <v>8.7350387424260101E-2</v>
      </c>
      <c r="L31" s="53">
        <f>L10/L3</f>
        <v>8.0454992705187758E-2</v>
      </c>
      <c r="M31" s="53">
        <f>M10/M3</f>
        <v>7.5535182973553161E-2</v>
      </c>
      <c r="N31" s="53">
        <f>N10/N3</f>
        <v>7.3713619652914161E-2</v>
      </c>
      <c r="O31" s="53">
        <f>O10/O3</f>
        <v>9.2467828336492391E-2</v>
      </c>
      <c r="P31" s="53">
        <f>P10/P3</f>
        <v>9.3111626047500853E-2</v>
      </c>
      <c r="Q31" s="53">
        <f>Q10/Q3</f>
        <v>8.6104278781612975E-2</v>
      </c>
      <c r="R31" s="53">
        <f>R10/R3</f>
        <v>8.7697325230922538E-2</v>
      </c>
      <c r="S31" s="53">
        <f>S10/S3</f>
        <v>9.3066138299601406E-2</v>
      </c>
      <c r="T31" s="53">
        <f>T10/T3</f>
        <v>8.7271341463414656E-2</v>
      </c>
      <c r="U31" s="53">
        <f>U10/U3</f>
        <v>0.1105589007982332</v>
      </c>
      <c r="V31" s="53">
        <f>V10/V3</f>
        <v>9.7910952908910623E-2</v>
      </c>
      <c r="W31" s="53">
        <f>W10/W3</f>
        <v>0.12193339159392153</v>
      </c>
      <c r="X31" s="53">
        <f>X10/X3</f>
        <v>0.10580000000000002</v>
      </c>
      <c r="Y31" s="53">
        <f>Y10/Y3</f>
        <v>0.10579999999999999</v>
      </c>
      <c r="AB31" s="53">
        <f>AB10/AB3</f>
        <v>8.1428186125134069E-2</v>
      </c>
      <c r="AC31" s="53">
        <f>AC10/AC3</f>
        <v>8.3442000032959374E-2</v>
      </c>
      <c r="AD31" s="53">
        <f>AD10/AD3</f>
        <v>8.6548676239375427E-2</v>
      </c>
      <c r="AE31" s="53">
        <f>AE10/AE3</f>
        <v>9.4948302593276204E-2</v>
      </c>
      <c r="AF31" s="53">
        <f>AF10/AF3</f>
        <v>0.10810879645004436</v>
      </c>
      <c r="AG31" s="53">
        <f>AG10/AG3</f>
        <v>0.10507733061101886</v>
      </c>
      <c r="AH31" s="53">
        <f>AH10/AH3</f>
        <v>0.10519999720511115</v>
      </c>
      <c r="AI31" s="53">
        <f>AI10/AI3</f>
        <v>0.10539031663917377</v>
      </c>
      <c r="AJ31" s="53">
        <f>AJ10/AJ3</f>
        <v>0.10530313331325936</v>
      </c>
      <c r="AK31" s="53">
        <f>AK10/AK3</f>
        <v>0.10536440226586091</v>
      </c>
      <c r="AL31" s="53">
        <f>AL10/AL3</f>
        <v>0.10540143415752681</v>
      </c>
      <c r="AM31" s="53">
        <f>AM10/AM3</f>
        <v>0.10540164968106051</v>
      </c>
      <c r="AN31" s="53">
        <f>AN10/AN3</f>
        <v>0.10542760735835094</v>
      </c>
      <c r="AO31" s="53">
        <f>AO10/AO3</f>
        <v>0.10544657623301228</v>
      </c>
      <c r="AP31" s="53">
        <f>AP10/AP3</f>
        <v>0.10545222799748541</v>
      </c>
    </row>
    <row r="32" spans="1:154" s="50" customFormat="1" x14ac:dyDescent="0.25">
      <c r="A32" s="49" t="s">
        <v>88</v>
      </c>
      <c r="E32" s="53">
        <f>E20/E3</f>
        <v>5.8226074774538138E-2</v>
      </c>
      <c r="F32" s="53">
        <f>F20/F3</f>
        <v>6.6274708780501304E-2</v>
      </c>
      <c r="G32" s="53">
        <f>G20/G3</f>
        <v>6.5002606899201329E-2</v>
      </c>
      <c r="H32" s="53">
        <f>H20/H3</f>
        <v>-1.9147153248704661E-2</v>
      </c>
      <c r="I32" s="53">
        <f>I20/I3</f>
        <v>-0.11030916897134661</v>
      </c>
      <c r="J32" s="53">
        <f>J20/J3</f>
        <v>5.5328282311383495E-2</v>
      </c>
      <c r="K32" s="53">
        <f>K20/K3</f>
        <v>6.61160616076545E-2</v>
      </c>
      <c r="L32" s="53">
        <f>L20/L3</f>
        <v>5.1163211526934212E-2</v>
      </c>
      <c r="M32" s="53">
        <f>M20/M3</f>
        <v>4.746336041751513E-2</v>
      </c>
      <c r="N32" s="53">
        <f>N20/N3</f>
        <v>6.3894344042006057E-2</v>
      </c>
      <c r="O32" s="53">
        <f>O20/O3</f>
        <v>3.7736754771421903E-2</v>
      </c>
      <c r="P32" s="53">
        <f>P20/P3</f>
        <v>6.5219669535043406E-2</v>
      </c>
      <c r="Q32" s="53">
        <f>Q20/Q3</f>
        <v>3.8302133205902589E-2</v>
      </c>
      <c r="R32" s="53">
        <f>R20/R3</f>
        <v>6.0539163771225625E-2</v>
      </c>
      <c r="S32" s="53">
        <f>S20/S3</f>
        <v>5.1402260059847681E-2</v>
      </c>
      <c r="T32" s="53">
        <f>T20/T3</f>
        <v>4.9856735546522153E-2</v>
      </c>
      <c r="U32" s="53">
        <f>U20/U3</f>
        <v>4.538954717097974E-2</v>
      </c>
      <c r="V32" s="53">
        <f>V20/V3</f>
        <v>5.5799731574954853E-2</v>
      </c>
      <c r="W32" s="53">
        <f>W20/W3</f>
        <v>6.4498340863138104E-2</v>
      </c>
      <c r="X32" s="53">
        <f>X20/X3</f>
        <v>5.9016510140176712E-2</v>
      </c>
      <c r="Y32" s="53">
        <f>Y20/Y3</f>
        <v>5.821187282489812E-2</v>
      </c>
      <c r="AB32" s="53">
        <f>AB20/AB3</f>
        <v>3.1911345740103917E-3</v>
      </c>
      <c r="AC32" s="53">
        <f>AC20/AC3</f>
        <v>5.5083375029321563E-2</v>
      </c>
      <c r="AD32" s="53">
        <f>AD20/AD3</f>
        <v>5.1115972386695588E-2</v>
      </c>
      <c r="AE32" s="53">
        <f>AE20/AE3</f>
        <v>5.1519046302003983E-2</v>
      </c>
      <c r="AF32" s="53">
        <f>AF20/AF3</f>
        <v>5.915525589242434E-2</v>
      </c>
      <c r="AG32" s="53">
        <f>AG20/AG3</f>
        <v>6.0527317943051218E-2</v>
      </c>
      <c r="AH32" s="53">
        <f>AH20/AH3</f>
        <v>6.107293272380717E-2</v>
      </c>
      <c r="AI32" s="53">
        <f>AI20/AI3</f>
        <v>6.1660458161593934E-2</v>
      </c>
      <c r="AJ32" s="53">
        <f>AJ20/AJ3</f>
        <v>6.1912853052309702E-2</v>
      </c>
      <c r="AK32" s="53">
        <f>AK20/AK3</f>
        <v>6.2745035319486636E-2</v>
      </c>
      <c r="AL32" s="53">
        <f>AL20/AL3</f>
        <v>6.2427459766468976E-2</v>
      </c>
      <c r="AM32" s="53">
        <f>AM20/AM3</f>
        <v>6.3543780947717537E-2</v>
      </c>
      <c r="AN32" s="53">
        <f>AN20/AN3</f>
        <v>6.2945156513868769E-2</v>
      </c>
      <c r="AO32" s="53">
        <f>AO20/AO3</f>
        <v>6.4075758604469332E-2</v>
      </c>
      <c r="AP32" s="53">
        <f>AP20/AP3</f>
        <v>6.3339483013793815E-2</v>
      </c>
    </row>
    <row r="33" spans="1:42" s="48" customFormat="1" x14ac:dyDescent="0.25">
      <c r="A33" s="47" t="s">
        <v>89</v>
      </c>
      <c r="E33" s="52">
        <f>E19/E18</f>
        <v>0.21190413018484125</v>
      </c>
      <c r="F33" s="52">
        <f>F19/F18</f>
        <v>0.25225696520387442</v>
      </c>
      <c r="G33" s="52">
        <f>G19/G18</f>
        <v>0.19154572491914612</v>
      </c>
      <c r="H33" s="52">
        <f>H19/H18</f>
        <v>-0.46090605463732093</v>
      </c>
      <c r="I33" s="52">
        <f>I19/I18</f>
        <v>-0.21760113982982809</v>
      </c>
      <c r="J33" s="52">
        <f>J19/J18</f>
        <v>0.24873439082011484</v>
      </c>
      <c r="K33" s="52">
        <f>K19/K18</f>
        <v>0.21632758176667527</v>
      </c>
      <c r="L33" s="52">
        <f>L19/L18</f>
        <v>0.25631172503359834</v>
      </c>
      <c r="M33" s="52">
        <f>M19/M18</f>
        <v>0.19092000282426064</v>
      </c>
      <c r="N33" s="52">
        <f>N19/N18</f>
        <v>0.24678052195431677</v>
      </c>
      <c r="O33" s="52">
        <f>O19/O18</f>
        <v>0.248650324180508</v>
      </c>
      <c r="P33" s="52">
        <f>P19/P18</f>
        <v>0.15716698155795972</v>
      </c>
      <c r="Q33" s="52">
        <f>Q19/Q18</f>
        <v>0.31644746014779024</v>
      </c>
      <c r="R33" s="52">
        <f>R19/R18</f>
        <v>0.23689491053216402</v>
      </c>
      <c r="S33" s="52">
        <f>S19/S18</f>
        <v>0.23605782892867269</v>
      </c>
      <c r="T33" s="52">
        <f>T19/T18</f>
        <v>0.15795224283841225</v>
      </c>
      <c r="U33" s="52">
        <f>U19/U18</f>
        <v>0.1939970270215233</v>
      </c>
      <c r="V33" s="52">
        <f>V19/V18</f>
        <v>0.23636421715034073</v>
      </c>
      <c r="W33" s="52">
        <f>W19/W18</f>
        <v>0.23804746726942572</v>
      </c>
      <c r="X33" s="52">
        <f>X19/X18</f>
        <v>0.23</v>
      </c>
      <c r="Y33" s="52">
        <f>Y19/Y18</f>
        <v>0.23</v>
      </c>
      <c r="AB33" s="52">
        <f>AB19/AB18</f>
        <v>11.281890345209609</v>
      </c>
      <c r="AC33" s="52">
        <f>AC19/AC18</f>
        <v>0.2285965134538728</v>
      </c>
      <c r="AD33" s="52">
        <f>AD19/AD18</f>
        <v>0.23550219480833007</v>
      </c>
      <c r="AE33" s="52">
        <f>AE19/AE18</f>
        <v>0.20853313091292833</v>
      </c>
      <c r="AF33" s="52">
        <f>AF19/AF18</f>
        <v>0.23467450271531951</v>
      </c>
      <c r="AG33" s="52">
        <f>AG19/AG18</f>
        <v>0.22</v>
      </c>
      <c r="AH33" s="52">
        <f>AH19/AH18</f>
        <v>0.23</v>
      </c>
      <c r="AI33" s="52">
        <f>AI19/AI18</f>
        <v>0.22</v>
      </c>
      <c r="AJ33" s="52">
        <f>AJ19/AJ18</f>
        <v>0.23</v>
      </c>
      <c r="AK33" s="52">
        <f>AK19/AK18</f>
        <v>0.22</v>
      </c>
      <c r="AL33" s="52">
        <f>AL19/AL18</f>
        <v>0.23</v>
      </c>
      <c r="AM33" s="52">
        <f>AM19/AM18</f>
        <v>0.22</v>
      </c>
      <c r="AN33" s="52">
        <f>AN19/AN18</f>
        <v>0.23</v>
      </c>
      <c r="AO33" s="52">
        <f>AO19/AO18</f>
        <v>0.22</v>
      </c>
      <c r="AP33" s="52">
        <f>AP19/AP18</f>
        <v>0.23</v>
      </c>
    </row>
    <row r="35" spans="1:42" s="40" customFormat="1" x14ac:dyDescent="0.25">
      <c r="A35" s="39" t="s">
        <v>90</v>
      </c>
      <c r="I35" s="57">
        <f>I36-I37</f>
        <v>-1029.115</v>
      </c>
      <c r="M35" s="57">
        <f>M36-M37</f>
        <v>-966.84900000000005</v>
      </c>
      <c r="Q35" s="57">
        <f>Q36-Q37</f>
        <v>-876.4</v>
      </c>
      <c r="U35" s="57">
        <f>U36-U37</f>
        <v>-951.58799999999997</v>
      </c>
      <c r="V35" s="57">
        <f t="shared" ref="V35:W35" si="77">V36-V37</f>
        <v>0</v>
      </c>
      <c r="W35" s="57">
        <f t="shared" si="77"/>
        <v>-1049.8140000000001</v>
      </c>
      <c r="AA35" s="57">
        <f t="shared" ref="AA35:AD35" si="78">AA36-AA37</f>
        <v>-903.56500000000005</v>
      </c>
      <c r="AB35" s="57">
        <f t="shared" si="78"/>
        <v>-1029.115</v>
      </c>
      <c r="AC35" s="57">
        <f t="shared" si="78"/>
        <v>-966.84900000000005</v>
      </c>
      <c r="AD35" s="57">
        <f t="shared" si="78"/>
        <v>-876.4</v>
      </c>
      <c r="AE35" s="57">
        <f>AE36-AE37</f>
        <v>-951.58799999999997</v>
      </c>
    </row>
    <row r="36" spans="1:42" s="36" customFormat="1" x14ac:dyDescent="0.25">
      <c r="A36" s="35" t="s">
        <v>91</v>
      </c>
      <c r="I36" s="55">
        <f>I38</f>
        <v>84.582999999999998</v>
      </c>
      <c r="M36" s="55">
        <f>M38</f>
        <v>99.599000000000004</v>
      </c>
      <c r="Q36" s="55">
        <f>Q38</f>
        <v>101.99</v>
      </c>
      <c r="U36" s="55">
        <f>U38</f>
        <v>68.959000000000003</v>
      </c>
      <c r="V36" s="55">
        <f t="shared" ref="V36:W36" si="79">V38</f>
        <v>0</v>
      </c>
      <c r="W36" s="55">
        <f t="shared" si="79"/>
        <v>59.066000000000003</v>
      </c>
      <c r="AA36" s="55">
        <f t="shared" ref="AA36:AD36" si="80">AA38</f>
        <v>89.701999999999998</v>
      </c>
      <c r="AB36" s="55">
        <f t="shared" si="80"/>
        <v>84.582999999999998</v>
      </c>
      <c r="AC36" s="55">
        <f t="shared" si="80"/>
        <v>99.599000000000004</v>
      </c>
      <c r="AD36" s="55">
        <f t="shared" si="80"/>
        <v>101.99</v>
      </c>
      <c r="AE36" s="55">
        <f>AE38</f>
        <v>68.959000000000003</v>
      </c>
    </row>
    <row r="37" spans="1:42" s="38" customFormat="1" ht="15.75" thickBot="1" x14ac:dyDescent="0.3">
      <c r="A37" s="37" t="s">
        <v>4</v>
      </c>
      <c r="I37" s="56">
        <f>I57+I51+I58</f>
        <v>1113.6980000000001</v>
      </c>
      <c r="M37" s="56">
        <f>M57+M51+M58</f>
        <v>1066.4480000000001</v>
      </c>
      <c r="Q37" s="56">
        <f>Q57+Q51+Q58</f>
        <v>978.39</v>
      </c>
      <c r="U37" s="56">
        <f>U57+U51+U58</f>
        <v>1020.547</v>
      </c>
      <c r="V37" s="56">
        <f t="shared" ref="V37:W37" si="81">V57+V51+V58</f>
        <v>0</v>
      </c>
      <c r="W37" s="56">
        <f t="shared" si="81"/>
        <v>1108.8800000000001</v>
      </c>
      <c r="AA37" s="56">
        <f t="shared" ref="AA37:AD37" si="82">AA57+AA51+AA58</f>
        <v>993.26700000000005</v>
      </c>
      <c r="AB37" s="56">
        <f t="shared" si="82"/>
        <v>1113.6980000000001</v>
      </c>
      <c r="AC37" s="56">
        <f t="shared" si="82"/>
        <v>1066.4480000000001</v>
      </c>
      <c r="AD37" s="56">
        <f t="shared" si="82"/>
        <v>978.39</v>
      </c>
      <c r="AE37" s="56">
        <f>AE57+AE51+AE58</f>
        <v>1020.547</v>
      </c>
    </row>
    <row r="38" spans="1:42" s="3" customFormat="1" x14ac:dyDescent="0.25">
      <c r="A38" s="6" t="s">
        <v>3</v>
      </c>
      <c r="E38" s="3">
        <v>89.701999999999998</v>
      </c>
      <c r="I38" s="3">
        <v>84.582999999999998</v>
      </c>
      <c r="M38" s="3">
        <v>99.599000000000004</v>
      </c>
      <c r="Q38" s="3">
        <v>101.99</v>
      </c>
      <c r="U38" s="3">
        <v>68.959000000000003</v>
      </c>
      <c r="W38" s="3">
        <v>59.066000000000003</v>
      </c>
      <c r="AA38" s="3">
        <f>E38</f>
        <v>89.701999999999998</v>
      </c>
      <c r="AB38" s="3">
        <f>I38</f>
        <v>84.582999999999998</v>
      </c>
      <c r="AC38" s="3">
        <f>M38</f>
        <v>99.599000000000004</v>
      </c>
      <c r="AD38" s="3">
        <f>Q38</f>
        <v>101.99</v>
      </c>
      <c r="AE38" s="3">
        <f>U38</f>
        <v>68.959000000000003</v>
      </c>
    </row>
    <row r="39" spans="1:42" s="3" customFormat="1" x14ac:dyDescent="0.25">
      <c r="A39" s="6" t="s">
        <v>58</v>
      </c>
      <c r="E39" s="3">
        <v>2.8460000000000001</v>
      </c>
      <c r="I39" s="3">
        <v>0.48899999999999999</v>
      </c>
      <c r="M39" s="3">
        <v>1.3149999999999999</v>
      </c>
      <c r="Q39" s="3">
        <v>15.337999999999999</v>
      </c>
      <c r="U39" s="3">
        <v>0.185</v>
      </c>
      <c r="W39" s="3">
        <v>665</v>
      </c>
      <c r="AA39" s="3">
        <f t="shared" ref="AA39:AA43" si="83">E39</f>
        <v>2.8460000000000001</v>
      </c>
      <c r="AB39" s="3">
        <f t="shared" ref="AB39:AB43" si="84">I39</f>
        <v>0.48899999999999999</v>
      </c>
      <c r="AC39" s="3">
        <f t="shared" ref="AC39:AC43" si="85">M39</f>
        <v>1.3149999999999999</v>
      </c>
      <c r="AD39" s="3">
        <f t="shared" ref="AD39:AD43" si="86">Q39</f>
        <v>15.337999999999999</v>
      </c>
      <c r="AE39" s="3">
        <f t="shared" ref="AE39:AE43" si="87">U39</f>
        <v>0.185</v>
      </c>
    </row>
    <row r="40" spans="1:42" s="3" customFormat="1" x14ac:dyDescent="0.25">
      <c r="A40" s="6" t="s">
        <v>59</v>
      </c>
      <c r="E40" s="3">
        <v>954.35500000000002</v>
      </c>
      <c r="I40" s="3">
        <v>855.53499999999997</v>
      </c>
      <c r="M40" s="3">
        <v>945.92899999999997</v>
      </c>
      <c r="Q40" s="3">
        <v>375.50200000000001</v>
      </c>
      <c r="U40" s="3">
        <v>434.72300000000001</v>
      </c>
      <c r="W40" s="3">
        <v>419.399</v>
      </c>
      <c r="AA40" s="3">
        <f t="shared" si="83"/>
        <v>954.35500000000002</v>
      </c>
      <c r="AB40" s="3">
        <f t="shared" si="84"/>
        <v>855.53499999999997</v>
      </c>
      <c r="AC40" s="3">
        <f t="shared" si="85"/>
        <v>945.92899999999997</v>
      </c>
      <c r="AD40" s="3">
        <f t="shared" si="86"/>
        <v>375.50200000000001</v>
      </c>
      <c r="AE40" s="3">
        <f t="shared" si="87"/>
        <v>434.72300000000001</v>
      </c>
    </row>
    <row r="41" spans="1:42" s="3" customFormat="1" x14ac:dyDescent="0.25">
      <c r="A41" s="6" t="s">
        <v>83</v>
      </c>
      <c r="Q41" s="3">
        <v>614.76</v>
      </c>
      <c r="U41" s="3">
        <v>706.601</v>
      </c>
      <c r="W41" s="3">
        <v>794.16700000000003</v>
      </c>
      <c r="AA41" s="3">
        <f t="shared" si="83"/>
        <v>0</v>
      </c>
      <c r="AB41" s="3">
        <f t="shared" si="84"/>
        <v>0</v>
      </c>
      <c r="AC41" s="3">
        <f t="shared" si="85"/>
        <v>0</v>
      </c>
      <c r="AD41" s="3">
        <f t="shared" si="86"/>
        <v>614.76</v>
      </c>
      <c r="AE41" s="3">
        <f t="shared" si="87"/>
        <v>706.601</v>
      </c>
    </row>
    <row r="42" spans="1:42" s="3" customFormat="1" x14ac:dyDescent="0.25">
      <c r="A42" s="6" t="s">
        <v>60</v>
      </c>
      <c r="E42" s="3">
        <v>534.97400000000005</v>
      </c>
      <c r="I42" s="3">
        <v>623.04300000000001</v>
      </c>
      <c r="M42" s="3">
        <v>613.09500000000003</v>
      </c>
      <c r="Q42" s="3">
        <v>588.46600000000001</v>
      </c>
      <c r="U42" s="3">
        <v>724.00199999999995</v>
      </c>
      <c r="W42" s="3">
        <v>810.48299999999995</v>
      </c>
      <c r="AA42" s="3">
        <f t="shared" si="83"/>
        <v>534.97400000000005</v>
      </c>
      <c r="AB42" s="3">
        <f t="shared" si="84"/>
        <v>623.04300000000001</v>
      </c>
      <c r="AC42" s="3">
        <f t="shared" si="85"/>
        <v>613.09500000000003</v>
      </c>
      <c r="AD42" s="3">
        <f t="shared" si="86"/>
        <v>588.46600000000001</v>
      </c>
      <c r="AE42" s="3">
        <f t="shared" si="87"/>
        <v>724.00199999999995</v>
      </c>
    </row>
    <row r="43" spans="1:42" s="3" customFormat="1" x14ac:dyDescent="0.25">
      <c r="A43" s="6" t="s">
        <v>61</v>
      </c>
      <c r="E43" s="3">
        <v>47.095999999999997</v>
      </c>
      <c r="I43" s="3">
        <v>49.837000000000003</v>
      </c>
      <c r="M43" s="3">
        <v>58.841999999999999</v>
      </c>
      <c r="Q43" s="3">
        <v>60.348999999999997</v>
      </c>
      <c r="U43" s="3">
        <v>50.862000000000002</v>
      </c>
      <c r="W43" s="3">
        <v>73.165000000000006</v>
      </c>
      <c r="AA43" s="3">
        <f t="shared" si="83"/>
        <v>47.095999999999997</v>
      </c>
      <c r="AB43" s="3">
        <f t="shared" si="84"/>
        <v>49.837000000000003</v>
      </c>
      <c r="AC43" s="3">
        <f t="shared" si="85"/>
        <v>58.841999999999999</v>
      </c>
      <c r="AD43" s="3">
        <f t="shared" si="86"/>
        <v>60.348999999999997</v>
      </c>
      <c r="AE43" s="3">
        <f t="shared" si="87"/>
        <v>50.862000000000002</v>
      </c>
    </row>
    <row r="44" spans="1:42" s="19" customFormat="1" x14ac:dyDescent="0.25">
      <c r="A44" s="18" t="s">
        <v>62</v>
      </c>
      <c r="E44" s="19">
        <f t="shared" ref="E44:H44" si="88">SUM(E38:E43)</f>
        <v>1628.973</v>
      </c>
      <c r="F44" s="19">
        <f t="shared" si="88"/>
        <v>0</v>
      </c>
      <c r="G44" s="19">
        <f t="shared" si="88"/>
        <v>0</v>
      </c>
      <c r="H44" s="19">
        <f t="shared" si="88"/>
        <v>0</v>
      </c>
      <c r="I44" s="19">
        <f>SUM(I38:I43)</f>
        <v>1613.4870000000001</v>
      </c>
      <c r="J44" s="19">
        <f t="shared" ref="J44:M44" si="89">SUM(J38:J43)</f>
        <v>0</v>
      </c>
      <c r="K44" s="19">
        <f t="shared" si="89"/>
        <v>0</v>
      </c>
      <c r="L44" s="19">
        <f t="shared" si="89"/>
        <v>0</v>
      </c>
      <c r="M44" s="19">
        <f t="shared" si="89"/>
        <v>1718.7800000000002</v>
      </c>
      <c r="N44" s="19">
        <f t="shared" ref="N44" si="90">SUM(N38:N43)</f>
        <v>0</v>
      </c>
      <c r="O44" s="19">
        <f t="shared" ref="O44" si="91">SUM(O38:O43)</f>
        <v>0</v>
      </c>
      <c r="P44" s="19">
        <f t="shared" ref="P44" si="92">SUM(P38:P43)</f>
        <v>0</v>
      </c>
      <c r="Q44" s="19">
        <f t="shared" ref="Q44" si="93">SUM(Q38:Q43)</f>
        <v>1756.405</v>
      </c>
      <c r="R44" s="19">
        <f t="shared" ref="R44" si="94">SUM(R38:R43)</f>
        <v>0</v>
      </c>
      <c r="S44" s="19">
        <f t="shared" ref="S44" si="95">SUM(S38:S43)</f>
        <v>0</v>
      </c>
      <c r="T44" s="19">
        <f t="shared" ref="T44" si="96">SUM(T38:T43)</f>
        <v>0</v>
      </c>
      <c r="U44" s="19">
        <f t="shared" ref="U44" si="97">SUM(U38:U43)</f>
        <v>1985.3320000000001</v>
      </c>
      <c r="V44" s="19">
        <f t="shared" ref="V44" si="98">SUM(V38:V43)</f>
        <v>0</v>
      </c>
      <c r="W44" s="19">
        <f t="shared" ref="W44" si="99">SUM(W38:W43)</f>
        <v>2821.2799999999997</v>
      </c>
      <c r="AA44" s="19">
        <f>E44</f>
        <v>1628.973</v>
      </c>
      <c r="AB44" s="19">
        <f>I44</f>
        <v>1613.4870000000001</v>
      </c>
      <c r="AC44" s="19">
        <f>M44</f>
        <v>1718.7800000000002</v>
      </c>
      <c r="AD44" s="19">
        <f>Q44</f>
        <v>1756.405</v>
      </c>
      <c r="AE44" s="19">
        <f>U44</f>
        <v>1985.3320000000001</v>
      </c>
    </row>
    <row r="45" spans="1:42" s="3" customFormat="1" x14ac:dyDescent="0.25">
      <c r="A45" s="6" t="s">
        <v>63</v>
      </c>
      <c r="E45" s="3">
        <v>586.76700000000005</v>
      </c>
      <c r="I45" s="3">
        <v>600.49800000000005</v>
      </c>
      <c r="M45" s="3">
        <v>645.77800000000002</v>
      </c>
      <c r="Q45" s="3">
        <v>668.90800000000002</v>
      </c>
      <c r="U45" s="3">
        <v>814.69600000000003</v>
      </c>
      <c r="W45" s="3">
        <v>869.303</v>
      </c>
      <c r="AA45" s="3">
        <f t="shared" ref="AA45:AA49" si="100">E45</f>
        <v>586.76700000000005</v>
      </c>
      <c r="AB45" s="3">
        <f t="shared" ref="AB45:AB49" si="101">I45</f>
        <v>600.49800000000005</v>
      </c>
      <c r="AC45" s="3">
        <f t="shared" ref="AC45:AC49" si="102">M45</f>
        <v>645.77800000000002</v>
      </c>
      <c r="AD45" s="3">
        <f t="shared" ref="AD45:AD49" si="103">Q45</f>
        <v>668.90800000000002</v>
      </c>
      <c r="AE45" s="3">
        <f t="shared" ref="AE45:AE49" si="104">U45</f>
        <v>814.69600000000003</v>
      </c>
    </row>
    <row r="46" spans="1:42" s="3" customFormat="1" x14ac:dyDescent="0.25">
      <c r="A46" s="6" t="s">
        <v>64</v>
      </c>
      <c r="E46" s="3">
        <v>0</v>
      </c>
      <c r="I46" s="3">
        <v>68.393000000000001</v>
      </c>
      <c r="M46" s="3">
        <v>60.354999999999997</v>
      </c>
      <c r="Q46" s="3">
        <v>69.072000000000003</v>
      </c>
      <c r="U46" s="3">
        <v>56.067</v>
      </c>
      <c r="W46" s="3">
        <v>57.073999999999998</v>
      </c>
      <c r="AA46" s="3">
        <f t="shared" si="100"/>
        <v>0</v>
      </c>
      <c r="AB46" s="3">
        <f t="shared" si="101"/>
        <v>68.393000000000001</v>
      </c>
      <c r="AC46" s="3">
        <f t="shared" si="102"/>
        <v>60.354999999999997</v>
      </c>
      <c r="AD46" s="3">
        <f t="shared" si="103"/>
        <v>69.072000000000003</v>
      </c>
      <c r="AE46" s="3">
        <f t="shared" si="104"/>
        <v>56.067</v>
      </c>
    </row>
    <row r="47" spans="1:42" s="3" customFormat="1" x14ac:dyDescent="0.25">
      <c r="A47" s="6" t="s">
        <v>65</v>
      </c>
      <c r="E47" s="3">
        <f>784.24+79.646</f>
        <v>863.88599999999997</v>
      </c>
      <c r="I47" s="3">
        <f>821.856+85.046</f>
        <v>906.90200000000004</v>
      </c>
      <c r="M47" s="3">
        <f>851.605+106.095</f>
        <v>957.7</v>
      </c>
      <c r="Q47" s="3">
        <f>805.32+85.41</f>
        <v>890.73</v>
      </c>
      <c r="U47" s="3">
        <f>821.301+71.637</f>
        <v>892.9380000000001</v>
      </c>
      <c r="W47" s="3">
        <f>828.469+68.876</f>
        <v>897.34500000000003</v>
      </c>
      <c r="AA47" s="3">
        <f t="shared" si="100"/>
        <v>863.88599999999997</v>
      </c>
      <c r="AB47" s="3">
        <f t="shared" si="101"/>
        <v>906.90200000000004</v>
      </c>
      <c r="AC47" s="3">
        <f t="shared" si="102"/>
        <v>957.7</v>
      </c>
      <c r="AD47" s="3">
        <f t="shared" si="103"/>
        <v>890.73</v>
      </c>
      <c r="AE47" s="3">
        <f t="shared" si="104"/>
        <v>892.9380000000001</v>
      </c>
    </row>
    <row r="48" spans="1:42" s="3" customFormat="1" x14ac:dyDescent="0.25">
      <c r="A48" s="6" t="s">
        <v>66</v>
      </c>
      <c r="E48" s="3">
        <v>19.992000000000001</v>
      </c>
      <c r="I48" s="3">
        <v>18.923999999999999</v>
      </c>
      <c r="M48" s="3">
        <v>17.768999999999998</v>
      </c>
      <c r="Q48" s="3">
        <v>8.6300000000000008</v>
      </c>
      <c r="U48" s="3">
        <v>8.7490000000000006</v>
      </c>
      <c r="W48" s="3">
        <v>9.0630000000000006</v>
      </c>
      <c r="AA48" s="3">
        <f t="shared" si="100"/>
        <v>19.992000000000001</v>
      </c>
      <c r="AB48" s="3">
        <f t="shared" si="101"/>
        <v>18.923999999999999</v>
      </c>
      <c r="AC48" s="3">
        <f t="shared" si="102"/>
        <v>17.768999999999998</v>
      </c>
      <c r="AD48" s="3">
        <f t="shared" si="103"/>
        <v>8.6300000000000008</v>
      </c>
      <c r="AE48" s="3">
        <f t="shared" si="104"/>
        <v>8.7490000000000006</v>
      </c>
    </row>
    <row r="49" spans="1:31" s="3" customFormat="1" x14ac:dyDescent="0.25">
      <c r="A49" s="6" t="s">
        <v>67</v>
      </c>
      <c r="E49" s="3">
        <v>14.619</v>
      </c>
      <c r="I49" s="3">
        <v>17.626999999999999</v>
      </c>
      <c r="M49" s="3">
        <v>32.786999999999999</v>
      </c>
      <c r="Q49" s="3">
        <v>38.095999999999997</v>
      </c>
      <c r="U49" s="3">
        <v>50.253999999999998</v>
      </c>
      <c r="W49" s="3">
        <v>49.39</v>
      </c>
      <c r="AA49" s="3">
        <f t="shared" si="100"/>
        <v>14.619</v>
      </c>
      <c r="AB49" s="3">
        <f t="shared" si="101"/>
        <v>17.626999999999999</v>
      </c>
      <c r="AC49" s="3">
        <f t="shared" si="102"/>
        <v>32.786999999999999</v>
      </c>
      <c r="AD49" s="3">
        <f t="shared" si="103"/>
        <v>38.095999999999997</v>
      </c>
      <c r="AE49" s="3">
        <f t="shared" si="104"/>
        <v>50.253999999999998</v>
      </c>
    </row>
    <row r="50" spans="1:31" s="19" customFormat="1" x14ac:dyDescent="0.25">
      <c r="A50" s="18" t="s">
        <v>68</v>
      </c>
      <c r="E50" s="19">
        <f t="shared" ref="E50:H50" si="105">SUM(E45:E49)+E44</f>
        <v>3114.2370000000001</v>
      </c>
      <c r="F50" s="19">
        <f t="shared" si="105"/>
        <v>0</v>
      </c>
      <c r="G50" s="19">
        <f t="shared" si="105"/>
        <v>0</v>
      </c>
      <c r="H50" s="19">
        <f t="shared" si="105"/>
        <v>0</v>
      </c>
      <c r="I50" s="19">
        <f>SUM(I45:I49)+I44</f>
        <v>3225.8310000000001</v>
      </c>
      <c r="J50" s="19">
        <f t="shared" ref="J50:M50" si="106">SUM(J45:J49)+J44</f>
        <v>0</v>
      </c>
      <c r="K50" s="19">
        <f t="shared" si="106"/>
        <v>0</v>
      </c>
      <c r="L50" s="19">
        <f t="shared" si="106"/>
        <v>0</v>
      </c>
      <c r="M50" s="19">
        <f t="shared" si="106"/>
        <v>3433.1690000000003</v>
      </c>
      <c r="N50" s="19">
        <f t="shared" ref="N50" si="107">SUM(N45:N49)+N44</f>
        <v>0</v>
      </c>
      <c r="O50" s="19">
        <f t="shared" ref="O50" si="108">SUM(O45:O49)+O44</f>
        <v>0</v>
      </c>
      <c r="P50" s="19">
        <f t="shared" ref="P50" si="109">SUM(P45:P49)+P44</f>
        <v>0</v>
      </c>
      <c r="Q50" s="19">
        <f t="shared" ref="Q50" si="110">SUM(Q45:Q49)+Q44</f>
        <v>3431.8410000000003</v>
      </c>
      <c r="R50" s="19">
        <f t="shared" ref="R50" si="111">SUM(R45:R49)+R44</f>
        <v>0</v>
      </c>
      <c r="S50" s="19">
        <f t="shared" ref="S50" si="112">SUM(S45:S49)+S44</f>
        <v>0</v>
      </c>
      <c r="T50" s="19">
        <f t="shared" ref="T50" si="113">SUM(T45:T49)+T44</f>
        <v>0</v>
      </c>
      <c r="U50" s="19">
        <f t="shared" ref="U50" si="114">SUM(U45:U49)+U44</f>
        <v>3808.0360000000001</v>
      </c>
      <c r="V50" s="19">
        <f t="shared" ref="V50" si="115">SUM(V45:V49)+V44</f>
        <v>0</v>
      </c>
      <c r="W50" s="19">
        <f t="shared" ref="W50" si="116">SUM(W45:W49)+W44</f>
        <v>4703.4549999999999</v>
      </c>
      <c r="AA50" s="19">
        <f>E50</f>
        <v>3114.2370000000001</v>
      </c>
      <c r="AB50" s="19">
        <f>I50</f>
        <v>3225.8310000000001</v>
      </c>
      <c r="AC50" s="19">
        <f>M50</f>
        <v>3433.1690000000003</v>
      </c>
      <c r="AD50" s="19">
        <f>Q50</f>
        <v>3431.8410000000003</v>
      </c>
      <c r="AE50" s="19">
        <f>U50</f>
        <v>3808.0360000000001</v>
      </c>
    </row>
    <row r="51" spans="1:31" s="3" customFormat="1" x14ac:dyDescent="0.25">
      <c r="A51" s="6" t="s">
        <v>69</v>
      </c>
      <c r="E51" s="3">
        <v>0.249</v>
      </c>
      <c r="I51" s="3">
        <v>0.35</v>
      </c>
      <c r="M51" s="3">
        <v>80.364999999999995</v>
      </c>
      <c r="Q51" s="3">
        <v>0.91600000000000004</v>
      </c>
      <c r="U51" s="3">
        <v>0</v>
      </c>
      <c r="W51" s="3">
        <v>0</v>
      </c>
      <c r="AA51" s="3">
        <f t="shared" ref="AA51:AA55" si="117">E51</f>
        <v>0.249</v>
      </c>
      <c r="AB51" s="3">
        <f t="shared" ref="AB51:AB55" si="118">I51</f>
        <v>0.35</v>
      </c>
      <c r="AC51" s="3">
        <f t="shared" ref="AC51:AC55" si="119">M51</f>
        <v>80.364999999999995</v>
      </c>
      <c r="AD51" s="3">
        <f t="shared" ref="AD51:AD55" si="120">Q51</f>
        <v>0.91600000000000004</v>
      </c>
      <c r="AE51" s="3">
        <f t="shared" ref="AE51:AE55" si="121">U51</f>
        <v>0</v>
      </c>
    </row>
    <row r="52" spans="1:31" s="3" customFormat="1" x14ac:dyDescent="0.25">
      <c r="A52" s="6" t="s">
        <v>70</v>
      </c>
      <c r="E52" s="3">
        <v>257.67700000000002</v>
      </c>
      <c r="I52" s="3">
        <v>176.86799999999999</v>
      </c>
      <c r="M52" s="3">
        <v>200.602</v>
      </c>
      <c r="Q52" s="3">
        <v>232.10400000000001</v>
      </c>
      <c r="U52" s="3">
        <v>264.57299999999998</v>
      </c>
      <c r="W52" s="3">
        <v>267.73099999999999</v>
      </c>
      <c r="AA52" s="3">
        <f t="shared" si="117"/>
        <v>257.67700000000002</v>
      </c>
      <c r="AB52" s="3">
        <f t="shared" si="118"/>
        <v>176.86799999999999</v>
      </c>
      <c r="AC52" s="3">
        <f t="shared" si="119"/>
        <v>200.602</v>
      </c>
      <c r="AD52" s="3">
        <f t="shared" si="120"/>
        <v>232.10400000000001</v>
      </c>
      <c r="AE52" s="3">
        <f t="shared" si="121"/>
        <v>264.57299999999998</v>
      </c>
    </row>
    <row r="53" spans="1:31" s="3" customFormat="1" x14ac:dyDescent="0.25">
      <c r="A53" s="6" t="s">
        <v>71</v>
      </c>
      <c r="E53" s="3">
        <v>143.76499999999999</v>
      </c>
      <c r="I53" s="3">
        <v>109.51</v>
      </c>
      <c r="M53" s="3">
        <v>112.703</v>
      </c>
      <c r="Q53" s="3">
        <v>93.141000000000005</v>
      </c>
      <c r="U53" s="3">
        <v>111.154</v>
      </c>
      <c r="W53" s="3">
        <v>73.960999999999999</v>
      </c>
      <c r="AA53" s="3">
        <f t="shared" si="117"/>
        <v>143.76499999999999</v>
      </c>
      <c r="AB53" s="3">
        <f t="shared" si="118"/>
        <v>109.51</v>
      </c>
      <c r="AC53" s="3">
        <f t="shared" si="119"/>
        <v>112.703</v>
      </c>
      <c r="AD53" s="3">
        <f t="shared" si="120"/>
        <v>93.141000000000005</v>
      </c>
      <c r="AE53" s="3">
        <f t="shared" si="121"/>
        <v>111.154</v>
      </c>
    </row>
    <row r="54" spans="1:31" s="3" customFormat="1" x14ac:dyDescent="0.25">
      <c r="A54" s="6" t="s">
        <v>72</v>
      </c>
      <c r="E54" s="3">
        <v>137.24199999999999</v>
      </c>
      <c r="I54" s="3">
        <v>203.33799999999999</v>
      </c>
      <c r="M54" s="3">
        <v>263.68599999999998</v>
      </c>
      <c r="Q54" s="3">
        <v>296.899</v>
      </c>
      <c r="U54" s="3">
        <v>377.97699999999998</v>
      </c>
      <c r="W54" s="3">
        <v>404.87599999999998</v>
      </c>
      <c r="AA54" s="3">
        <f t="shared" si="117"/>
        <v>137.24199999999999</v>
      </c>
      <c r="AB54" s="3">
        <f t="shared" si="118"/>
        <v>203.33799999999999</v>
      </c>
      <c r="AC54" s="3">
        <f t="shared" si="119"/>
        <v>263.68599999999998</v>
      </c>
      <c r="AD54" s="3">
        <f t="shared" si="120"/>
        <v>296.899</v>
      </c>
      <c r="AE54" s="3">
        <f t="shared" si="121"/>
        <v>377.97699999999998</v>
      </c>
    </row>
    <row r="55" spans="1:31" s="3" customFormat="1" x14ac:dyDescent="0.25">
      <c r="A55" s="6" t="s">
        <v>73</v>
      </c>
      <c r="E55" s="3">
        <v>188.72499999999999</v>
      </c>
      <c r="I55" s="3">
        <v>220.488</v>
      </c>
      <c r="M55" s="3">
        <v>212.005</v>
      </c>
      <c r="Q55" s="3">
        <v>215.376</v>
      </c>
      <c r="U55" s="3">
        <v>211.76900000000001</v>
      </c>
      <c r="W55" s="3">
        <v>257.95999999999998</v>
      </c>
      <c r="AA55" s="3">
        <f t="shared" si="117"/>
        <v>188.72499999999999</v>
      </c>
      <c r="AB55" s="3">
        <f t="shared" si="118"/>
        <v>220.488</v>
      </c>
      <c r="AC55" s="3">
        <f t="shared" si="119"/>
        <v>212.005</v>
      </c>
      <c r="AD55" s="3">
        <f t="shared" si="120"/>
        <v>215.376</v>
      </c>
      <c r="AE55" s="3">
        <f t="shared" si="121"/>
        <v>211.76900000000001</v>
      </c>
    </row>
    <row r="56" spans="1:31" s="19" customFormat="1" x14ac:dyDescent="0.25">
      <c r="A56" s="18" t="s">
        <v>74</v>
      </c>
      <c r="E56" s="19">
        <f t="shared" ref="E56:H56" si="122">SUM(E51:E55)</f>
        <v>727.65800000000002</v>
      </c>
      <c r="F56" s="19">
        <f t="shared" si="122"/>
        <v>0</v>
      </c>
      <c r="G56" s="19">
        <f t="shared" si="122"/>
        <v>0</v>
      </c>
      <c r="H56" s="19">
        <f t="shared" si="122"/>
        <v>0</v>
      </c>
      <c r="I56" s="19">
        <f>SUM(I51:I55)</f>
        <v>710.55400000000009</v>
      </c>
      <c r="J56" s="19">
        <f t="shared" ref="J56:M56" si="123">SUM(J51:J55)</f>
        <v>0</v>
      </c>
      <c r="K56" s="19">
        <f t="shared" si="123"/>
        <v>0</v>
      </c>
      <c r="L56" s="19">
        <f t="shared" si="123"/>
        <v>0</v>
      </c>
      <c r="M56" s="19">
        <f t="shared" si="123"/>
        <v>869.36099999999999</v>
      </c>
      <c r="N56" s="19">
        <f t="shared" ref="N56" si="124">SUM(N51:N55)</f>
        <v>0</v>
      </c>
      <c r="O56" s="19">
        <f t="shared" ref="O56" si="125">SUM(O51:O55)</f>
        <v>0</v>
      </c>
      <c r="P56" s="19">
        <f t="shared" ref="P56" si="126">SUM(P51:P55)</f>
        <v>0</v>
      </c>
      <c r="Q56" s="19">
        <f t="shared" ref="Q56" si="127">SUM(Q51:Q55)</f>
        <v>838.43599999999992</v>
      </c>
      <c r="R56" s="19">
        <f t="shared" ref="R56" si="128">SUM(R51:R55)</f>
        <v>0</v>
      </c>
      <c r="S56" s="19">
        <f t="shared" ref="S56" si="129">SUM(S51:S55)</f>
        <v>0</v>
      </c>
      <c r="T56" s="19">
        <f t="shared" ref="T56" si="130">SUM(T51:T55)</f>
        <v>0</v>
      </c>
      <c r="U56" s="19">
        <f t="shared" ref="U56" si="131">SUM(U51:U55)</f>
        <v>965.47299999999996</v>
      </c>
      <c r="V56" s="19">
        <f t="shared" ref="V56" si="132">SUM(V51:V55)</f>
        <v>0</v>
      </c>
      <c r="W56" s="19">
        <f t="shared" ref="W56" si="133">SUM(W51:W55)</f>
        <v>1004.528</v>
      </c>
      <c r="AA56" s="19">
        <f>E56</f>
        <v>727.65800000000002</v>
      </c>
      <c r="AB56" s="19">
        <f>I56</f>
        <v>710.55400000000009</v>
      </c>
      <c r="AC56" s="19">
        <f>M56</f>
        <v>869.36099999999999</v>
      </c>
      <c r="AD56" s="19">
        <f>Q56</f>
        <v>838.43599999999992</v>
      </c>
      <c r="AE56" s="19">
        <f>U56</f>
        <v>965.47299999999996</v>
      </c>
    </row>
    <row r="57" spans="1:31" s="3" customFormat="1" x14ac:dyDescent="0.25">
      <c r="A57" s="6" t="s">
        <v>75</v>
      </c>
      <c r="E57" s="3">
        <v>832.98400000000004</v>
      </c>
      <c r="I57" s="3">
        <v>929.98199999999997</v>
      </c>
      <c r="M57" s="3">
        <v>823.35500000000002</v>
      </c>
      <c r="Q57" s="3">
        <v>836.87199999999996</v>
      </c>
      <c r="U57" s="3">
        <v>863.09199999999998</v>
      </c>
      <c r="W57" s="3">
        <v>948.61500000000001</v>
      </c>
      <c r="AA57" s="3">
        <f t="shared" ref="AA57:AA60" si="134">E57</f>
        <v>832.98400000000004</v>
      </c>
      <c r="AB57" s="3">
        <f t="shared" ref="AB57:AB60" si="135">I57</f>
        <v>929.98199999999997</v>
      </c>
      <c r="AC57" s="3">
        <f t="shared" ref="AC57:AC60" si="136">M57</f>
        <v>823.35500000000002</v>
      </c>
      <c r="AD57" s="3">
        <f t="shared" ref="AD57:AD60" si="137">Q57</f>
        <v>836.87199999999996</v>
      </c>
      <c r="AE57" s="3">
        <f t="shared" ref="AE57:AE60" si="138">U57</f>
        <v>863.09199999999998</v>
      </c>
    </row>
    <row r="58" spans="1:31" s="3" customFormat="1" x14ac:dyDescent="0.25">
      <c r="A58" s="6" t="s">
        <v>76</v>
      </c>
      <c r="E58" s="3">
        <v>160.03399999999999</v>
      </c>
      <c r="I58" s="3">
        <v>183.36600000000001</v>
      </c>
      <c r="M58" s="3">
        <v>162.72800000000001</v>
      </c>
      <c r="Q58" s="3">
        <v>140.602</v>
      </c>
      <c r="U58" s="3">
        <v>157.45500000000001</v>
      </c>
      <c r="W58" s="3">
        <v>160.26499999999999</v>
      </c>
      <c r="AA58" s="3">
        <f t="shared" si="134"/>
        <v>160.03399999999999</v>
      </c>
      <c r="AB58" s="3">
        <f t="shared" si="135"/>
        <v>183.36600000000001</v>
      </c>
      <c r="AC58" s="3">
        <f t="shared" si="136"/>
        <v>162.72800000000001</v>
      </c>
      <c r="AD58" s="3">
        <f t="shared" si="137"/>
        <v>140.602</v>
      </c>
      <c r="AE58" s="3">
        <f t="shared" si="138"/>
        <v>157.45500000000001</v>
      </c>
    </row>
    <row r="59" spans="1:31" s="3" customFormat="1" x14ac:dyDescent="0.25">
      <c r="A59" s="6" t="s">
        <v>66</v>
      </c>
      <c r="E59" s="3">
        <v>40.527999999999999</v>
      </c>
      <c r="I59" s="3">
        <v>40.473999999999997</v>
      </c>
      <c r="M59" s="3">
        <v>64.641999999999996</v>
      </c>
      <c r="Q59" s="3">
        <v>63.527000000000001</v>
      </c>
      <c r="U59" s="3">
        <v>37.625999999999998</v>
      </c>
      <c r="W59" s="3">
        <v>22.765000000000001</v>
      </c>
      <c r="AA59" s="3">
        <f t="shared" si="134"/>
        <v>40.527999999999999</v>
      </c>
      <c r="AB59" s="3">
        <f t="shared" si="135"/>
        <v>40.473999999999997</v>
      </c>
      <c r="AC59" s="3">
        <f t="shared" si="136"/>
        <v>64.641999999999996</v>
      </c>
      <c r="AD59" s="3">
        <f t="shared" si="137"/>
        <v>63.527000000000001</v>
      </c>
      <c r="AE59" s="3">
        <f t="shared" si="138"/>
        <v>37.625999999999998</v>
      </c>
    </row>
    <row r="60" spans="1:31" s="3" customFormat="1" x14ac:dyDescent="0.25">
      <c r="A60" s="6" t="s">
        <v>77</v>
      </c>
      <c r="E60" s="3">
        <v>30.552</v>
      </c>
      <c r="I60" s="3">
        <v>118.372</v>
      </c>
      <c r="M60" s="3">
        <v>112.93899999999999</v>
      </c>
      <c r="Q60" s="3">
        <v>115.5913</v>
      </c>
      <c r="U60" s="3">
        <v>148.303</v>
      </c>
      <c r="W60" s="3">
        <v>149.68799999999999</v>
      </c>
      <c r="AA60" s="3">
        <f t="shared" si="134"/>
        <v>30.552</v>
      </c>
      <c r="AB60" s="3">
        <f t="shared" si="135"/>
        <v>118.372</v>
      </c>
      <c r="AC60" s="3">
        <f t="shared" si="136"/>
        <v>112.93899999999999</v>
      </c>
      <c r="AD60" s="3">
        <f t="shared" si="137"/>
        <v>115.5913</v>
      </c>
      <c r="AE60" s="3">
        <f t="shared" si="138"/>
        <v>148.303</v>
      </c>
    </row>
    <row r="61" spans="1:31" s="19" customFormat="1" x14ac:dyDescent="0.25">
      <c r="A61" s="18" t="s">
        <v>78</v>
      </c>
      <c r="E61" s="19">
        <f t="shared" ref="E61:H61" si="139">SUM(E57:E60)+E56</f>
        <v>1791.7559999999999</v>
      </c>
      <c r="F61" s="19">
        <f t="shared" si="139"/>
        <v>0</v>
      </c>
      <c r="G61" s="19">
        <f t="shared" si="139"/>
        <v>0</v>
      </c>
      <c r="H61" s="19">
        <f t="shared" si="139"/>
        <v>0</v>
      </c>
      <c r="I61" s="19">
        <f>SUM(I57:I60)+I56</f>
        <v>1982.748</v>
      </c>
      <c r="J61" s="19">
        <f t="shared" ref="J61:M61" si="140">SUM(J57:J60)+J56</f>
        <v>0</v>
      </c>
      <c r="K61" s="19">
        <f t="shared" si="140"/>
        <v>0</v>
      </c>
      <c r="L61" s="19">
        <f t="shared" si="140"/>
        <v>0</v>
      </c>
      <c r="M61" s="19">
        <f t="shared" si="140"/>
        <v>2033.0250000000001</v>
      </c>
      <c r="N61" s="19">
        <f t="shared" ref="N61" si="141">SUM(N57:N60)+N56</f>
        <v>0</v>
      </c>
      <c r="O61" s="19">
        <f t="shared" ref="O61" si="142">SUM(O57:O60)+O56</f>
        <v>0</v>
      </c>
      <c r="P61" s="19">
        <f t="shared" ref="P61" si="143">SUM(P57:P60)+P56</f>
        <v>0</v>
      </c>
      <c r="Q61" s="19">
        <f t="shared" ref="Q61" si="144">SUM(Q57:Q60)+Q56</f>
        <v>1995.0282999999999</v>
      </c>
      <c r="R61" s="19">
        <f t="shared" ref="R61" si="145">SUM(R57:R60)+R56</f>
        <v>0</v>
      </c>
      <c r="S61" s="19">
        <f t="shared" ref="S61" si="146">SUM(S57:S60)+S56</f>
        <v>0</v>
      </c>
      <c r="T61" s="19">
        <f t="shared" ref="T61" si="147">SUM(T57:T60)+T56</f>
        <v>0</v>
      </c>
      <c r="U61" s="19">
        <f t="shared" ref="U61" si="148">SUM(U57:U60)+U56</f>
        <v>2171.9490000000001</v>
      </c>
      <c r="V61" s="19">
        <f t="shared" ref="V61" si="149">SUM(V57:V60)+V56</f>
        <v>0</v>
      </c>
      <c r="W61" s="19">
        <f t="shared" ref="W61" si="150">SUM(W57:W60)+W56</f>
        <v>2285.8609999999999</v>
      </c>
      <c r="AA61" s="19">
        <f>E61</f>
        <v>1791.7559999999999</v>
      </c>
      <c r="AB61" s="19">
        <f>I61</f>
        <v>1982.748</v>
      </c>
      <c r="AC61" s="19">
        <f>M61</f>
        <v>2033.0250000000001</v>
      </c>
      <c r="AD61" s="19">
        <f>Q61</f>
        <v>1995.0282999999999</v>
      </c>
      <c r="AE61" s="19">
        <f>U61</f>
        <v>2171.9490000000001</v>
      </c>
    </row>
    <row r="62" spans="1:31" s="3" customFormat="1" x14ac:dyDescent="0.25">
      <c r="A62" s="6" t="s">
        <v>79</v>
      </c>
      <c r="E62" s="3">
        <v>43.795000000000002</v>
      </c>
      <c r="I62" s="3">
        <v>43.798999999999999</v>
      </c>
      <c r="M62" s="3">
        <v>43.802999999999997</v>
      </c>
      <c r="Q62" s="3">
        <v>43.807000000000002</v>
      </c>
      <c r="U62" s="3">
        <v>43.822000000000003</v>
      </c>
      <c r="W62" s="3">
        <v>43.826000000000001</v>
      </c>
      <c r="AA62" s="3">
        <f t="shared" ref="AA62:AA63" si="151">E62</f>
        <v>43.795000000000002</v>
      </c>
      <c r="AB62" s="3">
        <f t="shared" ref="AB62:AB63" si="152">I62</f>
        <v>43.798999999999999</v>
      </c>
      <c r="AC62" s="3">
        <f t="shared" ref="AC62:AC63" si="153">M62</f>
        <v>43.802999999999997</v>
      </c>
      <c r="AD62" s="3">
        <f t="shared" ref="AD62:AD63" si="154">Q62</f>
        <v>43.807000000000002</v>
      </c>
      <c r="AE62" s="3">
        <f t="shared" ref="AE62:AE63" si="155">U62</f>
        <v>43.822000000000003</v>
      </c>
    </row>
    <row r="63" spans="1:31" s="3" customFormat="1" x14ac:dyDescent="0.25">
      <c r="A63" s="6" t="s">
        <v>80</v>
      </c>
      <c r="E63" s="3">
        <v>7.4850000000000003</v>
      </c>
      <c r="I63" s="3">
        <v>7.4809999999999999</v>
      </c>
      <c r="M63" s="3">
        <v>7.4770000000000003</v>
      </c>
      <c r="Q63" s="3">
        <v>7.4729999999999999</v>
      </c>
      <c r="U63" s="3">
        <v>7.4580000000000002</v>
      </c>
      <c r="W63" s="3">
        <v>7.4539999999999997</v>
      </c>
      <c r="AA63" s="3">
        <f t="shared" si="151"/>
        <v>7.4850000000000003</v>
      </c>
      <c r="AB63" s="3">
        <f t="shared" si="152"/>
        <v>7.4809999999999999</v>
      </c>
      <c r="AC63" s="3">
        <f t="shared" si="153"/>
        <v>7.4770000000000003</v>
      </c>
      <c r="AD63" s="3">
        <f t="shared" si="154"/>
        <v>7.4729999999999999</v>
      </c>
      <c r="AE63" s="3">
        <f t="shared" si="155"/>
        <v>7.4580000000000002</v>
      </c>
    </row>
    <row r="64" spans="1:31" s="15" customFormat="1" x14ac:dyDescent="0.25">
      <c r="A64" s="14" t="s">
        <v>81</v>
      </c>
      <c r="E64" s="15">
        <v>1322.481</v>
      </c>
      <c r="I64" s="15">
        <v>1243.0830000000001</v>
      </c>
      <c r="M64" s="15">
        <v>1400.144</v>
      </c>
      <c r="Q64" s="15">
        <v>1436.8130000000001</v>
      </c>
      <c r="U64" s="15">
        <v>1636.087</v>
      </c>
      <c r="W64" s="15">
        <v>1753.259</v>
      </c>
      <c r="AA64" s="15">
        <f>E64</f>
        <v>1322.481</v>
      </c>
      <c r="AB64" s="15">
        <f>I64</f>
        <v>1243.0830000000001</v>
      </c>
      <c r="AC64" s="15">
        <f>M64</f>
        <v>1400.144</v>
      </c>
      <c r="AD64" s="15">
        <f>Q64</f>
        <v>1436.8130000000001</v>
      </c>
      <c r="AE64" s="15">
        <f>U64</f>
        <v>1636.087</v>
      </c>
    </row>
    <row r="65" spans="1:31" s="19" customFormat="1" x14ac:dyDescent="0.25">
      <c r="A65" s="18" t="s">
        <v>82</v>
      </c>
      <c r="E65" s="19">
        <f t="shared" ref="E65:H65" si="156">E64+E61</f>
        <v>3114.2370000000001</v>
      </c>
      <c r="F65" s="19">
        <f t="shared" si="156"/>
        <v>0</v>
      </c>
      <c r="G65" s="19">
        <f t="shared" si="156"/>
        <v>0</v>
      </c>
      <c r="H65" s="19">
        <f t="shared" si="156"/>
        <v>0</v>
      </c>
      <c r="I65" s="19">
        <f>I64+I61</f>
        <v>3225.8310000000001</v>
      </c>
      <c r="J65" s="19">
        <f t="shared" ref="J65:M65" si="157">J64+J61</f>
        <v>0</v>
      </c>
      <c r="K65" s="19">
        <f t="shared" si="157"/>
        <v>0</v>
      </c>
      <c r="L65" s="19">
        <f t="shared" si="157"/>
        <v>0</v>
      </c>
      <c r="M65" s="19">
        <f t="shared" si="157"/>
        <v>3433.1689999999999</v>
      </c>
      <c r="N65" s="19">
        <f t="shared" ref="N65" si="158">N64+N61</f>
        <v>0</v>
      </c>
      <c r="O65" s="19">
        <f t="shared" ref="O65" si="159">O64+O61</f>
        <v>0</v>
      </c>
      <c r="P65" s="19">
        <f t="shared" ref="P65" si="160">P64+P61</f>
        <v>0</v>
      </c>
      <c r="Q65" s="19">
        <f t="shared" ref="Q65" si="161">Q64+Q61</f>
        <v>3431.8413</v>
      </c>
      <c r="R65" s="19">
        <f t="shared" ref="R65" si="162">R64+R61</f>
        <v>0</v>
      </c>
      <c r="S65" s="19">
        <f t="shared" ref="S65" si="163">S64+S61</f>
        <v>0</v>
      </c>
      <c r="T65" s="19">
        <f t="shared" ref="T65" si="164">T64+T61</f>
        <v>0</v>
      </c>
      <c r="U65" s="19">
        <f t="shared" ref="U65" si="165">U64+U61</f>
        <v>3808.0360000000001</v>
      </c>
      <c r="V65" s="19">
        <f t="shared" ref="V65" si="166">V64+V61</f>
        <v>0</v>
      </c>
      <c r="W65" s="19">
        <f t="shared" ref="W65" si="167">W64+W61</f>
        <v>4039.12</v>
      </c>
      <c r="AA65" s="19">
        <f>E65</f>
        <v>3114.2370000000001</v>
      </c>
      <c r="AB65" s="19">
        <f>I65</f>
        <v>3225.8310000000001</v>
      </c>
      <c r="AC65" s="19">
        <f>M65</f>
        <v>3433.1689999999999</v>
      </c>
      <c r="AD65" s="19">
        <f>Q65</f>
        <v>3431.8413</v>
      </c>
      <c r="AE65" s="19">
        <f>U65</f>
        <v>3808.0360000000001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2024-05-04T19:10:15Z</dcterms:modified>
</cp:coreProperties>
</file>