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1349" documentId="8_{BE06A849-C64B-4260-B5AD-048A1963CF58}" xr6:coauthVersionLast="47" xr6:coauthVersionMax="47" xr10:uidLastSave="{F4AD45C7-854B-4A94-980F-F22A3568CA57}"/>
  <bookViews>
    <workbookView xWindow="-108" yWindow="-108" windowWidth="30936" windowHeight="17496" activeTab="1" xr2:uid="{8AE3CAB9-1DDD-4C7A-BCF0-E281925CF4F9}"/>
  </bookViews>
  <sheets>
    <sheet name="MSFT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5" i="2"/>
  <c r="S98" i="1"/>
  <c r="S96" i="1"/>
  <c r="S97" i="1" s="1"/>
  <c r="Q84" i="1"/>
  <c r="R84" i="1"/>
  <c r="X84" i="1"/>
  <c r="W84" i="1"/>
  <c r="V84" i="1"/>
  <c r="U84" i="1"/>
  <c r="T84" i="1"/>
  <c r="S84" i="1"/>
  <c r="S59" i="1"/>
  <c r="S57" i="1"/>
  <c r="S47" i="1"/>
  <c r="S45" i="1"/>
  <c r="S43" i="1"/>
  <c r="S37" i="1"/>
  <c r="S12" i="1"/>
  <c r="S16" i="1" s="1"/>
  <c r="AP42" i="1"/>
  <c r="AF26" i="1" l="1"/>
  <c r="AE26" i="1"/>
  <c r="AD26" i="1"/>
  <c r="AL26" i="1" s="1"/>
  <c r="AC26" i="1"/>
  <c r="AD12" i="1"/>
  <c r="AE12" i="1" s="1"/>
  <c r="AE16" i="1" s="1"/>
  <c r="AE31" i="1" s="1"/>
  <c r="T5" i="1"/>
  <c r="U5" i="1" s="1"/>
  <c r="V5" i="1" s="1"/>
  <c r="W5" i="1" s="1"/>
  <c r="X5" i="1" s="1"/>
  <c r="T4" i="1"/>
  <c r="U4" i="1" s="1"/>
  <c r="V4" i="1" s="1"/>
  <c r="W4" i="1" s="1"/>
  <c r="X4" i="1" s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R9" i="1"/>
  <c r="R8" i="1"/>
  <c r="R7" i="1"/>
  <c r="V21" i="1"/>
  <c r="U21" i="1"/>
  <c r="T21" i="1"/>
  <c r="X21" i="1" s="1"/>
  <c r="V19" i="1"/>
  <c r="U19" i="1"/>
  <c r="T19" i="1"/>
  <c r="X19" i="1" s="1"/>
  <c r="V18" i="1"/>
  <c r="U18" i="1"/>
  <c r="T18" i="1"/>
  <c r="X18" i="1" s="1"/>
  <c r="V17" i="1"/>
  <c r="U17" i="1"/>
  <c r="T17" i="1"/>
  <c r="X17" i="1" s="1"/>
  <c r="W17" i="1"/>
  <c r="W21" i="1"/>
  <c r="W19" i="1"/>
  <c r="K6" i="1"/>
  <c r="L6" i="1"/>
  <c r="M6" i="1"/>
  <c r="Q6" i="1"/>
  <c r="P6" i="1"/>
  <c r="O6" i="1"/>
  <c r="N6" i="1"/>
  <c r="R6" i="1"/>
  <c r="C18" i="2"/>
  <c r="C16" i="2"/>
  <c r="C17" i="2"/>
  <c r="R98" i="1"/>
  <c r="Q96" i="1"/>
  <c r="H84" i="1"/>
  <c r="I84" i="1"/>
  <c r="J84" i="1"/>
  <c r="K84" i="1"/>
  <c r="L84" i="1"/>
  <c r="L47" i="1"/>
  <c r="L43" i="1"/>
  <c r="L37" i="1"/>
  <c r="J95" i="1"/>
  <c r="K95" i="1"/>
  <c r="V95" i="1"/>
  <c r="U95" i="1"/>
  <c r="T95" i="1"/>
  <c r="S95" i="1"/>
  <c r="R95" i="1"/>
  <c r="Q95" i="1"/>
  <c r="O95" i="1"/>
  <c r="N95" i="1"/>
  <c r="M95" i="1"/>
  <c r="L95" i="1"/>
  <c r="N57" i="1"/>
  <c r="N59" i="1" s="1"/>
  <c r="M57" i="1"/>
  <c r="M59" i="1" s="1"/>
  <c r="K57" i="1"/>
  <c r="K59" i="1" s="1"/>
  <c r="O47" i="1"/>
  <c r="O57" i="1" s="1"/>
  <c r="O59" i="1" s="1"/>
  <c r="O43" i="1"/>
  <c r="O37" i="1"/>
  <c r="N36" i="1"/>
  <c r="M36" i="1"/>
  <c r="V91" i="1"/>
  <c r="U91" i="1"/>
  <c r="T91" i="1"/>
  <c r="S91" i="1"/>
  <c r="R91" i="1"/>
  <c r="Q91" i="1"/>
  <c r="O91" i="1"/>
  <c r="N91" i="1"/>
  <c r="M91" i="1"/>
  <c r="L91" i="1"/>
  <c r="K91" i="1"/>
  <c r="J91" i="1"/>
  <c r="P95" i="1"/>
  <c r="P91" i="1"/>
  <c r="I61" i="1"/>
  <c r="J61" i="1"/>
  <c r="O76" i="1"/>
  <c r="N76" i="1"/>
  <c r="M76" i="1"/>
  <c r="L76" i="1"/>
  <c r="K76" i="1"/>
  <c r="J76" i="1"/>
  <c r="X76" i="1"/>
  <c r="W76" i="1"/>
  <c r="V76" i="1"/>
  <c r="U76" i="1"/>
  <c r="T76" i="1"/>
  <c r="S76" i="1"/>
  <c r="R76" i="1"/>
  <c r="Q76" i="1"/>
  <c r="R96" i="1"/>
  <c r="O84" i="1"/>
  <c r="O96" i="1" s="1"/>
  <c r="N84" i="1"/>
  <c r="M84" i="1"/>
  <c r="P84" i="1"/>
  <c r="P96" i="1" s="1"/>
  <c r="P76" i="1"/>
  <c r="N45" i="1"/>
  <c r="M45" i="1"/>
  <c r="K45" i="1"/>
  <c r="P47" i="1"/>
  <c r="P57" i="1" s="1"/>
  <c r="P59" i="1" s="1"/>
  <c r="P43" i="1"/>
  <c r="P37" i="1"/>
  <c r="Q47" i="1"/>
  <c r="Q57" i="1" s="1"/>
  <c r="Q59" i="1" s="1"/>
  <c r="Q43" i="1"/>
  <c r="Q37" i="1"/>
  <c r="R47" i="1"/>
  <c r="R57" i="1" s="1"/>
  <c r="R59" i="1" s="1"/>
  <c r="R43" i="1"/>
  <c r="R37" i="1"/>
  <c r="AA26" i="1"/>
  <c r="AH26" i="1" s="1"/>
  <c r="AA23" i="1"/>
  <c r="AA21" i="1"/>
  <c r="AA19" i="1"/>
  <c r="AA18" i="1"/>
  <c r="AA17" i="1"/>
  <c r="AA14" i="1"/>
  <c r="AA13" i="1"/>
  <c r="AA11" i="1"/>
  <c r="AA10" i="1"/>
  <c r="AB26" i="1"/>
  <c r="AK26" i="1" s="1"/>
  <c r="AB23" i="1"/>
  <c r="AB21" i="1"/>
  <c r="AB19" i="1"/>
  <c r="AB18" i="1"/>
  <c r="AB17" i="1"/>
  <c r="AB14" i="1"/>
  <c r="AB13" i="1"/>
  <c r="AB11" i="1"/>
  <c r="AB10" i="1"/>
  <c r="M15" i="1"/>
  <c r="M12" i="1"/>
  <c r="Q15" i="1"/>
  <c r="Q12" i="1"/>
  <c r="N15" i="1"/>
  <c r="N12" i="1"/>
  <c r="K15" i="1"/>
  <c r="K12" i="1"/>
  <c r="L15" i="1"/>
  <c r="L12" i="1"/>
  <c r="O15" i="1"/>
  <c r="O12" i="1"/>
  <c r="P15" i="1"/>
  <c r="P12" i="1"/>
  <c r="R15" i="1"/>
  <c r="R12" i="1"/>
  <c r="L4" i="2"/>
  <c r="Q36" i="1" l="1"/>
  <c r="S6" i="1"/>
  <c r="AJ26" i="1"/>
  <c r="T3" i="1"/>
  <c r="U3" i="1" s="1"/>
  <c r="V3" i="1" s="1"/>
  <c r="AC12" i="1"/>
  <c r="AC18" i="1"/>
  <c r="AF12" i="1"/>
  <c r="AF28" i="1" s="1"/>
  <c r="AD21" i="1"/>
  <c r="AG26" i="1"/>
  <c r="AM26" i="1" s="1"/>
  <c r="AD19" i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I26" i="1"/>
  <c r="AE15" i="1"/>
  <c r="S29" i="1"/>
  <c r="AC17" i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C19" i="1"/>
  <c r="AC21" i="1"/>
  <c r="AE28" i="1"/>
  <c r="AD28" i="1"/>
  <c r="U29" i="1"/>
  <c r="V28" i="1"/>
  <c r="U16" i="1"/>
  <c r="U28" i="1"/>
  <c r="T29" i="1"/>
  <c r="T16" i="1"/>
  <c r="S20" i="1"/>
  <c r="S22" i="1" s="1"/>
  <c r="S28" i="1"/>
  <c r="T28" i="1"/>
  <c r="W18" i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R97" i="1"/>
  <c r="L36" i="1"/>
  <c r="O36" i="1"/>
  <c r="P36" i="1"/>
  <c r="R36" i="1"/>
  <c r="L45" i="1"/>
  <c r="P45" i="1"/>
  <c r="Q45" i="1"/>
  <c r="L57" i="1"/>
  <c r="L59" i="1" s="1"/>
  <c r="O45" i="1"/>
  <c r="Q28" i="1"/>
  <c r="O28" i="1"/>
  <c r="L29" i="1"/>
  <c r="R45" i="1"/>
  <c r="O29" i="1"/>
  <c r="M29" i="1"/>
  <c r="R29" i="1"/>
  <c r="P29" i="1"/>
  <c r="N29" i="1"/>
  <c r="Q29" i="1"/>
  <c r="P28" i="1"/>
  <c r="R28" i="1"/>
  <c r="AB12" i="1"/>
  <c r="AA15" i="1"/>
  <c r="AA12" i="1"/>
  <c r="AB15" i="1"/>
  <c r="O16" i="1"/>
  <c r="M16" i="1"/>
  <c r="M20" i="1" s="1"/>
  <c r="P16" i="1"/>
  <c r="P20" i="1" s="1"/>
  <c r="P22" i="1" s="1"/>
  <c r="P24" i="1" s="1"/>
  <c r="R16" i="1"/>
  <c r="Q16" i="1"/>
  <c r="N16" i="1"/>
  <c r="N20" i="1" s="1"/>
  <c r="K16" i="1"/>
  <c r="K31" i="1" s="1"/>
  <c r="L16" i="1"/>
  <c r="L31" i="1" s="1"/>
  <c r="L8" i="2"/>
  <c r="L7" i="2"/>
  <c r="U6" i="1" l="1"/>
  <c r="T6" i="1"/>
  <c r="AF16" i="1"/>
  <c r="AG12" i="1"/>
  <c r="AN26" i="1"/>
  <c r="AE21" i="1"/>
  <c r="AE20" i="1"/>
  <c r="AF20" i="1"/>
  <c r="AF31" i="1"/>
  <c r="AF15" i="1"/>
  <c r="W3" i="1"/>
  <c r="V6" i="1"/>
  <c r="T20" i="1"/>
  <c r="T32" i="1" s="1"/>
  <c r="T15" i="1"/>
  <c r="S31" i="1"/>
  <c r="U31" i="1"/>
  <c r="U15" i="1"/>
  <c r="AB28" i="1"/>
  <c r="AC28" i="1"/>
  <c r="Q20" i="1"/>
  <c r="AC16" i="1"/>
  <c r="U20" i="1"/>
  <c r="T31" i="1"/>
  <c r="V29" i="1"/>
  <c r="V16" i="1"/>
  <c r="V15" i="1" s="1"/>
  <c r="S32" i="1"/>
  <c r="P25" i="1"/>
  <c r="P61" i="1"/>
  <c r="AB36" i="1"/>
  <c r="M31" i="1"/>
  <c r="AB16" i="1"/>
  <c r="AB31" i="1" s="1"/>
  <c r="K20" i="1"/>
  <c r="K32" i="1" s="1"/>
  <c r="AA16" i="1"/>
  <c r="AA31" i="1" s="1"/>
  <c r="P31" i="1"/>
  <c r="O20" i="1"/>
  <c r="O31" i="1"/>
  <c r="P34" i="1"/>
  <c r="P32" i="1"/>
  <c r="Q31" i="1"/>
  <c r="P33" i="1"/>
  <c r="R31" i="1"/>
  <c r="R20" i="1"/>
  <c r="R22" i="1" s="1"/>
  <c r="R24" i="1" s="1"/>
  <c r="R25" i="1" s="1"/>
  <c r="M22" i="1"/>
  <c r="M32" i="1"/>
  <c r="N31" i="1"/>
  <c r="N32" i="1"/>
  <c r="N22" i="1"/>
  <c r="L20" i="1"/>
  <c r="L32" i="1" s="1"/>
  <c r="AE22" i="1" l="1"/>
  <c r="AE23" i="1" s="1"/>
  <c r="AE34" i="1" s="1"/>
  <c r="AG16" i="1"/>
  <c r="AH12" i="1"/>
  <c r="AG28" i="1"/>
  <c r="T22" i="1"/>
  <c r="T23" i="1" s="1"/>
  <c r="T24" i="1" s="1"/>
  <c r="AE32" i="1"/>
  <c r="AF21" i="1"/>
  <c r="AG21" i="1" s="1"/>
  <c r="AE24" i="1"/>
  <c r="AE33" i="1" s="1"/>
  <c r="AF32" i="1"/>
  <c r="S24" i="1"/>
  <c r="S36" i="1" s="1"/>
  <c r="S34" i="1"/>
  <c r="U32" i="1"/>
  <c r="AC20" i="1"/>
  <c r="AC32" i="1" s="1"/>
  <c r="AC15" i="1"/>
  <c r="AC31" i="1"/>
  <c r="U22" i="1"/>
  <c r="X3" i="1"/>
  <c r="X6" i="1" s="1"/>
  <c r="W6" i="1"/>
  <c r="Q32" i="1"/>
  <c r="Q22" i="1"/>
  <c r="AC22" i="1" s="1"/>
  <c r="V31" i="1"/>
  <c r="V20" i="1"/>
  <c r="W29" i="1"/>
  <c r="W16" i="1"/>
  <c r="W15" i="1" s="1"/>
  <c r="W28" i="1"/>
  <c r="K22" i="1"/>
  <c r="K24" i="1" s="1"/>
  <c r="K61" i="1" s="1"/>
  <c r="AB20" i="1"/>
  <c r="AB32" i="1" s="1"/>
  <c r="AA20" i="1"/>
  <c r="AA32" i="1" s="1"/>
  <c r="O22" i="1"/>
  <c r="O32" i="1"/>
  <c r="R32" i="1"/>
  <c r="M24" i="1"/>
  <c r="M61" i="1" s="1"/>
  <c r="M34" i="1"/>
  <c r="N24" i="1"/>
  <c r="N61" i="1" s="1"/>
  <c r="N34" i="1"/>
  <c r="L22" i="1"/>
  <c r="L24" i="1" s="1"/>
  <c r="L61" i="1" s="1"/>
  <c r="AE36" i="1" l="1"/>
  <c r="AE37" i="1" s="1"/>
  <c r="AH16" i="1"/>
  <c r="AH15" i="1" s="1"/>
  <c r="AI12" i="1"/>
  <c r="AH28" i="1"/>
  <c r="AG31" i="1"/>
  <c r="AG15" i="1"/>
  <c r="AG20" i="1"/>
  <c r="AG32" i="1" s="1"/>
  <c r="AC34" i="1"/>
  <c r="T34" i="1"/>
  <c r="AC23" i="1"/>
  <c r="S33" i="1"/>
  <c r="AH21" i="1"/>
  <c r="S61" i="1"/>
  <c r="S25" i="1"/>
  <c r="AF22" i="1"/>
  <c r="AF23" i="1" s="1"/>
  <c r="AF34" i="1" s="1"/>
  <c r="T36" i="1"/>
  <c r="AH31" i="1"/>
  <c r="AI28" i="1"/>
  <c r="Q34" i="1"/>
  <c r="Q24" i="1"/>
  <c r="Q33" i="1" s="1"/>
  <c r="U23" i="1"/>
  <c r="Q61" i="1"/>
  <c r="AC24" i="1"/>
  <c r="AC33" i="1" s="1"/>
  <c r="K34" i="1"/>
  <c r="X16" i="1"/>
  <c r="X15" i="1" s="1"/>
  <c r="AD15" i="1" s="1"/>
  <c r="X28" i="1"/>
  <c r="X29" i="1"/>
  <c r="V22" i="1"/>
  <c r="V23" i="1" s="1"/>
  <c r="V34" i="1" s="1"/>
  <c r="V32" i="1"/>
  <c r="W31" i="1"/>
  <c r="W20" i="1"/>
  <c r="T25" i="1"/>
  <c r="T61" i="1"/>
  <c r="T33" i="1"/>
  <c r="AB22" i="1"/>
  <c r="AB34" i="1" s="1"/>
  <c r="AA24" i="1"/>
  <c r="AA33" i="1" s="1"/>
  <c r="AA22" i="1"/>
  <c r="AA34" i="1" s="1"/>
  <c r="O24" i="1"/>
  <c r="O61" i="1" s="1"/>
  <c r="O34" i="1"/>
  <c r="R61" i="1"/>
  <c r="R34" i="1"/>
  <c r="M25" i="1"/>
  <c r="M33" i="1"/>
  <c r="Q25" i="1"/>
  <c r="N25" i="1"/>
  <c r="N33" i="1"/>
  <c r="K25" i="1"/>
  <c r="K33" i="1"/>
  <c r="L34" i="1"/>
  <c r="L25" i="1"/>
  <c r="L33" i="1"/>
  <c r="AH20" i="1" l="1"/>
  <c r="AG22" i="1"/>
  <c r="AG23" i="1" s="1"/>
  <c r="AG34" i="1" s="1"/>
  <c r="AI16" i="1"/>
  <c r="AI15" i="1" s="1"/>
  <c r="AJ12" i="1"/>
  <c r="AI21" i="1"/>
  <c r="AJ21" i="1" s="1"/>
  <c r="AC25" i="1"/>
  <c r="AF24" i="1"/>
  <c r="AF33" i="1" s="1"/>
  <c r="AC36" i="1"/>
  <c r="AC37" i="1" s="1"/>
  <c r="T37" i="1"/>
  <c r="AI31" i="1"/>
  <c r="AH22" i="1"/>
  <c r="AH23" i="1" s="1"/>
  <c r="AH32" i="1"/>
  <c r="U34" i="1"/>
  <c r="U24" i="1"/>
  <c r="U36" i="1" s="1"/>
  <c r="AD16" i="1"/>
  <c r="AD31" i="1" s="1"/>
  <c r="V24" i="1"/>
  <c r="V25" i="1" s="1"/>
  <c r="W32" i="1"/>
  <c r="W22" i="1"/>
  <c r="X31" i="1"/>
  <c r="X20" i="1"/>
  <c r="AD20" i="1" s="1"/>
  <c r="AD32" i="1" s="1"/>
  <c r="AA25" i="1"/>
  <c r="AB24" i="1"/>
  <c r="AB33" i="1" s="1"/>
  <c r="O25" i="1"/>
  <c r="O33" i="1"/>
  <c r="R33" i="1"/>
  <c r="AI20" i="1" l="1"/>
  <c r="AK21" i="1"/>
  <c r="AL21" i="1" s="1"/>
  <c r="AM21" i="1" s="1"/>
  <c r="AN21" i="1" s="1"/>
  <c r="AG24" i="1"/>
  <c r="AG33" i="1" s="1"/>
  <c r="AK12" i="1"/>
  <c r="AJ16" i="1"/>
  <c r="AJ15" i="1" s="1"/>
  <c r="AJ28" i="1"/>
  <c r="AI25" i="1"/>
  <c r="AF36" i="1"/>
  <c r="AF37" i="1" s="1"/>
  <c r="V36" i="1"/>
  <c r="U37" i="1"/>
  <c r="AG36" i="1"/>
  <c r="AG37" i="1" s="1"/>
  <c r="AJ20" i="1"/>
  <c r="AJ31" i="1"/>
  <c r="AI22" i="1"/>
  <c r="AI23" i="1" s="1"/>
  <c r="AI32" i="1"/>
  <c r="AH34" i="1"/>
  <c r="U25" i="1"/>
  <c r="U33" i="1"/>
  <c r="U61" i="1"/>
  <c r="V61" i="1"/>
  <c r="V33" i="1"/>
  <c r="X22" i="1"/>
  <c r="AD22" i="1" s="1"/>
  <c r="X32" i="1"/>
  <c r="W23" i="1"/>
  <c r="AB25" i="1"/>
  <c r="AH25" i="1" s="1"/>
  <c r="AL12" i="1" l="1"/>
  <c r="AK16" i="1"/>
  <c r="AK15" i="1" s="1"/>
  <c r="AK28" i="1"/>
  <c r="V37" i="1"/>
  <c r="AL28" i="1"/>
  <c r="AI34" i="1"/>
  <c r="AH24" i="1"/>
  <c r="AJ22" i="1"/>
  <c r="AJ23" i="1" s="1"/>
  <c r="AJ32" i="1"/>
  <c r="W34" i="1"/>
  <c r="W24" i="1"/>
  <c r="W36" i="1" s="1"/>
  <c r="X23" i="1"/>
  <c r="X34" i="1" s="1"/>
  <c r="AK31" i="1" l="1"/>
  <c r="AK20" i="1"/>
  <c r="AM12" i="1"/>
  <c r="AL16" i="1"/>
  <c r="AL15" i="1" s="1"/>
  <c r="W37" i="1"/>
  <c r="AH33" i="1"/>
  <c r="AH36" i="1"/>
  <c r="AH37" i="1" s="1"/>
  <c r="AI24" i="1"/>
  <c r="AJ34" i="1"/>
  <c r="AK22" i="1"/>
  <c r="AK23" i="1" s="1"/>
  <c r="AK32" i="1"/>
  <c r="AD23" i="1"/>
  <c r="AD34" i="1" s="1"/>
  <c r="X24" i="1"/>
  <c r="X25" i="1" s="1"/>
  <c r="AG25" i="1" s="1"/>
  <c r="W25" i="1"/>
  <c r="W33" i="1"/>
  <c r="AD24" i="1" l="1"/>
  <c r="AD33" i="1" s="1"/>
  <c r="X36" i="1"/>
  <c r="AL31" i="1"/>
  <c r="AN12" i="1"/>
  <c r="AN16" i="1" s="1"/>
  <c r="AM16" i="1"/>
  <c r="AM31" i="1" s="1"/>
  <c r="AM28" i="1"/>
  <c r="AL20" i="1"/>
  <c r="AL32" i="1" s="1"/>
  <c r="AD25" i="1"/>
  <c r="AE25" i="1"/>
  <c r="AF25" i="1"/>
  <c r="X37" i="1"/>
  <c r="AD36" i="1"/>
  <c r="AD37" i="1" s="1"/>
  <c r="AI33" i="1"/>
  <c r="AI36" i="1"/>
  <c r="AI37" i="1" s="1"/>
  <c r="AJ24" i="1"/>
  <c r="AK34" i="1"/>
  <c r="AN28" i="1"/>
  <c r="X33" i="1"/>
  <c r="AM20" i="1" l="1"/>
  <c r="AN15" i="1"/>
  <c r="AM15" i="1"/>
  <c r="AL22" i="1"/>
  <c r="AL23" i="1" s="1"/>
  <c r="AL34" i="1" s="1"/>
  <c r="AN25" i="1"/>
  <c r="AM25" i="1"/>
  <c r="AK25" i="1"/>
  <c r="AL25" i="1"/>
  <c r="AJ25" i="1"/>
  <c r="AJ33" i="1"/>
  <c r="AJ36" i="1"/>
  <c r="AJ37" i="1" s="1"/>
  <c r="AN20" i="1"/>
  <c r="AN31" i="1"/>
  <c r="AK24" i="1"/>
  <c r="AM22" i="1"/>
  <c r="AM23" i="1" s="1"/>
  <c r="AM32" i="1"/>
  <c r="AK33" i="1" l="1"/>
  <c r="AK36" i="1"/>
  <c r="AK37" i="1" s="1"/>
  <c r="AL24" i="1"/>
  <c r="AM34" i="1"/>
  <c r="AN22" i="1"/>
  <c r="AN23" i="1" s="1"/>
  <c r="AN32" i="1"/>
  <c r="AL33" i="1" l="1"/>
  <c r="AL36" i="1"/>
  <c r="AL37" i="1" s="1"/>
  <c r="AM24" i="1"/>
  <c r="AN34" i="1"/>
  <c r="AM33" i="1" l="1"/>
  <c r="AM36" i="1"/>
  <c r="AM37" i="1" s="1"/>
  <c r="AN24" i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HO24" i="1" s="1"/>
  <c r="HP24" i="1" s="1"/>
  <c r="HQ24" i="1" s="1"/>
  <c r="HR24" i="1" s="1"/>
  <c r="HS24" i="1" s="1"/>
  <c r="HT24" i="1" s="1"/>
  <c r="HU24" i="1" s="1"/>
  <c r="HV24" i="1" s="1"/>
  <c r="HW24" i="1" s="1"/>
  <c r="HX24" i="1" s="1"/>
  <c r="HY24" i="1" s="1"/>
  <c r="HZ24" i="1" s="1"/>
  <c r="IA24" i="1" s="1"/>
  <c r="IB24" i="1" s="1"/>
  <c r="IC24" i="1" s="1"/>
  <c r="ID24" i="1" s="1"/>
  <c r="IE24" i="1" s="1"/>
  <c r="IF24" i="1" s="1"/>
  <c r="IG24" i="1" s="1"/>
  <c r="IH24" i="1" s="1"/>
  <c r="AP41" i="1" s="1"/>
  <c r="AP43" i="1" s="1"/>
  <c r="AP44" i="1" s="1"/>
  <c r="AN33" i="1" l="1"/>
  <c r="AN36" i="1"/>
  <c r="AN37" i="1" s="1"/>
</calcChain>
</file>

<file path=xl/sharedStrings.xml><?xml version="1.0" encoding="utf-8"?>
<sst xmlns="http://schemas.openxmlformats.org/spreadsheetml/2006/main" count="202" uniqueCount="150">
  <si>
    <t>Price</t>
  </si>
  <si>
    <t>Shares</t>
  </si>
  <si>
    <t>MC</t>
  </si>
  <si>
    <t>Cash</t>
  </si>
  <si>
    <t>Debt</t>
  </si>
  <si>
    <t>EV</t>
  </si>
  <si>
    <t>Net Cash</t>
  </si>
  <si>
    <t>CEO</t>
  </si>
  <si>
    <t>Q424</t>
  </si>
  <si>
    <t>Q323</t>
  </si>
  <si>
    <t>Q423</t>
  </si>
  <si>
    <t>Q322</t>
  </si>
  <si>
    <t>Q422</t>
  </si>
  <si>
    <t>Q123</t>
  </si>
  <si>
    <t>Q223</t>
  </si>
  <si>
    <t>Q421</t>
  </si>
  <si>
    <t>Q122</t>
  </si>
  <si>
    <t>Q222</t>
  </si>
  <si>
    <t>Main</t>
  </si>
  <si>
    <t>MSFT</t>
  </si>
  <si>
    <t>Satya Nadella</t>
  </si>
  <si>
    <t>Executives</t>
  </si>
  <si>
    <t>Name</t>
  </si>
  <si>
    <t>Age</t>
  </si>
  <si>
    <t>Role</t>
  </si>
  <si>
    <t>Judson B. Althoff</t>
  </si>
  <si>
    <t>Chief Commercial Officer</t>
  </si>
  <si>
    <t>Christopher C. Capossela</t>
  </si>
  <si>
    <t>Kathleen T. Hogan</t>
  </si>
  <si>
    <t>Amy E. Hood</t>
  </si>
  <si>
    <t>Bradford L. Smith</t>
  </si>
  <si>
    <t>Christopher D. Young</t>
  </si>
  <si>
    <t>Chief Marketing Officer</t>
  </si>
  <si>
    <t>Chief HR Officer</t>
  </si>
  <si>
    <t>CFO</t>
  </si>
  <si>
    <t>Vice Chair and President</t>
  </si>
  <si>
    <t>Executive Vice President, Business Dev, Strategy and Ventures.</t>
  </si>
  <si>
    <t>Services</t>
  </si>
  <si>
    <t>Products</t>
  </si>
  <si>
    <t>Revenue</t>
  </si>
  <si>
    <t>COGS</t>
  </si>
  <si>
    <t>Gross Profit</t>
  </si>
  <si>
    <t>R&amp;D</t>
  </si>
  <si>
    <t>S&amp;M</t>
  </si>
  <si>
    <t>G&amp;A</t>
  </si>
  <si>
    <t>Operating income</t>
  </si>
  <si>
    <t>Other</t>
  </si>
  <si>
    <t>Pretax</t>
  </si>
  <si>
    <t>Taxes</t>
  </si>
  <si>
    <t>Net income</t>
  </si>
  <si>
    <t>EPS</t>
  </si>
  <si>
    <t>Gross Margin %</t>
  </si>
  <si>
    <t>Operating Margin %</t>
  </si>
  <si>
    <t>Net Margin %</t>
  </si>
  <si>
    <t>Taxes %</t>
  </si>
  <si>
    <t>Revenue Y/Y</t>
  </si>
  <si>
    <t>Revenue Q/Q</t>
  </si>
  <si>
    <t>Q124</t>
  </si>
  <si>
    <t>Q224</t>
  </si>
  <si>
    <t>Q324</t>
  </si>
  <si>
    <t>Q121</t>
  </si>
  <si>
    <t>Q221</t>
  </si>
  <si>
    <t>Q321</t>
  </si>
  <si>
    <t>Q320</t>
  </si>
  <si>
    <t>Q420</t>
  </si>
  <si>
    <t>A/R</t>
  </si>
  <si>
    <t>Inventories</t>
  </si>
  <si>
    <t>OCA</t>
  </si>
  <si>
    <t>PP&amp;E</t>
  </si>
  <si>
    <t>Leases</t>
  </si>
  <si>
    <t>Goodwill + Intangibles</t>
  </si>
  <si>
    <t>OLTA</t>
  </si>
  <si>
    <t>Assets</t>
  </si>
  <si>
    <t>A/P</t>
  </si>
  <si>
    <t>Accrued Comp</t>
  </si>
  <si>
    <t>Short-term taxes</t>
  </si>
  <si>
    <t>Short-term unearned revenue</t>
  </si>
  <si>
    <t>OCL</t>
  </si>
  <si>
    <t>Long-term taxes</t>
  </si>
  <si>
    <t>Long-term unearned revenue</t>
  </si>
  <si>
    <t>DT</t>
  </si>
  <si>
    <t>Operating leases</t>
  </si>
  <si>
    <t>OLTL</t>
  </si>
  <si>
    <t>Liabilities</t>
  </si>
  <si>
    <t>SE</t>
  </si>
  <si>
    <t>L + SE</t>
  </si>
  <si>
    <t>12/31/2023</t>
  </si>
  <si>
    <t>6/25/2023</t>
  </si>
  <si>
    <t>3/31/2023</t>
  </si>
  <si>
    <t>9/30/2023</t>
  </si>
  <si>
    <t>Model NI</t>
  </si>
  <si>
    <t>Reported NI</t>
  </si>
  <si>
    <t>D&amp;A</t>
  </si>
  <si>
    <t>SBC</t>
  </si>
  <si>
    <t>Investments</t>
  </si>
  <si>
    <t>D/T</t>
  </si>
  <si>
    <t>Unearned revenue</t>
  </si>
  <si>
    <t>CFFO</t>
  </si>
  <si>
    <t>Repayments of debt</t>
  </si>
  <si>
    <t>Common stock issued</t>
  </si>
  <si>
    <t>Common stock repurchased</t>
  </si>
  <si>
    <t>Common stock cash dividends paid</t>
  </si>
  <si>
    <t>CFFF</t>
  </si>
  <si>
    <t>Acquisitions of companies and purchases of intangible and other</t>
  </si>
  <si>
    <t>Purchase of investments</t>
  </si>
  <si>
    <t>Sales of investments</t>
  </si>
  <si>
    <t>CFFI</t>
  </si>
  <si>
    <t xml:space="preserve">Exchange rates </t>
  </si>
  <si>
    <t xml:space="preserve">Net change in cash </t>
  </si>
  <si>
    <t>Cash beginning period</t>
  </si>
  <si>
    <t>Cash end period</t>
  </si>
  <si>
    <t>Maturities of investments</t>
  </si>
  <si>
    <t>Issuance of debt maturities of 90 days or less</t>
  </si>
  <si>
    <t>Proceeds from issuance of debt</t>
  </si>
  <si>
    <t>FCF</t>
  </si>
  <si>
    <t>CapEx</t>
  </si>
  <si>
    <t>TTM FCF</t>
  </si>
  <si>
    <t>TTM NI</t>
  </si>
  <si>
    <t>Segment</t>
  </si>
  <si>
    <t>Productivity &amp; Business Processes</t>
  </si>
  <si>
    <t>Intelligent Cloud</t>
  </si>
  <si>
    <t>More Personal Computing</t>
  </si>
  <si>
    <t>% of Revenue</t>
  </si>
  <si>
    <t>Contains</t>
  </si>
  <si>
    <t>Office 365 Commercial, LinkedIn, Dynamics365, Office Consumer products.</t>
  </si>
  <si>
    <t>Server products and cloud services, Azure and other cloud services.</t>
  </si>
  <si>
    <t>Windows, Devices, Xbox, Search and news advertising, Activision (acquisition)</t>
  </si>
  <si>
    <r>
      <t xml:space="preserve">Q224 </t>
    </r>
    <r>
      <rPr>
        <b/>
        <sz val="14"/>
        <color theme="1"/>
        <rFont val="Times New Roman"/>
        <family val="1"/>
      </rPr>
      <t>Business</t>
    </r>
    <r>
      <rPr>
        <b/>
        <sz val="12"/>
        <color theme="1"/>
        <rFont val="Times New Roman"/>
        <family val="1"/>
      </rPr>
      <t xml:space="preserve"> Higlights</t>
    </r>
  </si>
  <si>
    <t>Microsoft Corpororation</t>
  </si>
  <si>
    <t>Growth</t>
  </si>
  <si>
    <t>Competition</t>
  </si>
  <si>
    <t>Google, Oracle, SAP, Salesforce</t>
  </si>
  <si>
    <t>Apple, Sony, Samsung</t>
  </si>
  <si>
    <t>AWS, Google, IBM, Oracle</t>
  </si>
  <si>
    <t>Productivity</t>
  </si>
  <si>
    <t>Cloud</t>
  </si>
  <si>
    <t>PC</t>
  </si>
  <si>
    <t>Total</t>
  </si>
  <si>
    <t>Productivity %</t>
  </si>
  <si>
    <t>Cloud %</t>
  </si>
  <si>
    <t>PC %</t>
  </si>
  <si>
    <t>Q125</t>
  </si>
  <si>
    <t>Q225</t>
  </si>
  <si>
    <t>Q325</t>
  </si>
  <si>
    <t>Q425</t>
  </si>
  <si>
    <t>ROIC</t>
  </si>
  <si>
    <t>Maturity</t>
  </si>
  <si>
    <t>Discount</t>
  </si>
  <si>
    <t>NPV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</si>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</sst>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4" fillId="0" borderId="0" xfId="0" applyFont="1"/>
    <xf numFmtId="0" fontId="5" fillId="0" borderId="0" xfId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0" xfId="0" applyNumberFormat="1" applyFont="1"/>
    <xf numFmtId="3" fontId="1" fillId="0" borderId="2" xfId="0" applyNumberFormat="1" applyFont="1" applyBorder="1"/>
    <xf numFmtId="3" fontId="1" fillId="0" borderId="3" xfId="0" applyNumberFormat="1" applyFont="1" applyBorder="1"/>
    <xf numFmtId="2" fontId="0" fillId="0" borderId="0" xfId="0" applyNumberFormat="1"/>
    <xf numFmtId="9" fontId="0" fillId="0" borderId="0" xfId="0" applyNumberFormat="1"/>
    <xf numFmtId="0" fontId="6" fillId="0" borderId="0" xfId="0" applyFont="1"/>
    <xf numFmtId="0" fontId="1" fillId="0" borderId="0" xfId="0" applyFont="1"/>
    <xf numFmtId="0" fontId="0" fillId="0" borderId="3" xfId="0" applyBorder="1"/>
    <xf numFmtId="3" fontId="0" fillId="0" borderId="3" xfId="0" applyNumberFormat="1" applyBorder="1"/>
    <xf numFmtId="0" fontId="1" fillId="0" borderId="2" xfId="0" applyFont="1" applyBorder="1"/>
    <xf numFmtId="3" fontId="0" fillId="0" borderId="2" xfId="0" applyNumberFormat="1" applyBorder="1"/>
    <xf numFmtId="0" fontId="1" fillId="0" borderId="3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9" fontId="0" fillId="0" borderId="0" xfId="2" applyFont="1"/>
    <xf numFmtId="9" fontId="0" fillId="0" borderId="1" xfId="2" applyFont="1" applyBorder="1" applyAlignment="1">
      <alignment horizontal="center" vertical="center"/>
    </xf>
    <xf numFmtId="3" fontId="11" fillId="0" borderId="4" xfId="0" applyNumberFormat="1" applyFont="1" applyBorder="1"/>
    <xf numFmtId="0" fontId="11" fillId="0" borderId="4" xfId="0" applyFont="1" applyBorder="1"/>
    <xf numFmtId="9" fontId="11" fillId="0" borderId="4" xfId="0" applyNumberFormat="1" applyFont="1" applyBorder="1"/>
    <xf numFmtId="3" fontId="11" fillId="0" borderId="5" xfId="0" applyNumberFormat="1" applyFont="1" applyBorder="1"/>
    <xf numFmtId="0" fontId="11" fillId="0" borderId="5" xfId="0" applyFont="1" applyBorder="1"/>
    <xf numFmtId="9" fontId="11" fillId="0" borderId="5" xfId="0" applyNumberFormat="1" applyFont="1" applyBorder="1"/>
    <xf numFmtId="3" fontId="11" fillId="0" borderId="0" xfId="0" applyNumberFormat="1" applyFont="1"/>
    <xf numFmtId="0" fontId="11" fillId="0" borderId="0" xfId="0" applyFont="1"/>
    <xf numFmtId="9" fontId="11" fillId="0" borderId="0" xfId="0" applyNumberFormat="1" applyFont="1"/>
    <xf numFmtId="0" fontId="4" fillId="0" borderId="6" xfId="0" applyFont="1" applyBorder="1"/>
    <xf numFmtId="0" fontId="1" fillId="0" borderId="6" xfId="0" applyFont="1" applyBorder="1"/>
    <xf numFmtId="9" fontId="1" fillId="0" borderId="0" xfId="0" applyNumberFormat="1" applyFont="1"/>
    <xf numFmtId="9" fontId="1" fillId="0" borderId="6" xfId="0" applyNumberFormat="1" applyFont="1" applyBorder="1"/>
    <xf numFmtId="10" fontId="11" fillId="0" borderId="4" xfId="0" applyNumberFormat="1" applyFont="1" applyBorder="1"/>
    <xf numFmtId="10" fontId="0" fillId="0" borderId="0" xfId="2" applyNumberFormat="1" applyFont="1"/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" fontId="0" fillId="0" borderId="0" xfId="0" applyNumberFormat="1"/>
  </cellXfs>
  <cellStyles count="3">
    <cellStyle name="Prósent" xfId="2" builtinId="5"/>
    <cellStyle name="Tengill" xfId="1" builtinId="8"/>
    <cellStyle name="Venjulegt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183173</xdr:rowOff>
    </xdr:from>
    <xdr:to>
      <xdr:col>28</xdr:col>
      <xdr:colOff>0</xdr:colOff>
      <xdr:row>40</xdr:row>
      <xdr:rowOff>183173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F7BB363-420A-264C-C4C9-A89771B5ECEC}"/>
            </a:ext>
          </a:extLst>
        </xdr:cNvPr>
        <xdr:cNvCxnSpPr/>
      </xdr:nvCxnSpPr>
      <xdr:spPr>
        <a:xfrm>
          <a:off x="11517923" y="183173"/>
          <a:ext cx="0" cy="5729654"/>
        </a:xfrm>
        <a:prstGeom prst="line">
          <a:avLst/>
        </a:prstGeom>
        <a:ln w="63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</xdr:row>
      <xdr:rowOff>0</xdr:rowOff>
    </xdr:from>
    <xdr:to>
      <xdr:col>19</xdr:col>
      <xdr:colOff>0</xdr:colOff>
      <xdr:row>41</xdr:row>
      <xdr:rowOff>0</xdr:rowOff>
    </xdr:to>
    <xdr:cxnSp macro="">
      <xdr:nvCxnSpPr>
        <xdr:cNvPr id="2" name="Straight Connector 7">
          <a:extLst>
            <a:ext uri="{FF2B5EF4-FFF2-40B4-BE49-F238E27FC236}">
              <a16:creationId xmlns:a16="http://schemas.microsoft.com/office/drawing/2014/main" id="{FC2D43C3-7935-4DA0-B927-BFC892A9DDAA}"/>
            </a:ext>
          </a:extLst>
        </xdr:cNvPr>
        <xdr:cNvCxnSpPr/>
      </xdr:nvCxnSpPr>
      <xdr:spPr>
        <a:xfrm>
          <a:off x="12185374" y="185530"/>
          <a:ext cx="0" cy="7083287"/>
        </a:xfrm>
        <a:prstGeom prst="line">
          <a:avLst/>
        </a:prstGeom>
        <a:ln w="6350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þ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29"/>
  <sheetViews>
    <sheetView topLeftCell="D1" workbookViewId="0">
      <selection activeCell="L3" sqref="L3"/>
    </sheetView>
  </sheetViews>
  <sheetFormatPr defaultRowHeight="14.4" x14ac:dyDescent="0.3"/>
  <cols>
    <col min="2" max="2" width="31.33203125" customWidth="1"/>
    <col min="3" max="3" width="22.109375" customWidth="1"/>
    <col min="4" max="4" width="28.33203125" customWidth="1"/>
    <col min="5" max="5" width="19.109375" customWidth="1"/>
    <col min="6" max="6" width="21.44140625" customWidth="1"/>
    <col min="12" max="12" width="13.88671875" customWidth="1"/>
  </cols>
  <sheetData>
    <row r="1" spans="2:13" ht="21" x14ac:dyDescent="0.4">
      <c r="K1" s="42" t="s">
        <v>19</v>
      </c>
      <c r="L1" s="42"/>
    </row>
    <row r="2" spans="2:13" ht="24.6" x14ac:dyDescent="0.3">
      <c r="B2" s="43" t="s">
        <v>128</v>
      </c>
      <c r="C2" s="43"/>
      <c r="K2" s="1" t="s">
        <v>0</v>
      </c>
      <c r="L2" s="1">
        <v>400.96</v>
      </c>
    </row>
    <row r="3" spans="2:13" x14ac:dyDescent="0.3">
      <c r="K3" s="1" t="s">
        <v>1</v>
      </c>
      <c r="L3" s="2">
        <v>7432.3057939999999</v>
      </c>
      <c r="M3" t="s">
        <v>59</v>
      </c>
    </row>
    <row r="4" spans="2:13" x14ac:dyDescent="0.3">
      <c r="K4" s="1" t="s">
        <v>2</v>
      </c>
      <c r="L4" s="2">
        <f>L3*L2</f>
        <v>2980057.3311622399</v>
      </c>
    </row>
    <row r="5" spans="2:13" x14ac:dyDescent="0.3">
      <c r="K5" s="1" t="s">
        <v>3</v>
      </c>
      <c r="L5" s="2">
        <f>80021+14807</f>
        <v>94828</v>
      </c>
      <c r="M5" t="s">
        <v>59</v>
      </c>
    </row>
    <row r="6" spans="2:13" x14ac:dyDescent="0.3">
      <c r="K6" s="1" t="s">
        <v>4</v>
      </c>
      <c r="L6" s="2">
        <f>20535+2249+42658</f>
        <v>65442</v>
      </c>
      <c r="M6" t="s">
        <v>59</v>
      </c>
    </row>
    <row r="7" spans="2:13" x14ac:dyDescent="0.3">
      <c r="K7" s="1" t="s">
        <v>5</v>
      </c>
      <c r="L7" s="2">
        <f>L4-L5+L6</f>
        <v>2950671.3311622399</v>
      </c>
    </row>
    <row r="8" spans="2:13" x14ac:dyDescent="0.3">
      <c r="K8" s="1" t="s">
        <v>6</v>
      </c>
      <c r="L8" s="2">
        <f>L5-L6</f>
        <v>29386</v>
      </c>
    </row>
    <row r="9" spans="2:13" x14ac:dyDescent="0.3">
      <c r="K9" s="1"/>
      <c r="L9" s="1"/>
    </row>
    <row r="10" spans="2:13" x14ac:dyDescent="0.3">
      <c r="K10" s="1" t="s">
        <v>7</v>
      </c>
      <c r="L10" s="1" t="s">
        <v>20</v>
      </c>
    </row>
    <row r="14" spans="2:13" ht="17.399999999999999" x14ac:dyDescent="0.3">
      <c r="B14" s="23" t="s">
        <v>127</v>
      </c>
    </row>
    <row r="15" spans="2:13" x14ac:dyDescent="0.3">
      <c r="B15" s="6" t="s">
        <v>118</v>
      </c>
      <c r="C15" s="6" t="s">
        <v>122</v>
      </c>
      <c r="D15" s="6" t="s">
        <v>123</v>
      </c>
      <c r="E15" s="6" t="s">
        <v>129</v>
      </c>
      <c r="F15" s="6" t="s">
        <v>130</v>
      </c>
    </row>
    <row r="16" spans="2:13" ht="43.2" x14ac:dyDescent="0.3">
      <c r="B16" s="21" t="s">
        <v>119</v>
      </c>
      <c r="C16" s="22">
        <f>19200/62020</f>
        <v>0.309577555627217</v>
      </c>
      <c r="D16" s="20" t="s">
        <v>124</v>
      </c>
      <c r="E16" s="26">
        <v>0.13</v>
      </c>
      <c r="F16" s="20" t="s">
        <v>131</v>
      </c>
    </row>
    <row r="17" spans="2:6" ht="43.2" x14ac:dyDescent="0.3">
      <c r="B17" s="21" t="s">
        <v>120</v>
      </c>
      <c r="C17" s="22">
        <f>25900/62020</f>
        <v>0.41760722347629797</v>
      </c>
      <c r="D17" s="20" t="s">
        <v>125</v>
      </c>
      <c r="E17" s="26">
        <v>0.2</v>
      </c>
      <c r="F17" s="20" t="s">
        <v>133</v>
      </c>
    </row>
    <row r="18" spans="2:6" ht="43.2" x14ac:dyDescent="0.3">
      <c r="B18" s="21" t="s">
        <v>121</v>
      </c>
      <c r="C18" s="22">
        <f>16900/62010</f>
        <v>0.27253668763102723</v>
      </c>
      <c r="D18" s="20" t="s">
        <v>126</v>
      </c>
      <c r="E18" s="26">
        <v>0.19</v>
      </c>
      <c r="F18" s="20" t="s">
        <v>132</v>
      </c>
    </row>
    <row r="21" spans="2:6" ht="17.399999999999999" x14ac:dyDescent="0.3">
      <c r="B21" s="24" t="s">
        <v>21</v>
      </c>
    </row>
    <row r="22" spans="2:6" x14ac:dyDescent="0.3">
      <c r="B22" s="6" t="s">
        <v>22</v>
      </c>
      <c r="C22" s="6" t="s">
        <v>23</v>
      </c>
      <c r="D22" s="6" t="s">
        <v>24</v>
      </c>
    </row>
    <row r="23" spans="2:6" x14ac:dyDescent="0.3">
      <c r="B23" s="1" t="s">
        <v>20</v>
      </c>
      <c r="C23" s="1" t="s">
        <v>7</v>
      </c>
      <c r="D23" s="19">
        <v>55</v>
      </c>
    </row>
    <row r="24" spans="2:6" x14ac:dyDescent="0.3">
      <c r="B24" s="1" t="s">
        <v>25</v>
      </c>
      <c r="C24" s="1" t="s">
        <v>26</v>
      </c>
      <c r="D24" s="19">
        <v>50</v>
      </c>
    </row>
    <row r="25" spans="2:6" x14ac:dyDescent="0.3">
      <c r="B25" s="1" t="s">
        <v>27</v>
      </c>
      <c r="C25" s="1" t="s">
        <v>32</v>
      </c>
      <c r="D25" s="19">
        <v>53</v>
      </c>
    </row>
    <row r="26" spans="2:6" x14ac:dyDescent="0.3">
      <c r="B26" s="1" t="s">
        <v>28</v>
      </c>
      <c r="C26" s="1" t="s">
        <v>33</v>
      </c>
      <c r="D26" s="19">
        <v>57</v>
      </c>
    </row>
    <row r="27" spans="2:6" x14ac:dyDescent="0.3">
      <c r="B27" s="1" t="s">
        <v>29</v>
      </c>
      <c r="C27" s="1" t="s">
        <v>34</v>
      </c>
      <c r="D27" s="19">
        <v>51</v>
      </c>
    </row>
    <row r="28" spans="2:6" x14ac:dyDescent="0.3">
      <c r="B28" s="1" t="s">
        <v>30</v>
      </c>
      <c r="C28" s="1" t="s">
        <v>35</v>
      </c>
      <c r="D28" s="19">
        <v>64</v>
      </c>
    </row>
    <row r="29" spans="2:6" x14ac:dyDescent="0.3">
      <c r="B29" s="1" t="s">
        <v>31</v>
      </c>
      <c r="C29" s="1" t="s">
        <v>36</v>
      </c>
      <c r="D29" s="19">
        <v>51</v>
      </c>
    </row>
  </sheetData>
  <mergeCells count="2">
    <mergeCell ref="K1:L1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IH100"/>
  <sheetViews>
    <sheetView tabSelected="1" zoomScale="115" zoomScaleNormal="115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L45" sqref="AL45"/>
    </sheetView>
  </sheetViews>
  <sheetFormatPr defaultRowHeight="14.4" x14ac:dyDescent="0.3"/>
  <cols>
    <col min="1" max="1" width="6.6640625" customWidth="1"/>
    <col min="2" max="2" width="19.88671875" customWidth="1"/>
    <col min="42" max="42" width="10" bestFit="1" customWidth="1"/>
  </cols>
  <sheetData>
    <row r="1" spans="1:47" x14ac:dyDescent="0.3">
      <c r="A1" s="5" t="s">
        <v>18</v>
      </c>
      <c r="C1" s="12" t="s">
        <v>88</v>
      </c>
      <c r="D1" s="12" t="s">
        <v>87</v>
      </c>
      <c r="E1" s="12" t="s">
        <v>89</v>
      </c>
      <c r="F1" s="12" t="s">
        <v>86</v>
      </c>
      <c r="G1" s="12" t="s">
        <v>88</v>
      </c>
      <c r="H1" s="12" t="s">
        <v>87</v>
      </c>
      <c r="I1" s="12" t="s">
        <v>89</v>
      </c>
      <c r="J1" s="12" t="s">
        <v>86</v>
      </c>
      <c r="K1" s="12" t="s">
        <v>88</v>
      </c>
      <c r="L1" s="12" t="s">
        <v>87</v>
      </c>
      <c r="M1" s="12" t="s">
        <v>89</v>
      </c>
      <c r="N1" s="12" t="s">
        <v>86</v>
      </c>
      <c r="O1" s="12" t="s">
        <v>88</v>
      </c>
      <c r="P1" s="12" t="s">
        <v>87</v>
      </c>
      <c r="Q1" s="12" t="s">
        <v>89</v>
      </c>
      <c r="R1" s="12" t="s">
        <v>86</v>
      </c>
      <c r="S1" s="12" t="s">
        <v>88</v>
      </c>
      <c r="T1" s="12" t="s">
        <v>87</v>
      </c>
      <c r="U1" s="12" t="s">
        <v>89</v>
      </c>
      <c r="V1" s="12" t="s">
        <v>86</v>
      </c>
      <c r="W1" s="12" t="s">
        <v>88</v>
      </c>
      <c r="X1" s="12" t="s">
        <v>87</v>
      </c>
      <c r="Y1" s="12" t="s">
        <v>89</v>
      </c>
      <c r="AA1" s="12" t="s">
        <v>87</v>
      </c>
      <c r="AB1" s="12" t="s">
        <v>87</v>
      </c>
      <c r="AC1" s="12" t="s">
        <v>87</v>
      </c>
      <c r="AD1" s="12" t="s">
        <v>87</v>
      </c>
      <c r="AE1" s="12" t="s">
        <v>87</v>
      </c>
      <c r="AF1" s="12" t="s">
        <v>87</v>
      </c>
      <c r="AG1" s="12" t="s">
        <v>87</v>
      </c>
      <c r="AH1" s="12" t="s">
        <v>87</v>
      </c>
      <c r="AI1" s="12" t="s">
        <v>87</v>
      </c>
    </row>
    <row r="2" spans="1:47" s="4" customFormat="1" x14ac:dyDescent="0.3">
      <c r="C2" s="4" t="s">
        <v>63</v>
      </c>
      <c r="D2" s="4" t="s">
        <v>64</v>
      </c>
      <c r="E2" s="4" t="s">
        <v>60</v>
      </c>
      <c r="F2" s="4" t="s">
        <v>61</v>
      </c>
      <c r="G2" s="4" t="s">
        <v>62</v>
      </c>
      <c r="H2" s="4" t="s">
        <v>15</v>
      </c>
      <c r="I2" s="4" t="s">
        <v>16</v>
      </c>
      <c r="J2" s="4" t="s">
        <v>17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9</v>
      </c>
      <c r="P2" s="4" t="s">
        <v>10</v>
      </c>
      <c r="Q2" s="4" t="s">
        <v>57</v>
      </c>
      <c r="R2" s="4" t="s">
        <v>58</v>
      </c>
      <c r="S2" s="4" t="s">
        <v>59</v>
      </c>
      <c r="T2" s="4" t="s">
        <v>8</v>
      </c>
      <c r="U2" s="4" t="s">
        <v>141</v>
      </c>
      <c r="V2" s="4" t="s">
        <v>142</v>
      </c>
      <c r="W2" s="4" t="s">
        <v>143</v>
      </c>
      <c r="X2" s="4" t="s">
        <v>144</v>
      </c>
      <c r="Z2" s="4">
        <v>2021</v>
      </c>
      <c r="AA2" s="4">
        <v>2022</v>
      </c>
      <c r="AB2" s="4">
        <v>2023</v>
      </c>
      <c r="AC2" s="4">
        <v>2024</v>
      </c>
      <c r="AD2" s="4">
        <v>2025</v>
      </c>
      <c r="AE2" s="4">
        <v>2026</v>
      </c>
      <c r="AF2" s="4">
        <v>2027</v>
      </c>
      <c r="AG2" s="4">
        <v>2028</v>
      </c>
      <c r="AH2" s="4">
        <v>2029</v>
      </c>
      <c r="AI2" s="4">
        <v>2030</v>
      </c>
      <c r="AJ2" s="4">
        <v>2031</v>
      </c>
      <c r="AK2" s="4">
        <v>2032</v>
      </c>
      <c r="AL2" s="4">
        <v>2033</v>
      </c>
      <c r="AM2" s="4">
        <v>2034</v>
      </c>
      <c r="AN2" s="4">
        <v>2035</v>
      </c>
      <c r="AO2" s="4">
        <v>2036</v>
      </c>
      <c r="AP2" s="4">
        <v>2037</v>
      </c>
      <c r="AQ2" s="4">
        <v>2038</v>
      </c>
      <c r="AR2" s="4">
        <v>2039</v>
      </c>
      <c r="AS2" s="4">
        <v>2040</v>
      </c>
      <c r="AT2" s="4">
        <v>2041</v>
      </c>
      <c r="AU2" s="4">
        <v>2042</v>
      </c>
    </row>
    <row r="3" spans="1:47" s="3" customFormat="1" x14ac:dyDescent="0.3">
      <c r="B3" s="3" t="s">
        <v>134</v>
      </c>
      <c r="K3" s="3">
        <v>15789</v>
      </c>
      <c r="L3" s="3">
        <v>16600</v>
      </c>
      <c r="M3" s="3">
        <v>16465</v>
      </c>
      <c r="N3" s="3">
        <v>17002</v>
      </c>
      <c r="O3" s="3">
        <v>17516</v>
      </c>
      <c r="P3" s="3">
        <v>18291</v>
      </c>
      <c r="Q3" s="3">
        <v>18592</v>
      </c>
      <c r="R3" s="3">
        <v>19249</v>
      </c>
      <c r="S3" s="3">
        <v>19570</v>
      </c>
      <c r="T3" s="3">
        <f t="shared" ref="T3:X3" si="0">S3*1.03</f>
        <v>20157.100000000002</v>
      </c>
      <c r="U3" s="3">
        <f t="shared" si="0"/>
        <v>20761.813000000002</v>
      </c>
      <c r="V3" s="3">
        <f t="shared" si="0"/>
        <v>21384.667390000002</v>
      </c>
      <c r="W3" s="3">
        <f t="shared" si="0"/>
        <v>22026.207411700005</v>
      </c>
      <c r="X3" s="3">
        <f t="shared" si="0"/>
        <v>22686.993634051007</v>
      </c>
    </row>
    <row r="4" spans="1:47" s="3" customFormat="1" x14ac:dyDescent="0.3">
      <c r="B4" s="3" t="s">
        <v>135</v>
      </c>
      <c r="K4" s="3">
        <v>18987</v>
      </c>
      <c r="L4" s="3">
        <v>20804</v>
      </c>
      <c r="M4" s="3">
        <v>20325</v>
      </c>
      <c r="N4" s="3">
        <v>21508</v>
      </c>
      <c r="O4" s="3">
        <v>22081</v>
      </c>
      <c r="P4" s="3">
        <v>23993</v>
      </c>
      <c r="Q4" s="3">
        <v>24259</v>
      </c>
      <c r="R4" s="3">
        <v>25880</v>
      </c>
      <c r="S4" s="3">
        <v>26708</v>
      </c>
      <c r="T4" s="3">
        <f>S4*1.05</f>
        <v>28043.4</v>
      </c>
      <c r="U4" s="3">
        <f>T4*1.05</f>
        <v>29445.570000000003</v>
      </c>
      <c r="V4" s="3">
        <f>U4*1.05</f>
        <v>30917.848500000004</v>
      </c>
      <c r="W4" s="3">
        <f>V4*1.04</f>
        <v>32154.562440000005</v>
      </c>
      <c r="X4" s="3">
        <f>W4*1.04</f>
        <v>33440.744937600008</v>
      </c>
    </row>
    <row r="5" spans="1:47" s="3" customFormat="1" x14ac:dyDescent="0.3">
      <c r="B5" s="3" t="s">
        <v>136</v>
      </c>
      <c r="K5" s="3">
        <v>14584</v>
      </c>
      <c r="L5" s="3">
        <v>14461</v>
      </c>
      <c r="M5" s="3">
        <v>13332</v>
      </c>
      <c r="N5" s="3">
        <v>14237</v>
      </c>
      <c r="O5" s="3">
        <v>13260</v>
      </c>
      <c r="P5" s="3">
        <v>13905</v>
      </c>
      <c r="Q5" s="3">
        <v>13666</v>
      </c>
      <c r="R5" s="3">
        <v>16891</v>
      </c>
      <c r="S5" s="3">
        <v>15580</v>
      </c>
      <c r="T5" s="3">
        <f>S5*1.01</f>
        <v>15735.8</v>
      </c>
      <c r="U5" s="3">
        <f>T5*0.99</f>
        <v>15578.441999999999</v>
      </c>
      <c r="V5" s="3">
        <f>U5*1.02</f>
        <v>15890.010839999999</v>
      </c>
      <c r="W5" s="3">
        <f>V5*0.99</f>
        <v>15731.1107316</v>
      </c>
      <c r="X5" s="3">
        <f>W5*1.01</f>
        <v>15888.421838916</v>
      </c>
    </row>
    <row r="6" spans="1:47" s="9" customFormat="1" ht="15" thickBot="1" x14ac:dyDescent="0.35">
      <c r="B6" s="9" t="s">
        <v>137</v>
      </c>
      <c r="K6" s="9">
        <f>SUM(K3:K5)</f>
        <v>49360</v>
      </c>
      <c r="L6" s="9">
        <f>SUM(L3:L5)</f>
        <v>51865</v>
      </c>
      <c r="M6" s="9">
        <f>SUM(M3:M5)</f>
        <v>50122</v>
      </c>
      <c r="N6" s="9">
        <f t="shared" ref="N6:Q6" si="1">SUM(N3:N5)</f>
        <v>52747</v>
      </c>
      <c r="O6" s="9">
        <f t="shared" si="1"/>
        <v>52857</v>
      </c>
      <c r="P6" s="9">
        <f t="shared" si="1"/>
        <v>56189</v>
      </c>
      <c r="Q6" s="9">
        <f t="shared" si="1"/>
        <v>56517</v>
      </c>
      <c r="R6" s="9">
        <f>SUM(R3:R5)</f>
        <v>62020</v>
      </c>
      <c r="S6" s="9">
        <f>SUM(S3:S5)</f>
        <v>61858</v>
      </c>
      <c r="T6" s="9">
        <f>SUM(T3:T5)</f>
        <v>63936.3</v>
      </c>
      <c r="U6" s="9">
        <f t="shared" ref="U6:X6" si="2">SUM(U3:U5)</f>
        <v>65785.824999999997</v>
      </c>
      <c r="V6" s="9">
        <f t="shared" si="2"/>
        <v>68192.526730000012</v>
      </c>
      <c r="W6" s="9">
        <f t="shared" si="2"/>
        <v>69911.880583300008</v>
      </c>
      <c r="X6" s="9">
        <f t="shared" si="2"/>
        <v>72016.160410567012</v>
      </c>
    </row>
    <row r="7" spans="1:47" s="7" customFormat="1" ht="15" thickTop="1" x14ac:dyDescent="0.3">
      <c r="B7" s="7" t="s">
        <v>138</v>
      </c>
      <c r="K7" s="38"/>
      <c r="L7" s="38">
        <f t="shared" ref="L7:Q9" si="3">L3/K3-1</f>
        <v>5.1364874279561823E-2</v>
      </c>
      <c r="M7" s="38">
        <f t="shared" si="3"/>
        <v>-8.1325301204818734E-3</v>
      </c>
      <c r="N7" s="38">
        <f t="shared" si="3"/>
        <v>3.261463710901924E-2</v>
      </c>
      <c r="O7" s="38">
        <f t="shared" si="3"/>
        <v>3.0231737442653728E-2</v>
      </c>
      <c r="P7" s="38">
        <f t="shared" si="3"/>
        <v>4.4245261475222675E-2</v>
      </c>
      <c r="Q7" s="38">
        <f t="shared" si="3"/>
        <v>1.64561806352852E-2</v>
      </c>
      <c r="R7" s="38">
        <f>R3/Q3-1</f>
        <v>3.5337779690189253E-2</v>
      </c>
    </row>
    <row r="8" spans="1:47" s="7" customFormat="1" x14ac:dyDescent="0.3">
      <c r="B8" s="7" t="s">
        <v>139</v>
      </c>
      <c r="K8" s="38"/>
      <c r="L8" s="38">
        <f t="shared" si="3"/>
        <v>9.5697055880339166E-2</v>
      </c>
      <c r="M8" s="38">
        <f t="shared" si="3"/>
        <v>-2.3024418381080602E-2</v>
      </c>
      <c r="N8" s="38">
        <f t="shared" si="3"/>
        <v>5.8204182041820429E-2</v>
      </c>
      <c r="O8" s="38">
        <f t="shared" si="3"/>
        <v>2.6641249767528352E-2</v>
      </c>
      <c r="P8" s="38">
        <f t="shared" si="3"/>
        <v>8.6590281237262756E-2</v>
      </c>
      <c r="Q8" s="38">
        <f t="shared" si="3"/>
        <v>1.1086566915350371E-2</v>
      </c>
      <c r="R8" s="38">
        <f t="shared" ref="R8:R9" si="4">R4/Q4-1</f>
        <v>6.682056144111459E-2</v>
      </c>
    </row>
    <row r="9" spans="1:47" s="36" customFormat="1" ht="15" thickBot="1" x14ac:dyDescent="0.35">
      <c r="B9" s="37" t="s">
        <v>140</v>
      </c>
      <c r="K9" s="39"/>
      <c r="L9" s="39">
        <f t="shared" si="3"/>
        <v>-8.4339001645639122E-3</v>
      </c>
      <c r="M9" s="39">
        <f t="shared" si="3"/>
        <v>-7.8072055874420898E-2</v>
      </c>
      <c r="N9" s="39">
        <f t="shared" si="3"/>
        <v>6.7881788178817848E-2</v>
      </c>
      <c r="O9" s="39">
        <f t="shared" si="3"/>
        <v>-6.8624007866825876E-2</v>
      </c>
      <c r="P9" s="39">
        <f t="shared" si="3"/>
        <v>4.8642533936651633E-2</v>
      </c>
      <c r="Q9" s="39">
        <f t="shared" si="3"/>
        <v>-1.7188061848256053E-2</v>
      </c>
      <c r="R9" s="39">
        <f t="shared" si="4"/>
        <v>0.23598712132299138</v>
      </c>
    </row>
    <row r="10" spans="1:47" s="3" customFormat="1" x14ac:dyDescent="0.3">
      <c r="B10" s="3" t="s">
        <v>38</v>
      </c>
      <c r="K10" s="3">
        <v>17366</v>
      </c>
      <c r="L10" s="3">
        <v>17956</v>
      </c>
      <c r="M10" s="3">
        <v>15741</v>
      </c>
      <c r="N10" s="3">
        <v>16517</v>
      </c>
      <c r="O10" s="3">
        <v>15588</v>
      </c>
      <c r="P10" s="3">
        <v>16853</v>
      </c>
      <c r="Q10" s="3">
        <v>15535</v>
      </c>
      <c r="R10" s="3">
        <v>18941</v>
      </c>
      <c r="S10" s="3">
        <v>17080</v>
      </c>
      <c r="AA10" s="3">
        <f t="shared" ref="AA10:AA25" si="5">SUM(K10:N10)</f>
        <v>67580</v>
      </c>
      <c r="AB10" s="3">
        <f t="shared" ref="AB10:AB25" si="6">SUM(O10:R10)</f>
        <v>66917</v>
      </c>
    </row>
    <row r="11" spans="1:47" s="3" customFormat="1" x14ac:dyDescent="0.3">
      <c r="B11" s="3" t="s">
        <v>37</v>
      </c>
      <c r="K11" s="3">
        <v>31994</v>
      </c>
      <c r="L11" s="3">
        <v>33909</v>
      </c>
      <c r="M11" s="3">
        <v>34381</v>
      </c>
      <c r="N11" s="3">
        <v>36230</v>
      </c>
      <c r="O11" s="3">
        <v>37269</v>
      </c>
      <c r="P11" s="3">
        <v>39336</v>
      </c>
      <c r="Q11" s="3">
        <v>40982</v>
      </c>
      <c r="R11" s="3">
        <v>43079</v>
      </c>
      <c r="S11" s="3">
        <v>44778</v>
      </c>
      <c r="AA11" s="3">
        <f t="shared" si="5"/>
        <v>136514</v>
      </c>
      <c r="AB11" s="3">
        <f t="shared" si="6"/>
        <v>160666</v>
      </c>
    </row>
    <row r="12" spans="1:47" s="8" customFormat="1" x14ac:dyDescent="0.3">
      <c r="B12" s="8" t="s">
        <v>39</v>
      </c>
      <c r="K12" s="8">
        <f t="shared" ref="K12:S12" si="7">K10+K11</f>
        <v>49360</v>
      </c>
      <c r="L12" s="8">
        <f t="shared" si="7"/>
        <v>51865</v>
      </c>
      <c r="M12" s="8">
        <f t="shared" si="7"/>
        <v>50122</v>
      </c>
      <c r="N12" s="8">
        <f t="shared" si="7"/>
        <v>52747</v>
      </c>
      <c r="O12" s="8">
        <f t="shared" si="7"/>
        <v>52857</v>
      </c>
      <c r="P12" s="8">
        <f t="shared" si="7"/>
        <v>56189</v>
      </c>
      <c r="Q12" s="8">
        <f t="shared" si="7"/>
        <v>56517</v>
      </c>
      <c r="R12" s="8">
        <f t="shared" si="7"/>
        <v>62020</v>
      </c>
      <c r="S12" s="8">
        <f t="shared" si="7"/>
        <v>61858</v>
      </c>
      <c r="T12" s="8">
        <v>65572</v>
      </c>
      <c r="U12" s="8">
        <v>67428</v>
      </c>
      <c r="V12" s="8">
        <v>69877</v>
      </c>
      <c r="W12" s="8">
        <v>71603</v>
      </c>
      <c r="X12" s="8">
        <v>73738</v>
      </c>
      <c r="AA12" s="8">
        <f t="shared" si="5"/>
        <v>204094</v>
      </c>
      <c r="AB12" s="8">
        <f t="shared" si="6"/>
        <v>227583</v>
      </c>
      <c r="AC12" s="8">
        <f>SUM(Q12:T12)</f>
        <v>245967</v>
      </c>
      <c r="AD12" s="8">
        <f>SUM(U12:X12)</f>
        <v>282646</v>
      </c>
      <c r="AE12" s="8">
        <f>AD12*1.05</f>
        <v>296778.3</v>
      </c>
      <c r="AF12" s="8">
        <f>AE12*1.01</f>
        <v>299746.08299999998</v>
      </c>
      <c r="AG12" s="8">
        <f>AF12*1.05</f>
        <v>314733.38715000002</v>
      </c>
      <c r="AH12" s="8">
        <f>AG12*1.07</f>
        <v>336764.72425050003</v>
      </c>
      <c r="AI12" s="8">
        <f>AH12*1.05</f>
        <v>353602.96046302503</v>
      </c>
      <c r="AJ12" s="8">
        <f>AI12*1.03</f>
        <v>364211.04927691579</v>
      </c>
      <c r="AK12" s="8">
        <f>AJ12*1.05</f>
        <v>382421.6017407616</v>
      </c>
      <c r="AL12" s="8">
        <f>AK12*1.04</f>
        <v>397718.46581039205</v>
      </c>
      <c r="AM12" s="8">
        <f>AL12*1.03</f>
        <v>409650.01978470385</v>
      </c>
      <c r="AN12" s="8">
        <f>AM12*1.025</f>
        <v>419891.27027932141</v>
      </c>
    </row>
    <row r="13" spans="1:47" s="3" customFormat="1" hidden="1" x14ac:dyDescent="0.3">
      <c r="B13" s="3" t="s">
        <v>38</v>
      </c>
      <c r="K13" s="3">
        <v>4584</v>
      </c>
      <c r="L13" s="3">
        <v>4357</v>
      </c>
      <c r="M13" s="3">
        <v>4302</v>
      </c>
      <c r="N13" s="3">
        <v>5690</v>
      </c>
      <c r="O13" s="3">
        <v>3941</v>
      </c>
      <c r="P13" s="3">
        <v>3871</v>
      </c>
      <c r="Q13" s="3">
        <v>3531</v>
      </c>
      <c r="R13" s="3">
        <v>5964</v>
      </c>
      <c r="AA13" s="3">
        <f t="shared" si="5"/>
        <v>18933</v>
      </c>
      <c r="AB13" s="3">
        <f t="shared" si="6"/>
        <v>17307</v>
      </c>
    </row>
    <row r="14" spans="1:47" s="3" customFormat="1" hidden="1" x14ac:dyDescent="0.3">
      <c r="B14" s="3" t="s">
        <v>37</v>
      </c>
      <c r="K14" s="3">
        <v>11031</v>
      </c>
      <c r="L14" s="3">
        <v>12072</v>
      </c>
      <c r="M14" s="3">
        <v>11150</v>
      </c>
      <c r="N14" s="3">
        <v>11798</v>
      </c>
      <c r="O14" s="3">
        <v>12187</v>
      </c>
      <c r="P14" s="3">
        <v>12924</v>
      </c>
      <c r="Q14" s="3">
        <v>12771</v>
      </c>
      <c r="R14" s="3">
        <v>13659</v>
      </c>
      <c r="AA14" s="3">
        <f t="shared" si="5"/>
        <v>46051</v>
      </c>
      <c r="AB14" s="3">
        <f t="shared" si="6"/>
        <v>51541</v>
      </c>
    </row>
    <row r="15" spans="1:47" s="8" customFormat="1" x14ac:dyDescent="0.3">
      <c r="B15" s="8" t="s">
        <v>40</v>
      </c>
      <c r="K15" s="8">
        <f t="shared" ref="K15:R15" si="8">K13+K14</f>
        <v>15615</v>
      </c>
      <c r="L15" s="8">
        <f t="shared" si="8"/>
        <v>16429</v>
      </c>
      <c r="M15" s="8">
        <f t="shared" si="8"/>
        <v>15452</v>
      </c>
      <c r="N15" s="8">
        <f t="shared" si="8"/>
        <v>17488</v>
      </c>
      <c r="O15" s="8">
        <f t="shared" si="8"/>
        <v>16128</v>
      </c>
      <c r="P15" s="8">
        <f t="shared" si="8"/>
        <v>16795</v>
      </c>
      <c r="Q15" s="8">
        <f t="shared" si="8"/>
        <v>16302</v>
      </c>
      <c r="R15" s="8">
        <f t="shared" si="8"/>
        <v>19623</v>
      </c>
      <c r="S15" s="8">
        <v>18505</v>
      </c>
      <c r="T15" s="8">
        <f t="shared" ref="T15:X15" si="9">T12-T16</f>
        <v>21638.759999999995</v>
      </c>
      <c r="U15" s="8">
        <f t="shared" si="9"/>
        <v>22251.239999999998</v>
      </c>
      <c r="V15" s="8">
        <f t="shared" si="9"/>
        <v>23059.409999999996</v>
      </c>
      <c r="W15" s="8">
        <f t="shared" si="9"/>
        <v>23628.989999999998</v>
      </c>
      <c r="X15" s="8">
        <f t="shared" si="9"/>
        <v>24333.539999999994</v>
      </c>
      <c r="AA15" s="8">
        <f t="shared" si="5"/>
        <v>64984</v>
      </c>
      <c r="AB15" s="8">
        <f t="shared" si="6"/>
        <v>68848</v>
      </c>
      <c r="AC15" s="8">
        <f>AC12-AC16</f>
        <v>76068.760000000009</v>
      </c>
      <c r="AD15" s="8">
        <f>SUM(U15:X15)</f>
        <v>93273.179999999978</v>
      </c>
      <c r="AE15" s="8">
        <f>AE12-AE16</f>
        <v>103872.405</v>
      </c>
      <c r="AF15" s="8">
        <f t="shared" ref="AF15:AN15" si="10">AF12-AF16</f>
        <v>104911.12904999999</v>
      </c>
      <c r="AG15" s="8">
        <f t="shared" si="10"/>
        <v>110156.68550250001</v>
      </c>
      <c r="AH15" s="8">
        <f t="shared" si="10"/>
        <v>117867.65348767501</v>
      </c>
      <c r="AI15" s="8">
        <f t="shared" si="10"/>
        <v>123761.03616205876</v>
      </c>
      <c r="AJ15" s="8">
        <f t="shared" si="10"/>
        <v>127473.8672469205</v>
      </c>
      <c r="AK15" s="8">
        <f t="shared" si="10"/>
        <v>133847.56060926654</v>
      </c>
      <c r="AL15" s="8">
        <f t="shared" si="10"/>
        <v>139201.46303363721</v>
      </c>
      <c r="AM15" s="8">
        <f t="shared" si="10"/>
        <v>143377.50692464632</v>
      </c>
      <c r="AN15" s="8">
        <f t="shared" si="10"/>
        <v>146961.94459776249</v>
      </c>
    </row>
    <row r="16" spans="1:47" s="8" customFormat="1" x14ac:dyDescent="0.3">
      <c r="B16" s="8" t="s">
        <v>41</v>
      </c>
      <c r="K16" s="8">
        <f t="shared" ref="K16:S16" si="11">K12-K15</f>
        <v>33745</v>
      </c>
      <c r="L16" s="8">
        <f t="shared" si="11"/>
        <v>35436</v>
      </c>
      <c r="M16" s="8">
        <f t="shared" si="11"/>
        <v>34670</v>
      </c>
      <c r="N16" s="8">
        <f t="shared" si="11"/>
        <v>35259</v>
      </c>
      <c r="O16" s="8">
        <f t="shared" si="11"/>
        <v>36729</v>
      </c>
      <c r="P16" s="8">
        <f t="shared" si="11"/>
        <v>39394</v>
      </c>
      <c r="Q16" s="8">
        <f t="shared" si="11"/>
        <v>40215</v>
      </c>
      <c r="R16" s="8">
        <f t="shared" si="11"/>
        <v>42397</v>
      </c>
      <c r="S16" s="8">
        <f t="shared" si="11"/>
        <v>43353</v>
      </c>
      <c r="T16" s="8">
        <f t="shared" ref="T16:X16" si="12">T12*0.67</f>
        <v>43933.240000000005</v>
      </c>
      <c r="U16" s="8">
        <f t="shared" si="12"/>
        <v>45176.76</v>
      </c>
      <c r="V16" s="8">
        <f t="shared" si="12"/>
        <v>46817.590000000004</v>
      </c>
      <c r="W16" s="8">
        <f t="shared" si="12"/>
        <v>47974.01</v>
      </c>
      <c r="X16" s="8">
        <f t="shared" si="12"/>
        <v>49404.460000000006</v>
      </c>
      <c r="AA16" s="8">
        <f t="shared" si="5"/>
        <v>139110</v>
      </c>
      <c r="AB16" s="8">
        <f t="shared" si="6"/>
        <v>158735</v>
      </c>
      <c r="AC16" s="8">
        <f t="shared" ref="AC16:AC25" si="13">SUM(Q16:T16)</f>
        <v>169898.23999999999</v>
      </c>
      <c r="AD16" s="8">
        <f>SUM(U16:X16)</f>
        <v>189372.82</v>
      </c>
      <c r="AE16" s="8">
        <f>AE12*0.65</f>
        <v>192905.89499999999</v>
      </c>
      <c r="AF16" s="8">
        <f t="shared" ref="AF16:AN16" si="14">AF12*0.65</f>
        <v>194834.95395</v>
      </c>
      <c r="AG16" s="8">
        <f t="shared" si="14"/>
        <v>204576.70164750001</v>
      </c>
      <c r="AH16" s="8">
        <f t="shared" si="14"/>
        <v>218897.07076282502</v>
      </c>
      <c r="AI16" s="8">
        <f t="shared" si="14"/>
        <v>229841.92430096626</v>
      </c>
      <c r="AJ16" s="8">
        <f t="shared" si="14"/>
        <v>236737.18202999528</v>
      </c>
      <c r="AK16" s="8">
        <f t="shared" si="14"/>
        <v>248574.04113149506</v>
      </c>
      <c r="AL16" s="8">
        <f t="shared" si="14"/>
        <v>258517.00277675485</v>
      </c>
      <c r="AM16" s="8">
        <f t="shared" si="14"/>
        <v>266272.51286005753</v>
      </c>
      <c r="AN16" s="8">
        <f t="shared" si="14"/>
        <v>272929.32568155893</v>
      </c>
    </row>
    <row r="17" spans="2:242" s="3" customFormat="1" x14ac:dyDescent="0.3">
      <c r="B17" s="3" t="s">
        <v>42</v>
      </c>
      <c r="K17" s="3">
        <v>6306</v>
      </c>
      <c r="L17" s="3">
        <v>6849</v>
      </c>
      <c r="M17" s="3">
        <v>6628</v>
      </c>
      <c r="N17" s="3">
        <v>6844</v>
      </c>
      <c r="O17" s="3">
        <v>6984</v>
      </c>
      <c r="P17" s="3">
        <v>6739</v>
      </c>
      <c r="Q17" s="3">
        <v>6659</v>
      </c>
      <c r="R17" s="3">
        <v>7142</v>
      </c>
      <c r="S17" s="3">
        <v>7653</v>
      </c>
      <c r="T17" s="3">
        <f t="shared" ref="T17:X19" si="15">P17</f>
        <v>6739</v>
      </c>
      <c r="U17" s="3">
        <f t="shared" si="15"/>
        <v>6659</v>
      </c>
      <c r="V17" s="3">
        <f t="shared" si="15"/>
        <v>7142</v>
      </c>
      <c r="W17" s="3">
        <f t="shared" si="15"/>
        <v>7653</v>
      </c>
      <c r="X17" s="3">
        <f t="shared" si="15"/>
        <v>6739</v>
      </c>
      <c r="AA17" s="3">
        <f t="shared" si="5"/>
        <v>26627</v>
      </c>
      <c r="AB17" s="3">
        <f t="shared" si="6"/>
        <v>27524</v>
      </c>
      <c r="AC17" s="3">
        <f t="shared" si="13"/>
        <v>28193</v>
      </c>
      <c r="AD17" s="3">
        <f>AC17*1.01</f>
        <v>28474.93</v>
      </c>
      <c r="AE17" s="3">
        <f t="shared" ref="AE17:AN17" si="16">AD17*1.01</f>
        <v>28759.6793</v>
      </c>
      <c r="AF17" s="3">
        <f t="shared" si="16"/>
        <v>29047.276093</v>
      </c>
      <c r="AG17" s="3">
        <f t="shared" si="16"/>
        <v>29337.748853929999</v>
      </c>
      <c r="AH17" s="3">
        <f t="shared" si="16"/>
        <v>29631.126342469299</v>
      </c>
      <c r="AI17" s="3">
        <f t="shared" si="16"/>
        <v>29927.437605893992</v>
      </c>
      <c r="AJ17" s="3">
        <f t="shared" si="16"/>
        <v>30226.711981952933</v>
      </c>
      <c r="AK17" s="3">
        <f t="shared" si="16"/>
        <v>30528.979101772464</v>
      </c>
      <c r="AL17" s="3">
        <f t="shared" si="16"/>
        <v>30834.268892790187</v>
      </c>
      <c r="AM17" s="3">
        <f t="shared" si="16"/>
        <v>31142.611581718091</v>
      </c>
      <c r="AN17" s="3">
        <f t="shared" si="16"/>
        <v>31454.03769753527</v>
      </c>
    </row>
    <row r="18" spans="2:242" s="3" customFormat="1" x14ac:dyDescent="0.3">
      <c r="B18" s="3" t="s">
        <v>43</v>
      </c>
      <c r="K18" s="3">
        <v>5595</v>
      </c>
      <c r="L18" s="3">
        <v>6304</v>
      </c>
      <c r="M18" s="3">
        <v>5126</v>
      </c>
      <c r="N18" s="3">
        <v>5679</v>
      </c>
      <c r="O18" s="3">
        <v>5750</v>
      </c>
      <c r="P18" s="3">
        <v>6204</v>
      </c>
      <c r="Q18" s="3">
        <v>5187</v>
      </c>
      <c r="R18" s="3">
        <v>6246</v>
      </c>
      <c r="S18" s="3">
        <v>6207</v>
      </c>
      <c r="T18" s="3">
        <f t="shared" si="15"/>
        <v>6204</v>
      </c>
      <c r="U18" s="3">
        <f t="shared" si="15"/>
        <v>5187</v>
      </c>
      <c r="V18" s="3">
        <f t="shared" si="15"/>
        <v>6246</v>
      </c>
      <c r="W18" s="3">
        <f t="shared" si="15"/>
        <v>6207</v>
      </c>
      <c r="X18" s="3">
        <f t="shared" si="15"/>
        <v>6204</v>
      </c>
      <c r="AA18" s="3">
        <f t="shared" si="5"/>
        <v>22704</v>
      </c>
      <c r="AB18" s="3">
        <f t="shared" si="6"/>
        <v>23387</v>
      </c>
      <c r="AC18" s="3">
        <f t="shared" si="13"/>
        <v>23844</v>
      </c>
      <c r="AD18" s="3">
        <f t="shared" ref="AD18:AD26" si="17">SUM(U18:X18)</f>
        <v>23844</v>
      </c>
      <c r="AE18" s="3">
        <f t="shared" ref="AE18:AN18" si="18">AD18*1.01</f>
        <v>24082.44</v>
      </c>
      <c r="AF18" s="3">
        <f t="shared" si="18"/>
        <v>24323.2644</v>
      </c>
      <c r="AG18" s="3">
        <f t="shared" si="18"/>
        <v>24566.497044</v>
      </c>
      <c r="AH18" s="3">
        <f t="shared" si="18"/>
        <v>24812.16201444</v>
      </c>
      <c r="AI18" s="3">
        <f t="shared" si="18"/>
        <v>25060.283634584401</v>
      </c>
      <c r="AJ18" s="3">
        <f t="shared" si="18"/>
        <v>25310.886470930243</v>
      </c>
      <c r="AK18" s="3">
        <f t="shared" si="18"/>
        <v>25563.995335639545</v>
      </c>
      <c r="AL18" s="3">
        <f t="shared" si="18"/>
        <v>25819.635288995942</v>
      </c>
      <c r="AM18" s="3">
        <f t="shared" si="18"/>
        <v>26077.831641885903</v>
      </c>
      <c r="AN18" s="3">
        <f t="shared" si="18"/>
        <v>26338.609958304762</v>
      </c>
    </row>
    <row r="19" spans="2:242" s="3" customFormat="1" x14ac:dyDescent="0.3">
      <c r="B19" s="3" t="s">
        <v>44</v>
      </c>
      <c r="K19" s="3">
        <v>1480</v>
      </c>
      <c r="L19" s="3">
        <v>1749</v>
      </c>
      <c r="M19" s="3">
        <v>1398</v>
      </c>
      <c r="N19" s="3">
        <v>2337</v>
      </c>
      <c r="O19" s="3">
        <v>1643</v>
      </c>
      <c r="P19" s="3">
        <v>2197</v>
      </c>
      <c r="Q19" s="3">
        <v>1474</v>
      </c>
      <c r="R19" s="3">
        <v>1977</v>
      </c>
      <c r="S19" s="3">
        <v>1912</v>
      </c>
      <c r="T19" s="3">
        <f t="shared" si="15"/>
        <v>2197</v>
      </c>
      <c r="U19" s="3">
        <f t="shared" si="15"/>
        <v>1474</v>
      </c>
      <c r="V19" s="3">
        <f t="shared" si="15"/>
        <v>1977</v>
      </c>
      <c r="W19" s="3">
        <f t="shared" si="15"/>
        <v>1912</v>
      </c>
      <c r="X19" s="3">
        <f t="shared" si="15"/>
        <v>2197</v>
      </c>
      <c r="AA19" s="3">
        <f t="shared" si="5"/>
        <v>6964</v>
      </c>
      <c r="AB19" s="3">
        <f t="shared" si="6"/>
        <v>7291</v>
      </c>
      <c r="AC19" s="3">
        <f t="shared" si="13"/>
        <v>7560</v>
      </c>
      <c r="AD19" s="3">
        <f t="shared" si="17"/>
        <v>7560</v>
      </c>
      <c r="AE19" s="3">
        <f t="shared" ref="AE19:AN19" si="19">AD19*1.01</f>
        <v>7635.6</v>
      </c>
      <c r="AF19" s="3">
        <f t="shared" si="19"/>
        <v>7711.9560000000001</v>
      </c>
      <c r="AG19" s="3">
        <f t="shared" si="19"/>
        <v>7789.0755600000002</v>
      </c>
      <c r="AH19" s="3">
        <f t="shared" si="19"/>
        <v>7866.9663156000006</v>
      </c>
      <c r="AI19" s="3">
        <f t="shared" si="19"/>
        <v>7945.6359787560004</v>
      </c>
      <c r="AJ19" s="3">
        <f t="shared" si="19"/>
        <v>8025.0923385435608</v>
      </c>
      <c r="AK19" s="3">
        <f t="shared" si="19"/>
        <v>8105.3432619289961</v>
      </c>
      <c r="AL19" s="3">
        <f t="shared" si="19"/>
        <v>8186.3966945482862</v>
      </c>
      <c r="AM19" s="3">
        <f t="shared" si="19"/>
        <v>8268.2606614937686</v>
      </c>
      <c r="AN19" s="3">
        <f t="shared" si="19"/>
        <v>8350.9432681087055</v>
      </c>
    </row>
    <row r="20" spans="2:242" s="8" customFormat="1" x14ac:dyDescent="0.3">
      <c r="B20" s="8" t="s">
        <v>45</v>
      </c>
      <c r="K20" s="8">
        <f t="shared" ref="K20:S20" si="20">K16-K17-K18-K19</f>
        <v>20364</v>
      </c>
      <c r="L20" s="8">
        <f t="shared" si="20"/>
        <v>20534</v>
      </c>
      <c r="M20" s="8">
        <f t="shared" si="20"/>
        <v>21518</v>
      </c>
      <c r="N20" s="8">
        <f t="shared" si="20"/>
        <v>20399</v>
      </c>
      <c r="O20" s="8">
        <f t="shared" si="20"/>
        <v>22352</v>
      </c>
      <c r="P20" s="8">
        <f t="shared" si="20"/>
        <v>24254</v>
      </c>
      <c r="Q20" s="8">
        <f t="shared" si="20"/>
        <v>26895</v>
      </c>
      <c r="R20" s="8">
        <f t="shared" si="20"/>
        <v>27032</v>
      </c>
      <c r="S20" s="8">
        <f t="shared" si="20"/>
        <v>27581</v>
      </c>
      <c r="T20" s="8">
        <f t="shared" ref="T20:X20" si="21">T16-T17-T18-T19</f>
        <v>28793.240000000005</v>
      </c>
      <c r="U20" s="8">
        <f t="shared" si="21"/>
        <v>31856.760000000002</v>
      </c>
      <c r="V20" s="8">
        <f t="shared" si="21"/>
        <v>31452.590000000004</v>
      </c>
      <c r="W20" s="8">
        <f t="shared" si="21"/>
        <v>32202.010000000002</v>
      </c>
      <c r="X20" s="8">
        <f t="shared" si="21"/>
        <v>34264.460000000006</v>
      </c>
      <c r="AA20" s="8">
        <f t="shared" si="5"/>
        <v>82815</v>
      </c>
      <c r="AB20" s="8">
        <f t="shared" si="6"/>
        <v>100533</v>
      </c>
      <c r="AC20" s="8">
        <f t="shared" si="13"/>
        <v>110301.24</v>
      </c>
      <c r="AD20" s="8">
        <f t="shared" si="17"/>
        <v>129775.82000000002</v>
      </c>
      <c r="AE20" s="8">
        <f>AE16-AE17-AE18-AE19</f>
        <v>132428.17569999999</v>
      </c>
      <c r="AF20" s="8">
        <f t="shared" ref="AF20:AN20" si="22">AF16-AF17-AF18-AF19</f>
        <v>133752.45745699998</v>
      </c>
      <c r="AG20" s="8">
        <f t="shared" si="22"/>
        <v>142883.38018957002</v>
      </c>
      <c r="AH20" s="8">
        <f t="shared" si="22"/>
        <v>156586.81609031573</v>
      </c>
      <c r="AI20" s="8">
        <f t="shared" si="22"/>
        <v>166908.56708173186</v>
      </c>
      <c r="AJ20" s="8">
        <f t="shared" si="22"/>
        <v>173174.49123856856</v>
      </c>
      <c r="AK20" s="8">
        <f t="shared" si="22"/>
        <v>184375.72343215407</v>
      </c>
      <c r="AL20" s="8">
        <f t="shared" si="22"/>
        <v>193676.70190042042</v>
      </c>
      <c r="AM20" s="8">
        <f t="shared" si="22"/>
        <v>200783.80897495977</v>
      </c>
      <c r="AN20" s="8">
        <f t="shared" si="22"/>
        <v>206785.73475761019</v>
      </c>
    </row>
    <row r="21" spans="2:242" s="3" customFormat="1" x14ac:dyDescent="0.3">
      <c r="B21" s="3" t="s">
        <v>46</v>
      </c>
      <c r="K21" s="3">
        <v>-174</v>
      </c>
      <c r="L21" s="3">
        <v>-47</v>
      </c>
      <c r="M21" s="3">
        <v>54</v>
      </c>
      <c r="N21" s="3">
        <v>-60</v>
      </c>
      <c r="O21" s="3">
        <v>321</v>
      </c>
      <c r="P21" s="3">
        <v>473</v>
      </c>
      <c r="Q21" s="3">
        <v>389</v>
      </c>
      <c r="R21" s="3">
        <v>506</v>
      </c>
      <c r="S21" s="3">
        <v>-854</v>
      </c>
      <c r="T21" s="3">
        <f t="shared" ref="T21" si="23">P21</f>
        <v>473</v>
      </c>
      <c r="U21" s="3">
        <f t="shared" ref="U21" si="24">Q21</f>
        <v>389</v>
      </c>
      <c r="V21" s="3">
        <f t="shared" ref="V21" si="25">R21</f>
        <v>506</v>
      </c>
      <c r="W21" s="3">
        <f t="shared" ref="W21" si="26">S21</f>
        <v>-854</v>
      </c>
      <c r="X21" s="3">
        <f t="shared" ref="X21" si="27">T21</f>
        <v>473</v>
      </c>
      <c r="AA21" s="3">
        <f t="shared" si="5"/>
        <v>-227</v>
      </c>
      <c r="AB21" s="3">
        <f t="shared" si="6"/>
        <v>1689</v>
      </c>
      <c r="AC21" s="3">
        <f t="shared" si="13"/>
        <v>514</v>
      </c>
      <c r="AD21" s="3">
        <f t="shared" si="17"/>
        <v>514</v>
      </c>
      <c r="AE21" s="3">
        <f>AVERAGE(AA21:AD21)</f>
        <v>622.5</v>
      </c>
      <c r="AF21" s="3">
        <f t="shared" ref="AF21:AN21" si="28">AVERAGE(AB21:AE21)</f>
        <v>834.875</v>
      </c>
      <c r="AG21" s="3">
        <f t="shared" si="28"/>
        <v>621.34375</v>
      </c>
      <c r="AH21" s="3">
        <f t="shared" si="28"/>
        <v>648.1796875</v>
      </c>
      <c r="AI21" s="3">
        <f t="shared" si="28"/>
        <v>681.724609375</v>
      </c>
      <c r="AJ21" s="3">
        <f t="shared" si="28"/>
        <v>696.53076171875</v>
      </c>
      <c r="AK21" s="3">
        <f t="shared" si="28"/>
        <v>661.9447021484375</v>
      </c>
      <c r="AL21" s="3">
        <f t="shared" si="28"/>
        <v>672.09494018554688</v>
      </c>
      <c r="AM21" s="3">
        <f t="shared" si="28"/>
        <v>678.07375335693359</v>
      </c>
      <c r="AN21" s="3">
        <f t="shared" si="28"/>
        <v>677.16103935241699</v>
      </c>
    </row>
    <row r="22" spans="2:242" s="8" customFormat="1" x14ac:dyDescent="0.3">
      <c r="B22" s="8" t="s">
        <v>47</v>
      </c>
      <c r="K22" s="8">
        <f t="shared" ref="K22:Q22" si="29">K20+K21</f>
        <v>20190</v>
      </c>
      <c r="L22" s="8">
        <f t="shared" si="29"/>
        <v>20487</v>
      </c>
      <c r="M22" s="8">
        <f t="shared" si="29"/>
        <v>21572</v>
      </c>
      <c r="N22" s="8">
        <f t="shared" si="29"/>
        <v>20339</v>
      </c>
      <c r="O22" s="8">
        <f t="shared" si="29"/>
        <v>22673</v>
      </c>
      <c r="P22" s="8">
        <f t="shared" si="29"/>
        <v>24727</v>
      </c>
      <c r="Q22" s="8">
        <f t="shared" si="29"/>
        <v>27284</v>
      </c>
      <c r="R22" s="8">
        <f>R20-R21</f>
        <v>26526</v>
      </c>
      <c r="S22" s="8">
        <f>S20+S21</f>
        <v>26727</v>
      </c>
      <c r="T22" s="8">
        <f t="shared" ref="T22:X22" si="30">T20-T21</f>
        <v>28320.240000000005</v>
      </c>
      <c r="U22" s="8">
        <f t="shared" si="30"/>
        <v>31467.760000000002</v>
      </c>
      <c r="V22" s="8">
        <f t="shared" si="30"/>
        <v>30946.590000000004</v>
      </c>
      <c r="W22" s="8">
        <f t="shared" si="30"/>
        <v>33056.01</v>
      </c>
      <c r="X22" s="8">
        <f t="shared" si="30"/>
        <v>33791.460000000006</v>
      </c>
      <c r="AA22" s="17">
        <f t="shared" si="5"/>
        <v>82588</v>
      </c>
      <c r="AB22" s="17">
        <f t="shared" si="6"/>
        <v>101210</v>
      </c>
      <c r="AC22" s="8">
        <f t="shared" si="13"/>
        <v>108857.24</v>
      </c>
      <c r="AD22" s="8">
        <f t="shared" si="17"/>
        <v>129261.82000000002</v>
      </c>
      <c r="AE22" s="8">
        <f>AE20-AE21</f>
        <v>131805.67569999999</v>
      </c>
      <c r="AF22" s="8">
        <f t="shared" ref="AF22:AN22" si="31">AF20-AF21</f>
        <v>132917.58245699998</v>
      </c>
      <c r="AG22" s="8">
        <f t="shared" si="31"/>
        <v>142262.03643957002</v>
      </c>
      <c r="AH22" s="8">
        <f t="shared" si="31"/>
        <v>155938.63640281573</v>
      </c>
      <c r="AI22" s="8">
        <f t="shared" si="31"/>
        <v>166226.84247235686</v>
      </c>
      <c r="AJ22" s="8">
        <f t="shared" si="31"/>
        <v>172477.96047684981</v>
      </c>
      <c r="AK22" s="8">
        <f t="shared" si="31"/>
        <v>183713.77873000564</v>
      </c>
      <c r="AL22" s="8">
        <f t="shared" si="31"/>
        <v>193004.60696023487</v>
      </c>
      <c r="AM22" s="8">
        <f t="shared" si="31"/>
        <v>200105.73522160284</v>
      </c>
      <c r="AN22" s="8">
        <f t="shared" si="31"/>
        <v>206108.57371825777</v>
      </c>
    </row>
    <row r="23" spans="2:242" s="3" customFormat="1" x14ac:dyDescent="0.3">
      <c r="B23" s="3" t="s">
        <v>48</v>
      </c>
      <c r="K23" s="3">
        <v>3462</v>
      </c>
      <c r="L23" s="3">
        <v>3747</v>
      </c>
      <c r="M23" s="3">
        <v>4016</v>
      </c>
      <c r="N23" s="3">
        <v>3914</v>
      </c>
      <c r="O23" s="3">
        <v>4374</v>
      </c>
      <c r="P23" s="3">
        <v>4646</v>
      </c>
      <c r="Q23" s="3">
        <v>4993</v>
      </c>
      <c r="R23" s="3">
        <v>4656</v>
      </c>
      <c r="S23" s="3">
        <v>4788</v>
      </c>
      <c r="T23" s="3">
        <f t="shared" ref="T23:X23" si="32">T22*0.18</f>
        <v>5097.6432000000004</v>
      </c>
      <c r="U23" s="3">
        <f t="shared" si="32"/>
        <v>5664.1967999999997</v>
      </c>
      <c r="V23" s="3">
        <f t="shared" si="32"/>
        <v>5570.3862000000008</v>
      </c>
      <c r="W23" s="3">
        <f t="shared" si="32"/>
        <v>5950.0817999999999</v>
      </c>
      <c r="X23" s="3">
        <f t="shared" si="32"/>
        <v>6082.4628000000012</v>
      </c>
      <c r="AA23" s="3">
        <f t="shared" si="5"/>
        <v>15139</v>
      </c>
      <c r="AB23" s="3">
        <f t="shared" si="6"/>
        <v>18669</v>
      </c>
      <c r="AC23" s="3">
        <f t="shared" si="13"/>
        <v>19534.643199999999</v>
      </c>
      <c r="AD23" s="3">
        <f t="shared" si="17"/>
        <v>23267.1276</v>
      </c>
      <c r="AE23" s="3">
        <f>AE22*0.2</f>
        <v>26361.135139999999</v>
      </c>
      <c r="AF23" s="3">
        <f t="shared" ref="AF23:AN23" si="33">AF22*0.2</f>
        <v>26583.516491399998</v>
      </c>
      <c r="AG23" s="3">
        <f t="shared" si="33"/>
        <v>28452.407287914004</v>
      </c>
      <c r="AH23" s="3">
        <f t="shared" si="33"/>
        <v>31187.727280563147</v>
      </c>
      <c r="AI23" s="3">
        <f t="shared" si="33"/>
        <v>33245.368494471375</v>
      </c>
      <c r="AJ23" s="3">
        <f t="shared" si="33"/>
        <v>34495.592095369961</v>
      </c>
      <c r="AK23" s="3">
        <f t="shared" si="33"/>
        <v>36742.75574600113</v>
      </c>
      <c r="AL23" s="3">
        <f t="shared" si="33"/>
        <v>38600.921392046977</v>
      </c>
      <c r="AM23" s="3">
        <f t="shared" si="33"/>
        <v>40021.147044320569</v>
      </c>
      <c r="AN23" s="3">
        <f t="shared" si="33"/>
        <v>41221.714743651559</v>
      </c>
    </row>
    <row r="24" spans="2:242" s="9" customFormat="1" ht="15" thickBot="1" x14ac:dyDescent="0.35">
      <c r="B24" s="9" t="s">
        <v>49</v>
      </c>
      <c r="K24" s="9">
        <f t="shared" ref="K24:S24" si="34">K22-K23</f>
        <v>16728</v>
      </c>
      <c r="L24" s="9">
        <f t="shared" si="34"/>
        <v>16740</v>
      </c>
      <c r="M24" s="9">
        <f t="shared" si="34"/>
        <v>17556</v>
      </c>
      <c r="N24" s="9">
        <f t="shared" si="34"/>
        <v>16425</v>
      </c>
      <c r="O24" s="9">
        <f t="shared" si="34"/>
        <v>18299</v>
      </c>
      <c r="P24" s="9">
        <f t="shared" si="34"/>
        <v>20081</v>
      </c>
      <c r="Q24" s="9">
        <f t="shared" si="34"/>
        <v>22291</v>
      </c>
      <c r="R24" s="9">
        <f t="shared" si="34"/>
        <v>21870</v>
      </c>
      <c r="S24" s="9">
        <f t="shared" si="34"/>
        <v>21939</v>
      </c>
      <c r="T24" s="9">
        <f t="shared" ref="T24:X24" si="35">T22-T23</f>
        <v>23222.596800000007</v>
      </c>
      <c r="U24" s="9">
        <f t="shared" si="35"/>
        <v>25803.563200000004</v>
      </c>
      <c r="V24" s="9">
        <f t="shared" si="35"/>
        <v>25376.203800000003</v>
      </c>
      <c r="W24" s="9">
        <f t="shared" si="35"/>
        <v>27105.928200000002</v>
      </c>
      <c r="X24" s="9">
        <f t="shared" si="35"/>
        <v>27708.997200000005</v>
      </c>
      <c r="AA24" s="9">
        <f t="shared" si="5"/>
        <v>67449</v>
      </c>
      <c r="AB24" s="9">
        <f t="shared" si="6"/>
        <v>82541</v>
      </c>
      <c r="AC24" s="9">
        <f t="shared" si="13"/>
        <v>89322.596799999999</v>
      </c>
      <c r="AD24" s="9">
        <f t="shared" si="17"/>
        <v>105994.69240000003</v>
      </c>
      <c r="AE24" s="9">
        <f>AE22-AE23</f>
        <v>105444.54055999999</v>
      </c>
      <c r="AF24" s="9">
        <f t="shared" ref="AF24:AN24" si="36">AF22-AF23</f>
        <v>106334.06596559999</v>
      </c>
      <c r="AG24" s="9">
        <f t="shared" si="36"/>
        <v>113809.62915165602</v>
      </c>
      <c r="AH24" s="9">
        <f t="shared" si="36"/>
        <v>124750.90912225257</v>
      </c>
      <c r="AI24" s="9">
        <f t="shared" si="36"/>
        <v>132981.4739778855</v>
      </c>
      <c r="AJ24" s="9">
        <f t="shared" si="36"/>
        <v>137982.36838147984</v>
      </c>
      <c r="AK24" s="9">
        <f t="shared" si="36"/>
        <v>146971.02298400452</v>
      </c>
      <c r="AL24" s="9">
        <f t="shared" si="36"/>
        <v>154403.68556818791</v>
      </c>
      <c r="AM24" s="9">
        <f t="shared" si="36"/>
        <v>160084.58817728228</v>
      </c>
      <c r="AN24" s="9">
        <f t="shared" si="36"/>
        <v>164886.85897460621</v>
      </c>
      <c r="AO24" s="9">
        <f>AN24*(1+$AP$38)</f>
        <v>163237.99038486014</v>
      </c>
      <c r="AP24" s="9">
        <f t="shared" ref="AP24:DA24" si="37">AO24*(1+$AP$38)</f>
        <v>161605.61048101154</v>
      </c>
      <c r="AQ24" s="9">
        <f t="shared" si="37"/>
        <v>159989.55437620141</v>
      </c>
      <c r="AR24" s="9">
        <f t="shared" si="37"/>
        <v>158389.6588324394</v>
      </c>
      <c r="AS24" s="9">
        <f t="shared" si="37"/>
        <v>156805.762244115</v>
      </c>
      <c r="AT24" s="9">
        <f t="shared" si="37"/>
        <v>155237.70462167385</v>
      </c>
      <c r="AU24" s="9">
        <f t="shared" si="37"/>
        <v>153685.32757545711</v>
      </c>
      <c r="AV24" s="9">
        <f t="shared" si="37"/>
        <v>152148.47429970253</v>
      </c>
      <c r="AW24" s="9">
        <f t="shared" si="37"/>
        <v>150626.98955670549</v>
      </c>
      <c r="AX24" s="9">
        <f t="shared" si="37"/>
        <v>149120.71966113843</v>
      </c>
      <c r="AY24" s="9">
        <f t="shared" si="37"/>
        <v>147629.51246452704</v>
      </c>
      <c r="AZ24" s="9">
        <f t="shared" si="37"/>
        <v>146153.21733988178</v>
      </c>
      <c r="BA24" s="9">
        <f t="shared" si="37"/>
        <v>144691.68516648296</v>
      </c>
      <c r="BB24" s="9">
        <f t="shared" si="37"/>
        <v>143244.76831481812</v>
      </c>
      <c r="BC24" s="9">
        <f t="shared" si="37"/>
        <v>141812.32063166995</v>
      </c>
      <c r="BD24" s="9">
        <f t="shared" si="37"/>
        <v>140394.19742535325</v>
      </c>
      <c r="BE24" s="9">
        <f t="shared" si="37"/>
        <v>138990.25545109971</v>
      </c>
      <c r="BF24" s="9">
        <f t="shared" si="37"/>
        <v>137600.35289658871</v>
      </c>
      <c r="BG24" s="9">
        <f t="shared" si="37"/>
        <v>136224.34936762281</v>
      </c>
      <c r="BH24" s="9">
        <f t="shared" si="37"/>
        <v>134862.10587394657</v>
      </c>
      <c r="BI24" s="9">
        <f t="shared" si="37"/>
        <v>133513.48481520711</v>
      </c>
      <c r="BJ24" s="9">
        <f t="shared" si="37"/>
        <v>132178.34996705502</v>
      </c>
      <c r="BK24" s="9">
        <f t="shared" si="37"/>
        <v>130856.56646738447</v>
      </c>
      <c r="BL24" s="9">
        <f t="shared" si="37"/>
        <v>129548.00080271062</v>
      </c>
      <c r="BM24" s="9">
        <f t="shared" si="37"/>
        <v>128252.52079468351</v>
      </c>
      <c r="BN24" s="9">
        <f t="shared" si="37"/>
        <v>126969.99558673668</v>
      </c>
      <c r="BO24" s="9">
        <f t="shared" si="37"/>
        <v>125700.29563086931</v>
      </c>
      <c r="BP24" s="9">
        <f t="shared" si="37"/>
        <v>124443.29267456061</v>
      </c>
      <c r="BQ24" s="9">
        <f t="shared" si="37"/>
        <v>123198.859747815</v>
      </c>
      <c r="BR24" s="9">
        <f t="shared" si="37"/>
        <v>121966.87115033685</v>
      </c>
      <c r="BS24" s="9">
        <f t="shared" si="37"/>
        <v>120747.20243883348</v>
      </c>
      <c r="BT24" s="9">
        <f t="shared" si="37"/>
        <v>119539.73041444515</v>
      </c>
      <c r="BU24" s="9">
        <f t="shared" si="37"/>
        <v>118344.33311030069</v>
      </c>
      <c r="BV24" s="9">
        <f t="shared" si="37"/>
        <v>117160.88977919768</v>
      </c>
      <c r="BW24" s="9">
        <f t="shared" si="37"/>
        <v>115989.28088140571</v>
      </c>
      <c r="BX24" s="9">
        <f t="shared" si="37"/>
        <v>114829.38807259165</v>
      </c>
      <c r="BY24" s="9">
        <f t="shared" si="37"/>
        <v>113681.09419186573</v>
      </c>
      <c r="BZ24" s="9">
        <f t="shared" si="37"/>
        <v>112544.28324994708</v>
      </c>
      <c r="CA24" s="9">
        <f t="shared" si="37"/>
        <v>111418.84041744762</v>
      </c>
      <c r="CB24" s="9">
        <f t="shared" si="37"/>
        <v>110304.65201327314</v>
      </c>
      <c r="CC24" s="9">
        <f t="shared" si="37"/>
        <v>109201.60549314041</v>
      </c>
      <c r="CD24" s="9">
        <f t="shared" si="37"/>
        <v>108109.589438209</v>
      </c>
      <c r="CE24" s="9">
        <f t="shared" si="37"/>
        <v>107028.49354382692</v>
      </c>
      <c r="CF24" s="9">
        <f t="shared" si="37"/>
        <v>105958.20860838865</v>
      </c>
      <c r="CG24" s="9">
        <f t="shared" si="37"/>
        <v>104898.62652230477</v>
      </c>
      <c r="CH24" s="9">
        <f t="shared" si="37"/>
        <v>103849.64025708172</v>
      </c>
      <c r="CI24" s="9">
        <f t="shared" si="37"/>
        <v>102811.1438545109</v>
      </c>
      <c r="CJ24" s="9">
        <f t="shared" si="37"/>
        <v>101783.03241596579</v>
      </c>
      <c r="CK24" s="9">
        <f t="shared" si="37"/>
        <v>100765.20209180613</v>
      </c>
      <c r="CL24" s="9">
        <f t="shared" si="37"/>
        <v>99757.550070888072</v>
      </c>
      <c r="CM24" s="9">
        <f t="shared" si="37"/>
        <v>98759.974570179184</v>
      </c>
      <c r="CN24" s="9">
        <f t="shared" si="37"/>
        <v>97772.374824477389</v>
      </c>
      <c r="CO24" s="9">
        <f t="shared" si="37"/>
        <v>96794.651076232607</v>
      </c>
      <c r="CP24" s="9">
        <f t="shared" si="37"/>
        <v>95826.704565470282</v>
      </c>
      <c r="CQ24" s="9">
        <f t="shared" si="37"/>
        <v>94868.437519815576</v>
      </c>
      <c r="CR24" s="9">
        <f t="shared" si="37"/>
        <v>93919.753144617425</v>
      </c>
      <c r="CS24" s="9">
        <f t="shared" si="37"/>
        <v>92980.555613171251</v>
      </c>
      <c r="CT24" s="9">
        <f t="shared" si="37"/>
        <v>92050.750057039535</v>
      </c>
      <c r="CU24" s="9">
        <f t="shared" si="37"/>
        <v>91130.242556469137</v>
      </c>
      <c r="CV24" s="9">
        <f t="shared" si="37"/>
        <v>90218.940130904448</v>
      </c>
      <c r="CW24" s="9">
        <f t="shared" si="37"/>
        <v>89316.750729595398</v>
      </c>
      <c r="CX24" s="9">
        <f t="shared" si="37"/>
        <v>88423.58322229945</v>
      </c>
      <c r="CY24" s="9">
        <f t="shared" si="37"/>
        <v>87539.347390076451</v>
      </c>
      <c r="CZ24" s="9">
        <f t="shared" si="37"/>
        <v>86663.953916175684</v>
      </c>
      <c r="DA24" s="9">
        <f t="shared" si="37"/>
        <v>85797.314377013929</v>
      </c>
      <c r="DB24" s="9">
        <f t="shared" ref="DB24:FM24" si="38">DA24*(1+$AP$38)</f>
        <v>84939.341233243787</v>
      </c>
      <c r="DC24" s="9">
        <f t="shared" si="38"/>
        <v>84089.947820911344</v>
      </c>
      <c r="DD24" s="9">
        <f t="shared" si="38"/>
        <v>83249.048342702226</v>
      </c>
      <c r="DE24" s="9">
        <f t="shared" si="38"/>
        <v>82416.557859275199</v>
      </c>
      <c r="DF24" s="9">
        <f t="shared" si="38"/>
        <v>81592.392280682441</v>
      </c>
      <c r="DG24" s="9">
        <f t="shared" si="38"/>
        <v>80776.468357875623</v>
      </c>
      <c r="DH24" s="9">
        <f t="shared" si="38"/>
        <v>79968.703674296863</v>
      </c>
      <c r="DI24" s="9">
        <f t="shared" si="38"/>
        <v>79169.016637553897</v>
      </c>
      <c r="DJ24" s="9">
        <f t="shared" si="38"/>
        <v>78377.326471178356</v>
      </c>
      <c r="DK24" s="9">
        <f t="shared" si="38"/>
        <v>77593.553206466575</v>
      </c>
      <c r="DL24" s="9">
        <f t="shared" si="38"/>
        <v>76817.617674401903</v>
      </c>
      <c r="DM24" s="9">
        <f t="shared" si="38"/>
        <v>76049.441497657885</v>
      </c>
      <c r="DN24" s="9">
        <f t="shared" si="38"/>
        <v>75288.947082681305</v>
      </c>
      <c r="DO24" s="9">
        <f t="shared" si="38"/>
        <v>74536.057611854485</v>
      </c>
      <c r="DP24" s="9">
        <f t="shared" si="38"/>
        <v>73790.697035735939</v>
      </c>
      <c r="DQ24" s="9">
        <f t="shared" si="38"/>
        <v>73052.790065378576</v>
      </c>
      <c r="DR24" s="9">
        <f t="shared" si="38"/>
        <v>72322.262164724787</v>
      </c>
      <c r="DS24" s="9">
        <f t="shared" si="38"/>
        <v>71599.039543077539</v>
      </c>
      <c r="DT24" s="9">
        <f t="shared" si="38"/>
        <v>70883.049147646758</v>
      </c>
      <c r="DU24" s="9">
        <f t="shared" si="38"/>
        <v>70174.218656170284</v>
      </c>
      <c r="DV24" s="9">
        <f t="shared" si="38"/>
        <v>69472.476469608577</v>
      </c>
      <c r="DW24" s="9">
        <f t="shared" si="38"/>
        <v>68777.751704912487</v>
      </c>
      <c r="DX24" s="9">
        <f t="shared" si="38"/>
        <v>68089.974187863365</v>
      </c>
      <c r="DY24" s="9">
        <f t="shared" si="38"/>
        <v>67409.074445984734</v>
      </c>
      <c r="DZ24" s="9">
        <f t="shared" si="38"/>
        <v>66734.983701524892</v>
      </c>
      <c r="EA24" s="9">
        <f t="shared" si="38"/>
        <v>66067.63386450964</v>
      </c>
      <c r="EB24" s="9">
        <f t="shared" si="38"/>
        <v>65406.957525864542</v>
      </c>
      <c r="EC24" s="9">
        <f t="shared" si="38"/>
        <v>64752.887950605895</v>
      </c>
      <c r="ED24" s="9">
        <f t="shared" si="38"/>
        <v>64105.359071099832</v>
      </c>
      <c r="EE24" s="9">
        <f t="shared" si="38"/>
        <v>63464.30548038883</v>
      </c>
      <c r="EF24" s="9">
        <f t="shared" si="38"/>
        <v>62829.662425584938</v>
      </c>
      <c r="EG24" s="9">
        <f t="shared" si="38"/>
        <v>62201.365801329091</v>
      </c>
      <c r="EH24" s="9">
        <f t="shared" si="38"/>
        <v>61579.352143315802</v>
      </c>
      <c r="EI24" s="9">
        <f t="shared" si="38"/>
        <v>60963.558621882643</v>
      </c>
      <c r="EJ24" s="9">
        <f t="shared" si="38"/>
        <v>60353.923035663815</v>
      </c>
      <c r="EK24" s="9">
        <f t="shared" si="38"/>
        <v>59750.383805307174</v>
      </c>
      <c r="EL24" s="9">
        <f t="shared" si="38"/>
        <v>59152.879967254099</v>
      </c>
      <c r="EM24" s="9">
        <f t="shared" si="38"/>
        <v>58561.351167581561</v>
      </c>
      <c r="EN24" s="9">
        <f t="shared" si="38"/>
        <v>57975.737655905745</v>
      </c>
      <c r="EO24" s="9">
        <f t="shared" si="38"/>
        <v>57395.980279346688</v>
      </c>
      <c r="EP24" s="9">
        <f t="shared" si="38"/>
        <v>56822.020476553218</v>
      </c>
      <c r="EQ24" s="9">
        <f t="shared" si="38"/>
        <v>56253.800271787688</v>
      </c>
      <c r="ER24" s="9">
        <f t="shared" si="38"/>
        <v>55691.262269069812</v>
      </c>
      <c r="ES24" s="9">
        <f t="shared" si="38"/>
        <v>55134.349646379116</v>
      </c>
      <c r="ET24" s="9">
        <f t="shared" si="38"/>
        <v>54583.006149915323</v>
      </c>
      <c r="EU24" s="9">
        <f t="shared" si="38"/>
        <v>54037.17608841617</v>
      </c>
      <c r="EV24" s="9">
        <f t="shared" si="38"/>
        <v>53496.804327532009</v>
      </c>
      <c r="EW24" s="9">
        <f t="shared" si="38"/>
        <v>52961.836284256686</v>
      </c>
      <c r="EX24" s="9">
        <f t="shared" si="38"/>
        <v>52432.217921414122</v>
      </c>
      <c r="EY24" s="9">
        <f t="shared" si="38"/>
        <v>51907.89574219998</v>
      </c>
      <c r="EZ24" s="9">
        <f t="shared" si="38"/>
        <v>51388.816784777977</v>
      </c>
      <c r="FA24" s="9">
        <f t="shared" si="38"/>
        <v>50874.928616930199</v>
      </c>
      <c r="FB24" s="9">
        <f t="shared" si="38"/>
        <v>50366.179330760897</v>
      </c>
      <c r="FC24" s="9">
        <f t="shared" si="38"/>
        <v>49862.517537453285</v>
      </c>
      <c r="FD24" s="9">
        <f t="shared" si="38"/>
        <v>49363.892362078754</v>
      </c>
      <c r="FE24" s="9">
        <f t="shared" si="38"/>
        <v>48870.253438457963</v>
      </c>
      <c r="FF24" s="9">
        <f t="shared" si="38"/>
        <v>48381.550904073381</v>
      </c>
      <c r="FG24" s="9">
        <f t="shared" si="38"/>
        <v>47897.735395032651</v>
      </c>
      <c r="FH24" s="9">
        <f t="shared" si="38"/>
        <v>47418.758041082321</v>
      </c>
      <c r="FI24" s="9">
        <f t="shared" si="38"/>
        <v>46944.570460671501</v>
      </c>
      <c r="FJ24" s="9">
        <f t="shared" si="38"/>
        <v>46475.124756064783</v>
      </c>
      <c r="FK24" s="9">
        <f t="shared" si="38"/>
        <v>46010.373508504133</v>
      </c>
      <c r="FL24" s="9">
        <f t="shared" si="38"/>
        <v>45550.269773419095</v>
      </c>
      <c r="FM24" s="9">
        <f t="shared" si="38"/>
        <v>45094.767075684904</v>
      </c>
      <c r="FN24" s="9">
        <f t="shared" ref="FN24:HY24" si="39">FM24*(1+$AP$38)</f>
        <v>44643.819404928057</v>
      </c>
      <c r="FO24" s="9">
        <f t="shared" si="39"/>
        <v>44197.381210878775</v>
      </c>
      <c r="FP24" s="9">
        <f t="shared" si="39"/>
        <v>43755.407398769989</v>
      </c>
      <c r="FQ24" s="9">
        <f t="shared" si="39"/>
        <v>43317.853324782285</v>
      </c>
      <c r="FR24" s="9">
        <f t="shared" si="39"/>
        <v>42884.67479153446</v>
      </c>
      <c r="FS24" s="9">
        <f t="shared" si="39"/>
        <v>42455.828043619113</v>
      </c>
      <c r="FT24" s="9">
        <f t="shared" si="39"/>
        <v>42031.269763182921</v>
      </c>
      <c r="FU24" s="9">
        <f t="shared" si="39"/>
        <v>41610.957065551091</v>
      </c>
      <c r="FV24" s="9">
        <f t="shared" si="39"/>
        <v>41194.847494895577</v>
      </c>
      <c r="FW24" s="9">
        <f t="shared" si="39"/>
        <v>40782.899019946621</v>
      </c>
      <c r="FX24" s="9">
        <f t="shared" si="39"/>
        <v>40375.070029747156</v>
      </c>
      <c r="FY24" s="9">
        <f t="shared" si="39"/>
        <v>39971.319329449681</v>
      </c>
      <c r="FZ24" s="9">
        <f t="shared" si="39"/>
        <v>39571.606136155184</v>
      </c>
      <c r="GA24" s="9">
        <f t="shared" si="39"/>
        <v>39175.890074793635</v>
      </c>
      <c r="GB24" s="9">
        <f t="shared" si="39"/>
        <v>38784.131174045695</v>
      </c>
      <c r="GC24" s="9">
        <f t="shared" si="39"/>
        <v>38396.289862305239</v>
      </c>
      <c r="GD24" s="9">
        <f t="shared" si="39"/>
        <v>38012.326963682186</v>
      </c>
      <c r="GE24" s="9">
        <f t="shared" si="39"/>
        <v>37632.203694045362</v>
      </c>
      <c r="GF24" s="9">
        <f t="shared" si="39"/>
        <v>37255.88165710491</v>
      </c>
      <c r="GG24" s="9">
        <f t="shared" si="39"/>
        <v>36883.32284053386</v>
      </c>
      <c r="GH24" s="9">
        <f t="shared" si="39"/>
        <v>36514.48961212852</v>
      </c>
      <c r="GI24" s="9">
        <f t="shared" si="39"/>
        <v>36149.344716007232</v>
      </c>
      <c r="GJ24" s="9">
        <f t="shared" si="39"/>
        <v>35787.85126884716</v>
      </c>
      <c r="GK24" s="9">
        <f t="shared" si="39"/>
        <v>35429.972756158691</v>
      </c>
      <c r="GL24" s="9">
        <f t="shared" si="39"/>
        <v>35075.673028597106</v>
      </c>
      <c r="GM24" s="9">
        <f t="shared" si="39"/>
        <v>34724.916298311138</v>
      </c>
      <c r="GN24" s="9">
        <f t="shared" si="39"/>
        <v>34377.667135328025</v>
      </c>
      <c r="GO24" s="9">
        <f t="shared" si="39"/>
        <v>34033.890463974742</v>
      </c>
      <c r="GP24" s="9">
        <f t="shared" si="39"/>
        <v>33693.551559334992</v>
      </c>
      <c r="GQ24" s="9">
        <f t="shared" si="39"/>
        <v>33356.61604374164</v>
      </c>
      <c r="GR24" s="9">
        <f t="shared" si="39"/>
        <v>33023.049883304222</v>
      </c>
      <c r="GS24" s="9">
        <f t="shared" si="39"/>
        <v>32692.819384471179</v>
      </c>
      <c r="GT24" s="9">
        <f t="shared" si="39"/>
        <v>32365.891190626466</v>
      </c>
      <c r="GU24" s="9">
        <f t="shared" si="39"/>
        <v>32042.232278720199</v>
      </c>
      <c r="GV24" s="9">
        <f t="shared" si="39"/>
        <v>31721.809955932997</v>
      </c>
      <c r="GW24" s="9">
        <f t="shared" si="39"/>
        <v>31404.591856373667</v>
      </c>
      <c r="GX24" s="9">
        <f t="shared" si="39"/>
        <v>31090.545937809929</v>
      </c>
      <c r="GY24" s="9">
        <f t="shared" si="39"/>
        <v>30779.640478431829</v>
      </c>
      <c r="GZ24" s="9">
        <f t="shared" si="39"/>
        <v>30471.84407364751</v>
      </c>
      <c r="HA24" s="9">
        <f t="shared" si="39"/>
        <v>30167.125632911033</v>
      </c>
      <c r="HB24" s="9">
        <f t="shared" si="39"/>
        <v>29865.454376581922</v>
      </c>
      <c r="HC24" s="9">
        <f t="shared" si="39"/>
        <v>29566.799832816101</v>
      </c>
      <c r="HD24" s="9">
        <f t="shared" si="39"/>
        <v>29271.13183448794</v>
      </c>
      <c r="HE24" s="9">
        <f t="shared" si="39"/>
        <v>28978.420516143062</v>
      </c>
      <c r="HF24" s="9">
        <f t="shared" si="39"/>
        <v>28688.63631098163</v>
      </c>
      <c r="HG24" s="9">
        <f t="shared" si="39"/>
        <v>28401.749947871813</v>
      </c>
      <c r="HH24" s="9">
        <f t="shared" si="39"/>
        <v>28117.732448393093</v>
      </c>
      <c r="HI24" s="9">
        <f t="shared" si="39"/>
        <v>27836.555123909162</v>
      </c>
      <c r="HJ24" s="9">
        <f t="shared" si="39"/>
        <v>27558.189572670071</v>
      </c>
      <c r="HK24" s="9">
        <f t="shared" si="39"/>
        <v>27282.607676943371</v>
      </c>
      <c r="HL24" s="9">
        <f t="shared" si="39"/>
        <v>27009.781600173937</v>
      </c>
      <c r="HM24" s="9">
        <f t="shared" si="39"/>
        <v>26739.683784172197</v>
      </c>
      <c r="HN24" s="9">
        <f t="shared" si="39"/>
        <v>26472.286946330474</v>
      </c>
      <c r="HO24" s="9">
        <f t="shared" si="39"/>
        <v>26207.564076867169</v>
      </c>
      <c r="HP24" s="9">
        <f t="shared" si="39"/>
        <v>25945.488436098498</v>
      </c>
      <c r="HQ24" s="9">
        <f t="shared" si="39"/>
        <v>25686.033551737513</v>
      </c>
      <c r="HR24" s="9">
        <f t="shared" si="39"/>
        <v>25429.173216220137</v>
      </c>
      <c r="HS24" s="9">
        <f t="shared" si="39"/>
        <v>25174.881484057936</v>
      </c>
      <c r="HT24" s="9">
        <f t="shared" si="39"/>
        <v>24923.132669217357</v>
      </c>
      <c r="HU24" s="9">
        <f t="shared" si="39"/>
        <v>24673.901342525183</v>
      </c>
      <c r="HV24" s="9">
        <f t="shared" si="39"/>
        <v>24427.162329099931</v>
      </c>
      <c r="HW24" s="9">
        <f t="shared" si="39"/>
        <v>24182.890705808932</v>
      </c>
      <c r="HX24" s="9">
        <f t="shared" si="39"/>
        <v>23941.061798750841</v>
      </c>
      <c r="HY24" s="9">
        <f t="shared" si="39"/>
        <v>23701.651180763332</v>
      </c>
      <c r="HZ24" s="9">
        <f t="shared" ref="HZ24:IH24" si="40">HY24*(1+$AP$38)</f>
        <v>23464.634668955699</v>
      </c>
      <c r="IA24" s="9">
        <f t="shared" si="40"/>
        <v>23229.988322266141</v>
      </c>
      <c r="IB24" s="9">
        <f t="shared" si="40"/>
        <v>22997.688439043479</v>
      </c>
      <c r="IC24" s="9">
        <f t="shared" si="40"/>
        <v>22767.711554653044</v>
      </c>
      <c r="ID24" s="9">
        <f t="shared" si="40"/>
        <v>22540.034439106512</v>
      </c>
      <c r="IE24" s="9">
        <f t="shared" si="40"/>
        <v>22314.634094715446</v>
      </c>
      <c r="IF24" s="9">
        <f t="shared" si="40"/>
        <v>22091.487753768291</v>
      </c>
      <c r="IG24" s="9">
        <f t="shared" si="40"/>
        <v>21870.57287623061</v>
      </c>
      <c r="IH24" s="9">
        <f t="shared" si="40"/>
        <v>21651.867147468303</v>
      </c>
    </row>
    <row r="25" spans="2:242" ht="15" thickTop="1" x14ac:dyDescent="0.3">
      <c r="B25" s="3" t="s">
        <v>50</v>
      </c>
      <c r="K25" s="10">
        <f t="shared" ref="K25:R25" si="41">K24/K26</f>
        <v>2.2203344836740113</v>
      </c>
      <c r="L25" s="10">
        <f t="shared" si="41"/>
        <v>2.2302158273381294</v>
      </c>
      <c r="M25" s="10">
        <f t="shared" si="41"/>
        <v>2.3454909819639278</v>
      </c>
      <c r="N25" s="10">
        <f t="shared" si="41"/>
        <v>2.1979124849458049</v>
      </c>
      <c r="O25" s="10">
        <f t="shared" si="41"/>
        <v>2.4516345123258305</v>
      </c>
      <c r="P25" s="10">
        <f t="shared" si="41"/>
        <v>2.6892995848399623</v>
      </c>
      <c r="Q25" s="10">
        <f t="shared" si="41"/>
        <v>2.9872688287322435</v>
      </c>
      <c r="R25" s="10">
        <f t="shared" si="41"/>
        <v>2.9284949116229244</v>
      </c>
      <c r="S25" s="10">
        <f t="shared" ref="S25:X25" si="42">S24/S26</f>
        <v>2.936161670235546</v>
      </c>
      <c r="T25" s="10">
        <f t="shared" si="42"/>
        <v>3.1096139260846285</v>
      </c>
      <c r="U25" s="10">
        <f t="shared" si="42"/>
        <v>3.4552173540439215</v>
      </c>
      <c r="V25" s="10">
        <f t="shared" si="42"/>
        <v>3.3979919389394757</v>
      </c>
      <c r="W25" s="10">
        <f t="shared" si="42"/>
        <v>3.6296100964113553</v>
      </c>
      <c r="X25" s="10">
        <f t="shared" si="42"/>
        <v>3.7103638457418326</v>
      </c>
      <c r="AA25" s="3">
        <f t="shared" si="5"/>
        <v>8.9939537779218739</v>
      </c>
      <c r="AB25" s="3">
        <f t="shared" si="6"/>
        <v>11.056697837520961</v>
      </c>
      <c r="AC25" s="3">
        <f t="shared" si="13"/>
        <v>11.961539336675342</v>
      </c>
      <c r="AD25" s="3">
        <f t="shared" si="17"/>
        <v>14.193183235136585</v>
      </c>
      <c r="AE25" s="3">
        <f t="shared" ref="AE25:AN26" si="43">SUM(V25:Y25)</f>
        <v>10.737965881092665</v>
      </c>
      <c r="AF25" s="3">
        <f t="shared" si="43"/>
        <v>7.339973942153188</v>
      </c>
      <c r="AG25" s="3">
        <f t="shared" si="43"/>
        <v>12.704317623663707</v>
      </c>
      <c r="AH25" s="3">
        <f t="shared" si="43"/>
        <v>20.050651615442835</v>
      </c>
      <c r="AI25" s="3">
        <f t="shared" si="43"/>
        <v>32.012190952118175</v>
      </c>
      <c r="AJ25" s="3">
        <f t="shared" si="43"/>
        <v>46.205374187254762</v>
      </c>
      <c r="AK25" s="3">
        <f t="shared" si="43"/>
        <v>47.949386290425551</v>
      </c>
      <c r="AL25" s="3">
        <f t="shared" si="43"/>
        <v>44.23266239505778</v>
      </c>
      <c r="AM25" s="3">
        <f t="shared" si="43"/>
        <v>44.975440682046141</v>
      </c>
      <c r="AN25" s="3">
        <f t="shared" si="43"/>
        <v>50.8329090623524</v>
      </c>
    </row>
    <row r="26" spans="2:242" x14ac:dyDescent="0.3">
      <c r="B26" s="3" t="s">
        <v>1</v>
      </c>
      <c r="K26">
        <v>7534</v>
      </c>
      <c r="L26">
        <v>7506</v>
      </c>
      <c r="M26">
        <v>7485</v>
      </c>
      <c r="N26">
        <v>7473</v>
      </c>
      <c r="O26">
        <v>7464</v>
      </c>
      <c r="P26">
        <v>7467</v>
      </c>
      <c r="Q26">
        <v>7462</v>
      </c>
      <c r="R26">
        <v>7468</v>
      </c>
      <c r="S26">
        <v>7472</v>
      </c>
      <c r="T26">
        <v>7468</v>
      </c>
      <c r="U26">
        <v>7468</v>
      </c>
      <c r="V26">
        <v>7468</v>
      </c>
      <c r="W26">
        <v>7468</v>
      </c>
      <c r="X26">
        <v>7468</v>
      </c>
      <c r="AA26" s="3">
        <f>AVERAGE(K26:N26)</f>
        <v>7499.5</v>
      </c>
      <c r="AB26" s="3">
        <f>AVERAGE(O26:R26)</f>
        <v>7465.25</v>
      </c>
      <c r="AC26" s="3">
        <f>AVERAGE(Q26:T26)</f>
        <v>7467.5</v>
      </c>
      <c r="AD26" s="3">
        <f t="shared" si="17"/>
        <v>29872</v>
      </c>
      <c r="AE26" s="3">
        <f t="shared" si="43"/>
        <v>22404</v>
      </c>
      <c r="AF26" s="3">
        <f t="shared" si="43"/>
        <v>14936</v>
      </c>
      <c r="AG26" s="3">
        <f t="shared" si="43"/>
        <v>14967.5</v>
      </c>
      <c r="AH26" s="3">
        <f t="shared" si="43"/>
        <v>14964.75</v>
      </c>
      <c r="AI26" s="3">
        <f t="shared" si="43"/>
        <v>22432.25</v>
      </c>
      <c r="AJ26" s="3">
        <f t="shared" si="43"/>
        <v>52304.25</v>
      </c>
      <c r="AK26" s="3">
        <f t="shared" si="43"/>
        <v>67208.75</v>
      </c>
      <c r="AL26" s="3">
        <f t="shared" si="43"/>
        <v>74679.5</v>
      </c>
      <c r="AM26" s="3">
        <f t="shared" si="43"/>
        <v>82179.5</v>
      </c>
      <c r="AN26" s="3">
        <f t="shared" si="43"/>
        <v>67272.25</v>
      </c>
      <c r="AX26" t="s">
        <v>145</v>
      </c>
      <c r="AY26" s="11">
        <v>0.01</v>
      </c>
    </row>
    <row r="27" spans="2:242" x14ac:dyDescent="0.3">
      <c r="B27" s="3"/>
      <c r="AA27" s="3"/>
      <c r="AB27" s="3"/>
    </row>
    <row r="28" spans="2:242" s="28" customFormat="1" x14ac:dyDescent="0.3">
      <c r="B28" s="27" t="s">
        <v>55</v>
      </c>
      <c r="K28" s="29"/>
      <c r="L28" s="29"/>
      <c r="M28" s="29"/>
      <c r="N28" s="29"/>
      <c r="O28" s="29">
        <f t="shared" ref="O28:X28" si="44">O12/K12-1</f>
        <v>7.0846839546191198E-2</v>
      </c>
      <c r="P28" s="29">
        <f t="shared" si="44"/>
        <v>8.3370288248336921E-2</v>
      </c>
      <c r="Q28" s="29">
        <f t="shared" si="44"/>
        <v>0.12758868361198683</v>
      </c>
      <c r="R28" s="29">
        <f t="shared" si="44"/>
        <v>0.17580146738203117</v>
      </c>
      <c r="S28" s="29">
        <f t="shared" si="44"/>
        <v>0.17028964943148495</v>
      </c>
      <c r="T28" s="29">
        <f t="shared" si="44"/>
        <v>0.1669899802452437</v>
      </c>
      <c r="U28" s="29">
        <f t="shared" si="44"/>
        <v>0.19305695631402942</v>
      </c>
      <c r="V28" s="29">
        <f t="shared" si="44"/>
        <v>0.12668494034182531</v>
      </c>
      <c r="W28" s="29">
        <f t="shared" si="44"/>
        <v>0.15753823272656731</v>
      </c>
      <c r="X28" s="29">
        <f t="shared" si="44"/>
        <v>0.12453486244128587</v>
      </c>
      <c r="AA28" s="27"/>
      <c r="AB28" s="29">
        <f>AB12/AA12-1</f>
        <v>0.11508912559898876</v>
      </c>
      <c r="AC28" s="40">
        <f>AC12/AB12-1</f>
        <v>8.0779320072237315E-2</v>
      </c>
      <c r="AD28" s="40">
        <f t="shared" ref="AD28:AM28" si="45">AD12/AC12-1</f>
        <v>0.14912163013737612</v>
      </c>
      <c r="AE28" s="40">
        <f t="shared" si="45"/>
        <v>5.0000000000000044E-2</v>
      </c>
      <c r="AF28" s="40">
        <f t="shared" si="45"/>
        <v>1.0000000000000009E-2</v>
      </c>
      <c r="AG28" s="40">
        <f t="shared" si="45"/>
        <v>5.0000000000000044E-2</v>
      </c>
      <c r="AH28" s="40">
        <f t="shared" si="45"/>
        <v>7.0000000000000062E-2</v>
      </c>
      <c r="AI28" s="40">
        <f t="shared" si="45"/>
        <v>5.0000000000000044E-2</v>
      </c>
      <c r="AJ28" s="40">
        <f t="shared" si="45"/>
        <v>3.0000000000000027E-2</v>
      </c>
      <c r="AK28" s="40">
        <f t="shared" si="45"/>
        <v>5.0000000000000044E-2</v>
      </c>
      <c r="AL28" s="40">
        <f t="shared" si="45"/>
        <v>4.0000000000000036E-2</v>
      </c>
      <c r="AM28" s="40">
        <f t="shared" si="45"/>
        <v>3.0000000000000027E-2</v>
      </c>
      <c r="AN28" s="40">
        <f>AN12/AM12-1</f>
        <v>2.4999999999999911E-2</v>
      </c>
    </row>
    <row r="29" spans="2:242" s="31" customFormat="1" x14ac:dyDescent="0.3">
      <c r="B29" s="30" t="s">
        <v>56</v>
      </c>
      <c r="K29" s="32"/>
      <c r="L29" s="32">
        <f t="shared" ref="L29:X29" si="46">L12/K12-1</f>
        <v>5.0749594813614296E-2</v>
      </c>
      <c r="M29" s="32">
        <f t="shared" si="46"/>
        <v>-3.3606478357273706E-2</v>
      </c>
      <c r="N29" s="32">
        <f t="shared" si="46"/>
        <v>5.2372211803200175E-2</v>
      </c>
      <c r="O29" s="32">
        <f t="shared" si="46"/>
        <v>2.085426659335976E-3</v>
      </c>
      <c r="P29" s="32">
        <f t="shared" si="46"/>
        <v>6.3038008210833052E-2</v>
      </c>
      <c r="Q29" s="32">
        <f t="shared" si="46"/>
        <v>5.8374414921069651E-3</v>
      </c>
      <c r="R29" s="32">
        <f t="shared" si="46"/>
        <v>9.7368933241325673E-2</v>
      </c>
      <c r="S29" s="32">
        <f t="shared" si="46"/>
        <v>-2.6120606256045953E-3</v>
      </c>
      <c r="T29" s="32">
        <f t="shared" si="46"/>
        <v>6.0040738465517718E-2</v>
      </c>
      <c r="U29" s="32">
        <f t="shared" si="46"/>
        <v>2.830476422863426E-2</v>
      </c>
      <c r="V29" s="32">
        <f t="shared" si="46"/>
        <v>3.6320223052737743E-2</v>
      </c>
      <c r="W29" s="32">
        <f t="shared" si="46"/>
        <v>2.4700545243785399E-2</v>
      </c>
      <c r="X29" s="32">
        <f t="shared" si="46"/>
        <v>2.9817186430736164E-2</v>
      </c>
      <c r="AA29" s="30"/>
      <c r="AB29" s="30"/>
    </row>
    <row r="31" spans="2:242" s="28" customFormat="1" x14ac:dyDescent="0.3">
      <c r="B31" s="27" t="s">
        <v>51</v>
      </c>
      <c r="K31" s="29">
        <f t="shared" ref="K31:Q31" si="47">K16/K12</f>
        <v>0.68365072933549431</v>
      </c>
      <c r="L31" s="29">
        <f t="shared" si="47"/>
        <v>0.68323532247180174</v>
      </c>
      <c r="M31" s="29">
        <f t="shared" si="47"/>
        <v>0.69171222217788597</v>
      </c>
      <c r="N31" s="29">
        <f t="shared" si="47"/>
        <v>0.66845507801391546</v>
      </c>
      <c r="O31" s="29">
        <f t="shared" si="47"/>
        <v>0.69487485101311086</v>
      </c>
      <c r="P31" s="29">
        <f t="shared" si="47"/>
        <v>0.70109807969531401</v>
      </c>
      <c r="Q31" s="29">
        <f t="shared" si="47"/>
        <v>0.71155581506449384</v>
      </c>
      <c r="R31" s="29">
        <f>R16/R12</f>
        <v>0.68360206385037081</v>
      </c>
      <c r="S31" s="29">
        <f t="shared" ref="S31:V31" si="48">S16/S12</f>
        <v>0.70084710142584628</v>
      </c>
      <c r="T31" s="29">
        <f t="shared" si="48"/>
        <v>0.67</v>
      </c>
      <c r="U31" s="29">
        <f t="shared" si="48"/>
        <v>0.67</v>
      </c>
      <c r="V31" s="29">
        <f t="shared" si="48"/>
        <v>0.67</v>
      </c>
      <c r="W31" s="29">
        <f t="shared" ref="W31:X31" si="49">W16/W12</f>
        <v>0.67</v>
      </c>
      <c r="X31" s="29">
        <f t="shared" si="49"/>
        <v>0.67</v>
      </c>
      <c r="AA31" s="29">
        <f t="shared" ref="AA31:AN31" si="50">AA16/AA12</f>
        <v>0.68159769517967206</v>
      </c>
      <c r="AB31" s="29">
        <f t="shared" si="50"/>
        <v>0.69748179784957576</v>
      </c>
      <c r="AC31" s="29">
        <f t="shared" si="50"/>
        <v>0.69073591172799598</v>
      </c>
      <c r="AD31" s="29">
        <f t="shared" si="50"/>
        <v>0.67</v>
      </c>
      <c r="AE31" s="29">
        <f t="shared" si="50"/>
        <v>0.65</v>
      </c>
      <c r="AF31" s="29">
        <f t="shared" si="50"/>
        <v>0.65</v>
      </c>
      <c r="AG31" s="29">
        <f t="shared" si="50"/>
        <v>0.65</v>
      </c>
      <c r="AH31" s="29">
        <f t="shared" si="50"/>
        <v>0.65</v>
      </c>
      <c r="AI31" s="29">
        <f t="shared" si="50"/>
        <v>0.65</v>
      </c>
      <c r="AJ31" s="29">
        <f t="shared" si="50"/>
        <v>0.65</v>
      </c>
      <c r="AK31" s="29">
        <f t="shared" si="50"/>
        <v>0.65</v>
      </c>
      <c r="AL31" s="29">
        <f t="shared" si="50"/>
        <v>0.65</v>
      </c>
      <c r="AM31" s="29">
        <f t="shared" si="50"/>
        <v>0.65</v>
      </c>
      <c r="AN31" s="29">
        <f t="shared" si="50"/>
        <v>0.65</v>
      </c>
    </row>
    <row r="32" spans="2:242" s="34" customFormat="1" x14ac:dyDescent="0.3">
      <c r="B32" s="33" t="s">
        <v>52</v>
      </c>
      <c r="K32" s="35">
        <f t="shared" ref="K32:Q32" si="51">K20/K12</f>
        <v>0.41256077795786061</v>
      </c>
      <c r="L32" s="35">
        <f t="shared" si="51"/>
        <v>0.3959124650535043</v>
      </c>
      <c r="M32" s="35">
        <f t="shared" si="51"/>
        <v>0.42931247755476637</v>
      </c>
      <c r="N32" s="35">
        <f t="shared" si="51"/>
        <v>0.3867328947617874</v>
      </c>
      <c r="O32" s="35">
        <f t="shared" si="51"/>
        <v>0.42287681858599618</v>
      </c>
      <c r="P32" s="35">
        <f t="shared" si="51"/>
        <v>0.4316503230169606</v>
      </c>
      <c r="Q32" s="35">
        <f t="shared" si="51"/>
        <v>0.47587451563246458</v>
      </c>
      <c r="R32" s="35">
        <f>R20/R12</f>
        <v>0.43585940019348596</v>
      </c>
      <c r="S32" s="35">
        <f t="shared" ref="S32:V32" si="52">S20/S12</f>
        <v>0.44587603866921011</v>
      </c>
      <c r="T32" s="35">
        <f t="shared" si="52"/>
        <v>0.43910876593668036</v>
      </c>
      <c r="U32" s="35">
        <f t="shared" si="52"/>
        <v>0.47245595301655102</v>
      </c>
      <c r="V32" s="35">
        <f t="shared" si="52"/>
        <v>0.45011362823246565</v>
      </c>
      <c r="W32" s="35">
        <f t="shared" ref="W32:X32" si="53">W20/W12</f>
        <v>0.44972989958521292</v>
      </c>
      <c r="X32" s="35">
        <f t="shared" si="53"/>
        <v>0.46467845615557796</v>
      </c>
      <c r="AA32" s="35">
        <f t="shared" ref="AA32:AN32" si="54">AA20/AA12</f>
        <v>0.40576891040402951</v>
      </c>
      <c r="AB32" s="35">
        <f t="shared" si="54"/>
        <v>0.44174213363915582</v>
      </c>
      <c r="AC32" s="35">
        <f t="shared" si="54"/>
        <v>0.44843918086572593</v>
      </c>
      <c r="AD32" s="35">
        <f t="shared" si="54"/>
        <v>0.45914614040177476</v>
      </c>
      <c r="AE32" s="35">
        <f t="shared" si="54"/>
        <v>0.44621920032563028</v>
      </c>
      <c r="AF32" s="35">
        <f t="shared" si="54"/>
        <v>0.44621920032563023</v>
      </c>
      <c r="AG32" s="35">
        <f t="shared" si="54"/>
        <v>0.45398227840846345</v>
      </c>
      <c r="AH32" s="35">
        <f t="shared" si="54"/>
        <v>0.46497392634817575</v>
      </c>
      <c r="AI32" s="35">
        <f t="shared" si="54"/>
        <v>0.472022538677769</v>
      </c>
      <c r="AJ32" s="35">
        <f t="shared" si="54"/>
        <v>0.4754784117131523</v>
      </c>
      <c r="AK32" s="35">
        <f t="shared" si="54"/>
        <v>0.4821268531716989</v>
      </c>
      <c r="AL32" s="35">
        <f t="shared" si="54"/>
        <v>0.48696934779174594</v>
      </c>
      <c r="AM32" s="35">
        <f t="shared" si="54"/>
        <v>0.49013499152394513</v>
      </c>
      <c r="AN32" s="35">
        <f t="shared" si="54"/>
        <v>0.49247447945286293</v>
      </c>
    </row>
    <row r="33" spans="2:42" s="34" customFormat="1" x14ac:dyDescent="0.3">
      <c r="B33" s="33" t="s">
        <v>53</v>
      </c>
      <c r="K33" s="35">
        <f t="shared" ref="K33:Q33" si="55">K24/K12</f>
        <v>0.33889789303079415</v>
      </c>
      <c r="L33" s="35">
        <f t="shared" si="55"/>
        <v>0.32276101417140651</v>
      </c>
      <c r="M33" s="35">
        <f t="shared" si="55"/>
        <v>0.3502653525398029</v>
      </c>
      <c r="N33" s="35">
        <f t="shared" si="55"/>
        <v>0.31139211708722769</v>
      </c>
      <c r="O33" s="35">
        <f t="shared" si="55"/>
        <v>0.34619823296819718</v>
      </c>
      <c r="P33" s="35">
        <f t="shared" si="55"/>
        <v>0.35738311769207498</v>
      </c>
      <c r="Q33" s="35">
        <f t="shared" si="55"/>
        <v>0.39441230072367606</v>
      </c>
      <c r="R33" s="35">
        <f>R24/R12</f>
        <v>0.35262818445662691</v>
      </c>
      <c r="S33" s="35">
        <f t="shared" ref="S33:V33" si="56">S24/S12</f>
        <v>0.35466714087102719</v>
      </c>
      <c r="T33" s="35">
        <f t="shared" si="56"/>
        <v>0.3541541633624109</v>
      </c>
      <c r="U33" s="35">
        <f t="shared" si="56"/>
        <v>0.38268320578987963</v>
      </c>
      <c r="V33" s="35">
        <f t="shared" si="56"/>
        <v>0.36315531290696512</v>
      </c>
      <c r="W33" s="35">
        <f t="shared" ref="W33:X33" si="57">W24/W12</f>
        <v>0.37855855480915607</v>
      </c>
      <c r="X33" s="35">
        <f t="shared" si="57"/>
        <v>0.37577635954324778</v>
      </c>
      <c r="AA33" s="35">
        <f t="shared" ref="AA33:AN33" si="58">AA24/AA12</f>
        <v>0.3304800729075818</v>
      </c>
      <c r="AB33" s="35">
        <f t="shared" si="58"/>
        <v>0.36268526208020813</v>
      </c>
      <c r="AC33" s="35">
        <f t="shared" si="58"/>
        <v>0.36314870206165867</v>
      </c>
      <c r="AD33" s="35">
        <f t="shared" si="58"/>
        <v>0.37500864119782351</v>
      </c>
      <c r="AE33" s="35">
        <f t="shared" si="58"/>
        <v>0.35529734000093671</v>
      </c>
      <c r="AF33" s="35">
        <f t="shared" si="58"/>
        <v>0.35474714098465798</v>
      </c>
      <c r="AG33" s="35">
        <f t="shared" si="58"/>
        <v>0.36160647010548974</v>
      </c>
      <c r="AH33" s="35">
        <f t="shared" si="58"/>
        <v>0.37043936059483923</v>
      </c>
      <c r="AI33" s="35">
        <f t="shared" si="58"/>
        <v>0.37607568048568668</v>
      </c>
      <c r="AJ33" s="35">
        <f t="shared" si="58"/>
        <v>0.37885277960518304</v>
      </c>
      <c r="AK33" s="35">
        <f t="shared" si="58"/>
        <v>0.38431673920877035</v>
      </c>
      <c r="AL33" s="35">
        <f t="shared" si="58"/>
        <v>0.38822357733271101</v>
      </c>
      <c r="AM33" s="35">
        <f t="shared" si="58"/>
        <v>0.39078379212923392</v>
      </c>
      <c r="AN33" s="35">
        <f t="shared" si="58"/>
        <v>0.39268941901297361</v>
      </c>
    </row>
    <row r="34" spans="2:42" s="31" customFormat="1" x14ac:dyDescent="0.3">
      <c r="B34" s="30" t="s">
        <v>54</v>
      </c>
      <c r="K34" s="32">
        <f t="shared" ref="K34:Q34" si="59">K23/K22</f>
        <v>0.17147102526002972</v>
      </c>
      <c r="L34" s="32">
        <f t="shared" si="59"/>
        <v>0.18289647093278666</v>
      </c>
      <c r="M34" s="32">
        <f t="shared" si="59"/>
        <v>0.18616725384758021</v>
      </c>
      <c r="N34" s="32">
        <f t="shared" si="59"/>
        <v>0.19243817296818919</v>
      </c>
      <c r="O34" s="32">
        <f t="shared" si="59"/>
        <v>0.19291668504388479</v>
      </c>
      <c r="P34" s="32">
        <f t="shared" si="59"/>
        <v>0.18789177821814212</v>
      </c>
      <c r="Q34" s="32">
        <f t="shared" si="59"/>
        <v>0.18300102624248643</v>
      </c>
      <c r="R34" s="32">
        <f>R23/R22</f>
        <v>0.17552589911784663</v>
      </c>
      <c r="S34" s="32">
        <f t="shared" ref="S34:V34" si="60">S23/S22</f>
        <v>0.17914468514984846</v>
      </c>
      <c r="T34" s="32">
        <f t="shared" si="60"/>
        <v>0.18</v>
      </c>
      <c r="U34" s="32">
        <f t="shared" si="60"/>
        <v>0.17999999999999997</v>
      </c>
      <c r="V34" s="32">
        <f t="shared" si="60"/>
        <v>0.18</v>
      </c>
      <c r="W34" s="32">
        <f t="shared" ref="W34:X34" si="61">W23/W22</f>
        <v>0.18</v>
      </c>
      <c r="X34" s="32">
        <f t="shared" si="61"/>
        <v>0.18</v>
      </c>
      <c r="AA34" s="32">
        <f t="shared" ref="AA34:AN34" si="62">AA23/AA22</f>
        <v>0.18330750230057635</v>
      </c>
      <c r="AB34" s="32">
        <f t="shared" si="62"/>
        <v>0.18445805750419919</v>
      </c>
      <c r="AC34" s="32">
        <f t="shared" si="62"/>
        <v>0.17945194274629778</v>
      </c>
      <c r="AD34" s="32">
        <f t="shared" si="62"/>
        <v>0.17999999999999997</v>
      </c>
      <c r="AE34" s="32">
        <f t="shared" si="62"/>
        <v>0.2</v>
      </c>
      <c r="AF34" s="32">
        <f t="shared" si="62"/>
        <v>0.2</v>
      </c>
      <c r="AG34" s="32">
        <f t="shared" si="62"/>
        <v>0.2</v>
      </c>
      <c r="AH34" s="32">
        <f t="shared" si="62"/>
        <v>0.2</v>
      </c>
      <c r="AI34" s="32">
        <f t="shared" si="62"/>
        <v>0.2</v>
      </c>
      <c r="AJ34" s="32">
        <f t="shared" si="62"/>
        <v>0.19999999999999998</v>
      </c>
      <c r="AK34" s="32">
        <f t="shared" si="62"/>
        <v>0.2</v>
      </c>
      <c r="AL34" s="32">
        <f t="shared" si="62"/>
        <v>0.2</v>
      </c>
      <c r="AM34" s="32">
        <f t="shared" si="62"/>
        <v>0.2</v>
      </c>
      <c r="AN34" s="32">
        <f t="shared" si="62"/>
        <v>0.2</v>
      </c>
    </row>
    <row r="36" spans="2:42" s="8" customFormat="1" x14ac:dyDescent="0.3">
      <c r="B36" s="8" t="s">
        <v>6</v>
      </c>
      <c r="L36" s="8">
        <f t="shared" ref="L36:R36" si="63">L37-L47</f>
        <v>61867</v>
      </c>
      <c r="M36" s="8">
        <f t="shared" si="63"/>
        <v>0</v>
      </c>
      <c r="N36" s="8">
        <f t="shared" si="63"/>
        <v>0</v>
      </c>
      <c r="O36" s="8">
        <f t="shared" si="63"/>
        <v>65632</v>
      </c>
      <c r="P36" s="8">
        <f t="shared" si="63"/>
        <v>73904</v>
      </c>
      <c r="Q36" s="8">
        <f t="shared" si="63"/>
        <v>20373</v>
      </c>
      <c r="R36" s="8">
        <f t="shared" si="63"/>
        <v>20165</v>
      </c>
      <c r="S36" s="8">
        <f t="shared" ref="S36:X36" si="64">R36+S24</f>
        <v>42104</v>
      </c>
      <c r="T36" s="8">
        <f t="shared" si="64"/>
        <v>65326.596800000007</v>
      </c>
      <c r="U36" s="8">
        <f t="shared" si="64"/>
        <v>91130.16</v>
      </c>
      <c r="V36" s="8">
        <f t="shared" si="64"/>
        <v>116506.36380000001</v>
      </c>
      <c r="W36" s="8">
        <f t="shared" si="64"/>
        <v>143612.29200000002</v>
      </c>
      <c r="X36" s="8">
        <f t="shared" si="64"/>
        <v>171321.28920000003</v>
      </c>
      <c r="AB36" s="8">
        <f>AB12/AA12-1</f>
        <v>0.11508912559898876</v>
      </c>
      <c r="AC36" s="8">
        <f>T36</f>
        <v>65326.596800000007</v>
      </c>
      <c r="AD36" s="8">
        <f>X36</f>
        <v>171321.28920000003</v>
      </c>
      <c r="AE36" s="8">
        <f>AE24</f>
        <v>105444.54055999999</v>
      </c>
      <c r="AF36" s="8">
        <f t="shared" ref="AF36:AN36" si="65">AF24</f>
        <v>106334.06596559999</v>
      </c>
      <c r="AG36" s="8">
        <f t="shared" si="65"/>
        <v>113809.62915165602</v>
      </c>
      <c r="AH36" s="8">
        <f t="shared" si="65"/>
        <v>124750.90912225257</v>
      </c>
      <c r="AI36" s="8">
        <f t="shared" si="65"/>
        <v>132981.4739778855</v>
      </c>
      <c r="AJ36" s="8">
        <f t="shared" si="65"/>
        <v>137982.36838147984</v>
      </c>
      <c r="AK36" s="8">
        <f t="shared" si="65"/>
        <v>146971.02298400452</v>
      </c>
      <c r="AL36" s="8">
        <f t="shared" si="65"/>
        <v>154403.68556818791</v>
      </c>
      <c r="AM36" s="8">
        <f t="shared" si="65"/>
        <v>160084.58817728228</v>
      </c>
      <c r="AN36" s="8">
        <f t="shared" si="65"/>
        <v>164886.85897460621</v>
      </c>
    </row>
    <row r="37" spans="2:42" s="3" customFormat="1" x14ac:dyDescent="0.3">
      <c r="B37" s="3" t="s">
        <v>3</v>
      </c>
      <c r="L37" s="3">
        <f>104757+6891</f>
        <v>111648</v>
      </c>
      <c r="O37" s="3">
        <f>104427+9415</f>
        <v>113842</v>
      </c>
      <c r="P37" s="3">
        <f>111262+9879</f>
        <v>121141</v>
      </c>
      <c r="Q37" s="3">
        <f>80452+11423</f>
        <v>91875</v>
      </c>
      <c r="R37" s="3">
        <f>17305+63712+13367</f>
        <v>94384</v>
      </c>
      <c r="S37" s="3">
        <f>19634+60387+14807</f>
        <v>94828</v>
      </c>
      <c r="T37" s="3">
        <f t="shared" ref="T37:X37" si="66">T36-9500</f>
        <v>55826.596800000007</v>
      </c>
      <c r="U37" s="3">
        <f t="shared" si="66"/>
        <v>81630.16</v>
      </c>
      <c r="V37" s="3">
        <f t="shared" si="66"/>
        <v>107006.36380000001</v>
      </c>
      <c r="W37" s="3">
        <f t="shared" si="66"/>
        <v>134112.29200000002</v>
      </c>
      <c r="X37" s="3">
        <f t="shared" si="66"/>
        <v>161821.28920000003</v>
      </c>
      <c r="AC37" s="3">
        <f>AC36-9500</f>
        <v>55826.596800000007</v>
      </c>
      <c r="AD37" s="3">
        <f>AD36-40000</f>
        <v>131321.28920000003</v>
      </c>
      <c r="AE37" s="3">
        <f t="shared" ref="AE37:AN37" si="67">AE36-40000</f>
        <v>65444.540559999994</v>
      </c>
      <c r="AF37" s="3">
        <f t="shared" si="67"/>
        <v>66334.065965599992</v>
      </c>
      <c r="AG37" s="3">
        <f t="shared" si="67"/>
        <v>73809.629151656016</v>
      </c>
      <c r="AH37" s="3">
        <f t="shared" si="67"/>
        <v>84750.909122252575</v>
      </c>
      <c r="AI37" s="3">
        <f t="shared" si="67"/>
        <v>92981.4739778855</v>
      </c>
      <c r="AJ37" s="3">
        <f t="shared" si="67"/>
        <v>97982.368381479842</v>
      </c>
      <c r="AK37" s="3">
        <f t="shared" si="67"/>
        <v>106971.02298400452</v>
      </c>
      <c r="AL37" s="3">
        <f t="shared" si="67"/>
        <v>114403.68556818791</v>
      </c>
      <c r="AM37" s="3">
        <f t="shared" si="67"/>
        <v>120084.58817728228</v>
      </c>
      <c r="AN37" s="3">
        <f t="shared" si="67"/>
        <v>124886.85897460621</v>
      </c>
    </row>
    <row r="38" spans="2:42" s="3" customFormat="1" x14ac:dyDescent="0.3">
      <c r="B38" s="3" t="s">
        <v>65</v>
      </c>
      <c r="L38" s="3">
        <v>44261</v>
      </c>
      <c r="O38" s="3">
        <v>37420</v>
      </c>
      <c r="P38" s="3">
        <v>46688</v>
      </c>
      <c r="Q38" s="3">
        <v>36953</v>
      </c>
      <c r="R38" s="3">
        <v>42831</v>
      </c>
      <c r="S38" s="3">
        <v>44029</v>
      </c>
      <c r="AO38" s="3" t="s">
        <v>146</v>
      </c>
      <c r="AP38" s="25">
        <v>-0.01</v>
      </c>
    </row>
    <row r="39" spans="2:42" s="3" customFormat="1" x14ac:dyDescent="0.3">
      <c r="B39" s="3" t="s">
        <v>66</v>
      </c>
      <c r="L39" s="3">
        <v>3742</v>
      </c>
      <c r="O39" s="3">
        <v>2877</v>
      </c>
      <c r="P39" s="3">
        <v>2500</v>
      </c>
      <c r="Q39" s="3">
        <v>3000</v>
      </c>
      <c r="R39" s="3">
        <v>1615</v>
      </c>
      <c r="S39" s="3">
        <v>1304</v>
      </c>
      <c r="AO39" s="3" t="s">
        <v>145</v>
      </c>
      <c r="AP39" s="25">
        <v>0.01</v>
      </c>
    </row>
    <row r="40" spans="2:42" s="3" customFormat="1" x14ac:dyDescent="0.3">
      <c r="B40" s="3" t="s">
        <v>67</v>
      </c>
      <c r="L40" s="3">
        <v>16924</v>
      </c>
      <c r="O40" s="3">
        <v>19165</v>
      </c>
      <c r="P40" s="3">
        <v>21807</v>
      </c>
      <c r="Q40" s="3">
        <v>23682</v>
      </c>
      <c r="R40" s="3">
        <v>21930</v>
      </c>
      <c r="S40" s="3">
        <v>21826</v>
      </c>
      <c r="AO40" s="3" t="s">
        <v>147</v>
      </c>
      <c r="AP40" s="41">
        <v>0.04</v>
      </c>
    </row>
    <row r="41" spans="2:42" s="3" customFormat="1" x14ac:dyDescent="0.3">
      <c r="B41" s="3" t="s">
        <v>68</v>
      </c>
      <c r="L41" s="3">
        <v>74398</v>
      </c>
      <c r="O41" s="3">
        <v>88132</v>
      </c>
      <c r="P41" s="3">
        <v>95641</v>
      </c>
      <c r="Q41" s="3">
        <v>102502</v>
      </c>
      <c r="R41" s="3">
        <v>112308</v>
      </c>
      <c r="S41" s="3">
        <v>121375</v>
      </c>
      <c r="AO41" s="3" t="s">
        <v>148</v>
      </c>
      <c r="AP41" s="3">
        <f>NPV(AP40,AC24:IH24)</f>
        <v>3216140.3292751713</v>
      </c>
    </row>
    <row r="42" spans="2:42" s="3" customFormat="1" x14ac:dyDescent="0.3">
      <c r="B42" s="3" t="s">
        <v>69</v>
      </c>
      <c r="L42" s="3">
        <v>13148</v>
      </c>
      <c r="O42" s="3">
        <v>13879</v>
      </c>
      <c r="P42" s="3">
        <v>67886</v>
      </c>
      <c r="Q42" s="3">
        <v>15435</v>
      </c>
      <c r="R42" s="3">
        <v>16398</v>
      </c>
      <c r="S42" s="3">
        <v>17371</v>
      </c>
      <c r="AO42" s="3" t="s">
        <v>3</v>
      </c>
      <c r="AP42" s="3">
        <f>MSFT!L5</f>
        <v>94828</v>
      </c>
    </row>
    <row r="43" spans="2:42" s="3" customFormat="1" x14ac:dyDescent="0.3">
      <c r="B43" s="3" t="s">
        <v>70</v>
      </c>
      <c r="L43" s="3">
        <f>67524+11298</f>
        <v>78822</v>
      </c>
      <c r="O43" s="3">
        <f>67940+9879</f>
        <v>77819</v>
      </c>
      <c r="P43" s="3">
        <f>67886+6366</f>
        <v>74252</v>
      </c>
      <c r="Q43" s="3">
        <f>67790+8895</f>
        <v>76685</v>
      </c>
      <c r="R43" s="3">
        <f>118931+29896</f>
        <v>148827</v>
      </c>
      <c r="S43" s="3">
        <f>119163+28828</f>
        <v>147991</v>
      </c>
      <c r="AO43" s="3" t="s">
        <v>149</v>
      </c>
      <c r="AP43" s="3">
        <f>AP41-AP42</f>
        <v>3121312.3292751713</v>
      </c>
    </row>
    <row r="44" spans="2:42" s="3" customFormat="1" x14ac:dyDescent="0.3">
      <c r="B44" s="3" t="s">
        <v>71</v>
      </c>
      <c r="L44" s="3">
        <v>21897</v>
      </c>
      <c r="O44" s="3">
        <v>26954</v>
      </c>
      <c r="P44" s="3">
        <v>30601</v>
      </c>
      <c r="Q44" s="3">
        <v>32154</v>
      </c>
      <c r="R44" s="3">
        <v>32265</v>
      </c>
      <c r="S44" s="3">
        <v>35551</v>
      </c>
      <c r="AO44" s="3" t="s">
        <v>148</v>
      </c>
      <c r="AP44" s="44">
        <f>AP43/MSFT!L3</f>
        <v>419.96554175622919</v>
      </c>
    </row>
    <row r="45" spans="2:42" s="8" customFormat="1" x14ac:dyDescent="0.3">
      <c r="B45" s="8" t="s">
        <v>72</v>
      </c>
      <c r="K45" s="8">
        <f t="shared" ref="K45:S45" si="68">SUM(K37:K44)</f>
        <v>0</v>
      </c>
      <c r="L45" s="8">
        <f t="shared" si="68"/>
        <v>364840</v>
      </c>
      <c r="M45" s="8">
        <f t="shared" si="68"/>
        <v>0</v>
      </c>
      <c r="N45" s="8">
        <f t="shared" si="68"/>
        <v>0</v>
      </c>
      <c r="O45" s="8">
        <f t="shared" si="68"/>
        <v>380088</v>
      </c>
      <c r="P45" s="8">
        <f t="shared" si="68"/>
        <v>460516</v>
      </c>
      <c r="Q45" s="8">
        <f t="shared" si="68"/>
        <v>382286</v>
      </c>
      <c r="R45" s="8">
        <f t="shared" si="68"/>
        <v>470558</v>
      </c>
      <c r="S45" s="8">
        <f t="shared" si="68"/>
        <v>484275</v>
      </c>
    </row>
    <row r="46" spans="2:42" s="3" customFormat="1" x14ac:dyDescent="0.3">
      <c r="B46" s="3" t="s">
        <v>73</v>
      </c>
      <c r="L46" s="3">
        <v>19000</v>
      </c>
      <c r="O46" s="3">
        <v>15305</v>
      </c>
      <c r="P46" s="3">
        <v>18095</v>
      </c>
      <c r="Q46" s="3">
        <v>19307</v>
      </c>
      <c r="R46" s="3">
        <v>17695</v>
      </c>
      <c r="S46" s="3">
        <v>18087</v>
      </c>
    </row>
    <row r="47" spans="2:42" s="3" customFormat="1" x14ac:dyDescent="0.3">
      <c r="B47" s="3" t="s">
        <v>4</v>
      </c>
      <c r="L47" s="3">
        <f>2749+47032</f>
        <v>49781</v>
      </c>
      <c r="O47" s="3">
        <f>6245+41965</f>
        <v>48210</v>
      </c>
      <c r="P47" s="3">
        <f>5247+41990</f>
        <v>47237</v>
      </c>
      <c r="Q47" s="3">
        <f>25808+41946+3748</f>
        <v>71502</v>
      </c>
      <c r="R47" s="3">
        <f>27041+2250+44928</f>
        <v>74219</v>
      </c>
      <c r="S47" s="3">
        <f>20535+42658+2249</f>
        <v>65442</v>
      </c>
    </row>
    <row r="48" spans="2:42" s="3" customFormat="1" x14ac:dyDescent="0.3">
      <c r="B48" s="3" t="s">
        <v>74</v>
      </c>
      <c r="L48" s="3">
        <v>10661</v>
      </c>
      <c r="O48" s="3">
        <v>10411</v>
      </c>
      <c r="P48" s="3">
        <v>11009</v>
      </c>
      <c r="Q48" s="3">
        <v>6990</v>
      </c>
      <c r="R48" s="3">
        <v>8813</v>
      </c>
      <c r="S48" s="3">
        <v>10432</v>
      </c>
    </row>
    <row r="49" spans="2:22" s="3" customFormat="1" x14ac:dyDescent="0.3">
      <c r="B49" s="3" t="s">
        <v>75</v>
      </c>
      <c r="L49" s="3">
        <v>4067</v>
      </c>
      <c r="O49" s="3">
        <v>4163</v>
      </c>
      <c r="P49" s="3">
        <v>4152</v>
      </c>
      <c r="Q49" s="3">
        <v>8035</v>
      </c>
      <c r="R49" s="3">
        <v>5787</v>
      </c>
      <c r="S49" s="3">
        <v>7311</v>
      </c>
    </row>
    <row r="50" spans="2:22" s="3" customFormat="1" x14ac:dyDescent="0.3">
      <c r="B50" s="3" t="s">
        <v>76</v>
      </c>
      <c r="L50" s="3">
        <v>45538</v>
      </c>
      <c r="O50" s="3">
        <v>36903</v>
      </c>
      <c r="P50" s="3">
        <v>50901</v>
      </c>
      <c r="Q50" s="3">
        <v>46429</v>
      </c>
      <c r="R50" s="3">
        <v>43068</v>
      </c>
      <c r="S50" s="3">
        <v>41888</v>
      </c>
    </row>
    <row r="51" spans="2:22" s="3" customFormat="1" x14ac:dyDescent="0.3">
      <c r="B51" s="3" t="s">
        <v>77</v>
      </c>
      <c r="L51" s="3">
        <v>13067</v>
      </c>
      <c r="O51" s="3">
        <v>12664</v>
      </c>
      <c r="P51" s="3">
        <v>14745</v>
      </c>
      <c r="Q51" s="3">
        <v>14475</v>
      </c>
      <c r="R51" s="3">
        <v>16362</v>
      </c>
      <c r="S51" s="3">
        <v>18023</v>
      </c>
    </row>
    <row r="52" spans="2:22" s="3" customFormat="1" x14ac:dyDescent="0.3">
      <c r="B52" s="3" t="s">
        <v>78</v>
      </c>
      <c r="L52" s="3">
        <v>26069</v>
      </c>
      <c r="O52" s="3">
        <v>25000</v>
      </c>
      <c r="P52" s="3">
        <v>25560</v>
      </c>
      <c r="Q52" s="3">
        <v>22983</v>
      </c>
      <c r="R52" s="3">
        <v>25890</v>
      </c>
      <c r="S52" s="3">
        <v>26786</v>
      </c>
    </row>
    <row r="53" spans="2:22" s="3" customFormat="1" x14ac:dyDescent="0.3">
      <c r="B53" s="3" t="s">
        <v>79</v>
      </c>
      <c r="L53" s="3">
        <v>2870</v>
      </c>
      <c r="O53" s="3">
        <v>2698</v>
      </c>
      <c r="P53" s="3">
        <v>2912</v>
      </c>
      <c r="Q53" s="3">
        <v>2759</v>
      </c>
      <c r="R53" s="3">
        <v>2966</v>
      </c>
      <c r="S53" s="3">
        <v>2945</v>
      </c>
    </row>
    <row r="54" spans="2:22" s="3" customFormat="1" x14ac:dyDescent="0.3">
      <c r="B54" s="3" t="s">
        <v>80</v>
      </c>
      <c r="L54" s="3">
        <v>230</v>
      </c>
      <c r="O54" s="3">
        <v>302</v>
      </c>
      <c r="P54" s="3">
        <v>433</v>
      </c>
      <c r="Q54" s="3">
        <v>470</v>
      </c>
      <c r="R54" s="3">
        <v>2548</v>
      </c>
      <c r="S54" s="3">
        <v>2469</v>
      </c>
    </row>
    <row r="55" spans="2:22" x14ac:dyDescent="0.3">
      <c r="B55" s="3" t="s">
        <v>81</v>
      </c>
      <c r="L55" s="3">
        <v>11489</v>
      </c>
      <c r="O55" s="3">
        <v>12312</v>
      </c>
      <c r="P55" s="3">
        <v>12728</v>
      </c>
      <c r="Q55" s="3">
        <v>13487</v>
      </c>
      <c r="R55" s="3">
        <v>14155</v>
      </c>
      <c r="S55" s="3">
        <v>14469</v>
      </c>
    </row>
    <row r="56" spans="2:22" x14ac:dyDescent="0.3">
      <c r="B56" s="3" t="s">
        <v>82</v>
      </c>
      <c r="L56" s="3">
        <v>15526</v>
      </c>
      <c r="O56" s="3">
        <v>17437</v>
      </c>
      <c r="P56" s="3">
        <v>17981</v>
      </c>
      <c r="Q56" s="3">
        <v>18634</v>
      </c>
      <c r="R56" s="3">
        <v>20787</v>
      </c>
      <c r="S56" s="3">
        <v>23271</v>
      </c>
    </row>
    <row r="57" spans="2:22" s="16" customFormat="1" x14ac:dyDescent="0.3">
      <c r="B57" s="8" t="s">
        <v>83</v>
      </c>
      <c r="K57" s="8">
        <f t="shared" ref="K57:O57" si="69">SUM(K46:K56)</f>
        <v>0</v>
      </c>
      <c r="L57" s="8">
        <f t="shared" si="69"/>
        <v>198298</v>
      </c>
      <c r="M57" s="8">
        <f t="shared" si="69"/>
        <v>0</v>
      </c>
      <c r="N57" s="8">
        <f t="shared" si="69"/>
        <v>0</v>
      </c>
      <c r="O57" s="8">
        <f t="shared" si="69"/>
        <v>185405</v>
      </c>
      <c r="P57" s="8">
        <f>SUM(P46:P56)</f>
        <v>205753</v>
      </c>
      <c r="Q57" s="8">
        <f>SUM(Q46:Q56)</f>
        <v>225071</v>
      </c>
      <c r="R57" s="8">
        <f>SUM(R46:R56)</f>
        <v>232290</v>
      </c>
      <c r="S57" s="8">
        <f>SUM(S46:S56)</f>
        <v>231123</v>
      </c>
    </row>
    <row r="58" spans="2:22" x14ac:dyDescent="0.3">
      <c r="B58" s="3" t="s">
        <v>84</v>
      </c>
      <c r="L58" s="3">
        <v>166542</v>
      </c>
      <c r="O58" s="3">
        <v>194683</v>
      </c>
      <c r="P58" s="3">
        <v>206223</v>
      </c>
      <c r="Q58" s="3">
        <v>220714</v>
      </c>
      <c r="R58" s="3">
        <v>238268</v>
      </c>
      <c r="S58" s="3">
        <v>253152</v>
      </c>
    </row>
    <row r="59" spans="2:22" s="18" customFormat="1" ht="15" thickBot="1" x14ac:dyDescent="0.35">
      <c r="B59" s="9" t="s">
        <v>85</v>
      </c>
      <c r="K59" s="9">
        <f t="shared" ref="K59:S59" si="70">K58+K57</f>
        <v>0</v>
      </c>
      <c r="L59" s="9">
        <f t="shared" si="70"/>
        <v>364840</v>
      </c>
      <c r="M59" s="9">
        <f t="shared" si="70"/>
        <v>0</v>
      </c>
      <c r="N59" s="9">
        <f t="shared" si="70"/>
        <v>0</v>
      </c>
      <c r="O59" s="9">
        <f t="shared" si="70"/>
        <v>380088</v>
      </c>
      <c r="P59" s="9">
        <f t="shared" si="70"/>
        <v>411976</v>
      </c>
      <c r="Q59" s="9">
        <f t="shared" si="70"/>
        <v>445785</v>
      </c>
      <c r="R59" s="9">
        <f t="shared" si="70"/>
        <v>470558</v>
      </c>
      <c r="S59" s="9">
        <f t="shared" si="70"/>
        <v>484275</v>
      </c>
    </row>
    <row r="60" spans="2:22" ht="15" thickTop="1" x14ac:dyDescent="0.3"/>
    <row r="61" spans="2:22" s="8" customFormat="1" x14ac:dyDescent="0.3">
      <c r="B61" s="8" t="s">
        <v>90</v>
      </c>
      <c r="I61" s="8">
        <f t="shared" ref="I61:V61" si="71">I24</f>
        <v>0</v>
      </c>
      <c r="J61" s="8">
        <f t="shared" si="71"/>
        <v>0</v>
      </c>
      <c r="K61" s="8">
        <f t="shared" si="71"/>
        <v>16728</v>
      </c>
      <c r="L61" s="8">
        <f t="shared" si="71"/>
        <v>16740</v>
      </c>
      <c r="M61" s="8">
        <f t="shared" si="71"/>
        <v>17556</v>
      </c>
      <c r="N61" s="8">
        <f t="shared" si="71"/>
        <v>16425</v>
      </c>
      <c r="O61" s="8">
        <f t="shared" si="71"/>
        <v>18299</v>
      </c>
      <c r="P61" s="8">
        <f t="shared" si="71"/>
        <v>20081</v>
      </c>
      <c r="Q61" s="8">
        <f t="shared" si="71"/>
        <v>22291</v>
      </c>
      <c r="R61" s="8">
        <f t="shared" si="71"/>
        <v>21870</v>
      </c>
      <c r="S61" s="8">
        <f t="shared" si="71"/>
        <v>21939</v>
      </c>
      <c r="T61" s="8">
        <f t="shared" si="71"/>
        <v>23222.596800000007</v>
      </c>
      <c r="U61" s="8">
        <f t="shared" si="71"/>
        <v>25803.563200000004</v>
      </c>
      <c r="V61" s="8">
        <f t="shared" si="71"/>
        <v>25376.203800000003</v>
      </c>
    </row>
    <row r="62" spans="2:22" s="3" customFormat="1" x14ac:dyDescent="0.3">
      <c r="B62" s="3" t="s">
        <v>91</v>
      </c>
      <c r="K62" s="3">
        <v>16728</v>
      </c>
      <c r="O62" s="3">
        <v>18299</v>
      </c>
      <c r="P62" s="3">
        <v>20081</v>
      </c>
      <c r="Q62" s="3">
        <v>22291</v>
      </c>
      <c r="R62" s="3">
        <v>21870</v>
      </c>
      <c r="S62" s="3">
        <v>21939</v>
      </c>
    </row>
    <row r="63" spans="2:22" s="3" customFormat="1" x14ac:dyDescent="0.3">
      <c r="B63" s="3" t="s">
        <v>92</v>
      </c>
      <c r="K63" s="3">
        <v>3773</v>
      </c>
      <c r="O63" s="3">
        <v>3549</v>
      </c>
      <c r="P63" s="3">
        <v>3874</v>
      </c>
      <c r="Q63" s="3">
        <v>3921</v>
      </c>
      <c r="R63" s="3">
        <v>5959</v>
      </c>
      <c r="S63" s="3">
        <v>6027</v>
      </c>
    </row>
    <row r="64" spans="2:22" s="3" customFormat="1" x14ac:dyDescent="0.3">
      <c r="B64" s="3" t="s">
        <v>93</v>
      </c>
      <c r="K64" s="3">
        <v>1906</v>
      </c>
      <c r="O64" s="3">
        <v>2465</v>
      </c>
      <c r="P64" s="3">
        <v>2416</v>
      </c>
      <c r="Q64" s="3">
        <v>2507</v>
      </c>
      <c r="R64" s="3">
        <v>2828</v>
      </c>
      <c r="S64" s="3">
        <v>2703</v>
      </c>
    </row>
    <row r="65" spans="2:24" s="3" customFormat="1" x14ac:dyDescent="0.3">
      <c r="B65" s="3" t="s">
        <v>94</v>
      </c>
      <c r="K65" s="3">
        <v>105</v>
      </c>
      <c r="O65" s="3">
        <v>-40</v>
      </c>
      <c r="P65" s="3">
        <v>44</v>
      </c>
      <c r="Q65" s="3">
        <v>14</v>
      </c>
      <c r="R65" s="3">
        <v>198</v>
      </c>
      <c r="S65" s="3">
        <v>49</v>
      </c>
    </row>
    <row r="66" spans="2:24" s="3" customFormat="1" x14ac:dyDescent="0.3">
      <c r="B66" s="3" t="s">
        <v>95</v>
      </c>
      <c r="K66" s="3">
        <v>-198</v>
      </c>
      <c r="O66" s="3">
        <v>-1675</v>
      </c>
      <c r="P66" s="3">
        <v>-1888</v>
      </c>
      <c r="Q66" s="3">
        <v>-568</v>
      </c>
      <c r="R66" s="3">
        <v>-1702</v>
      </c>
      <c r="S66" s="3">
        <v>-1323</v>
      </c>
    </row>
    <row r="67" spans="2:24" s="3" customFormat="1" x14ac:dyDescent="0.3">
      <c r="B67" s="3" t="s">
        <v>65</v>
      </c>
      <c r="K67" s="3">
        <v>857</v>
      </c>
      <c r="O67" s="3">
        <v>-1408</v>
      </c>
      <c r="P67" s="3">
        <v>-11244</v>
      </c>
      <c r="Q67" s="3">
        <v>11034</v>
      </c>
      <c r="R67" s="3">
        <v>-2951</v>
      </c>
      <c r="S67" s="3">
        <v>-2028</v>
      </c>
    </row>
    <row r="68" spans="2:24" s="3" customFormat="1" x14ac:dyDescent="0.3">
      <c r="B68" s="3" t="s">
        <v>66</v>
      </c>
      <c r="K68" s="3">
        <v>-279</v>
      </c>
      <c r="O68" s="3">
        <v>106</v>
      </c>
      <c r="P68" s="3">
        <v>374</v>
      </c>
      <c r="Q68" s="3">
        <v>-505</v>
      </c>
      <c r="R68" s="3">
        <v>1474</v>
      </c>
      <c r="S68" s="3">
        <v>260</v>
      </c>
    </row>
    <row r="69" spans="2:24" s="3" customFormat="1" x14ac:dyDescent="0.3">
      <c r="B69" s="3" t="s">
        <v>67</v>
      </c>
      <c r="K69" s="3">
        <v>91</v>
      </c>
      <c r="O69" s="3">
        <v>1152</v>
      </c>
      <c r="P69" s="3">
        <v>-2419</v>
      </c>
      <c r="Q69" s="3">
        <v>-796</v>
      </c>
      <c r="R69" s="3">
        <v>725</v>
      </c>
      <c r="S69" s="3">
        <v>951</v>
      </c>
    </row>
    <row r="70" spans="2:24" s="3" customFormat="1" x14ac:dyDescent="0.3">
      <c r="B70" s="3" t="s">
        <v>71</v>
      </c>
      <c r="K70" s="3">
        <v>-724</v>
      </c>
      <c r="O70" s="3">
        <v>-554</v>
      </c>
      <c r="P70" s="3">
        <v>-1548</v>
      </c>
      <c r="Q70" s="3">
        <v>-2013</v>
      </c>
      <c r="R70" s="3">
        <v>-1427</v>
      </c>
      <c r="S70" s="3">
        <v>-2137</v>
      </c>
    </row>
    <row r="71" spans="2:24" s="3" customFormat="1" x14ac:dyDescent="0.3">
      <c r="B71" s="3" t="s">
        <v>73</v>
      </c>
      <c r="K71" s="3">
        <v>520</v>
      </c>
      <c r="O71" s="3">
        <v>-407</v>
      </c>
      <c r="P71" s="3">
        <v>1311</v>
      </c>
      <c r="Q71" s="3">
        <v>1214</v>
      </c>
      <c r="R71" s="3">
        <v>-2521</v>
      </c>
      <c r="S71" s="3">
        <v>648</v>
      </c>
    </row>
    <row r="72" spans="2:24" s="3" customFormat="1" x14ac:dyDescent="0.3">
      <c r="B72" s="3" t="s">
        <v>96</v>
      </c>
      <c r="K72" s="3">
        <v>-209</v>
      </c>
      <c r="O72" s="3">
        <v>-181</v>
      </c>
      <c r="P72" s="3">
        <v>14224</v>
      </c>
      <c r="Q72" s="3">
        <v>-4126</v>
      </c>
      <c r="R72" s="3">
        <v>-5538</v>
      </c>
      <c r="S72" s="3">
        <v>-645</v>
      </c>
    </row>
    <row r="73" spans="2:24" s="3" customFormat="1" x14ac:dyDescent="0.3">
      <c r="B73" s="3" t="s">
        <v>48</v>
      </c>
      <c r="K73" s="3">
        <v>1091</v>
      </c>
      <c r="O73" s="3">
        <v>1414</v>
      </c>
      <c r="P73" s="3">
        <v>681</v>
      </c>
      <c r="Q73" s="3">
        <v>1425</v>
      </c>
      <c r="R73" s="3">
        <v>-1554</v>
      </c>
      <c r="S73" s="3">
        <v>2622</v>
      </c>
    </row>
    <row r="74" spans="2:24" s="3" customFormat="1" x14ac:dyDescent="0.3">
      <c r="B74" s="3" t="s">
        <v>77</v>
      </c>
      <c r="K74" s="3">
        <v>1287</v>
      </c>
      <c r="O74" s="3">
        <v>1715</v>
      </c>
      <c r="P74" s="3">
        <v>2762</v>
      </c>
      <c r="Q74" s="3">
        <v>-4106</v>
      </c>
      <c r="R74" s="3">
        <v>1518</v>
      </c>
      <c r="S74" s="3">
        <v>2803</v>
      </c>
    </row>
    <row r="75" spans="2:24" s="3" customFormat="1" x14ac:dyDescent="0.3">
      <c r="B75" s="3" t="s">
        <v>82</v>
      </c>
      <c r="K75" s="3">
        <v>438</v>
      </c>
      <c r="O75" s="3">
        <v>6</v>
      </c>
      <c r="P75" s="3">
        <v>102</v>
      </c>
      <c r="Q75" s="3">
        <v>290</v>
      </c>
      <c r="R75" s="3">
        <v>-26</v>
      </c>
      <c r="S75" s="3">
        <v>48</v>
      </c>
    </row>
    <row r="76" spans="2:24" s="8" customFormat="1" x14ac:dyDescent="0.3">
      <c r="B76" s="8" t="s">
        <v>97</v>
      </c>
      <c r="J76" s="8">
        <f t="shared" ref="J76:O76" si="72">SUM(J62:J75)</f>
        <v>0</v>
      </c>
      <c r="K76" s="8">
        <f t="shared" si="72"/>
        <v>25386</v>
      </c>
      <c r="L76" s="8">
        <f t="shared" si="72"/>
        <v>0</v>
      </c>
      <c r="M76" s="8">
        <f t="shared" si="72"/>
        <v>0</v>
      </c>
      <c r="N76" s="8">
        <f t="shared" si="72"/>
        <v>0</v>
      </c>
      <c r="O76" s="8">
        <f t="shared" si="72"/>
        <v>24441</v>
      </c>
      <c r="P76" s="8">
        <f>SUM(P62:P75)</f>
        <v>28770</v>
      </c>
      <c r="Q76" s="8">
        <f t="shared" ref="Q76:X76" si="73">SUM(Q62:Q75)</f>
        <v>30582</v>
      </c>
      <c r="R76" s="8">
        <f>SUM(R62:R75)</f>
        <v>18853</v>
      </c>
      <c r="S76" s="8">
        <f t="shared" si="73"/>
        <v>31917</v>
      </c>
      <c r="T76" s="8">
        <f t="shared" si="73"/>
        <v>0</v>
      </c>
      <c r="U76" s="8">
        <f t="shared" si="73"/>
        <v>0</v>
      </c>
      <c r="V76" s="8">
        <f t="shared" si="73"/>
        <v>0</v>
      </c>
      <c r="W76" s="8">
        <f t="shared" si="73"/>
        <v>0</v>
      </c>
      <c r="X76" s="8">
        <f t="shared" si="73"/>
        <v>0</v>
      </c>
    </row>
    <row r="77" spans="2:24" s="3" customFormat="1" x14ac:dyDescent="0.3">
      <c r="B77" s="3" t="s">
        <v>112</v>
      </c>
      <c r="Q77" s="3">
        <v>18692</v>
      </c>
      <c r="R77" s="3">
        <v>-8490</v>
      </c>
      <c r="S77" s="3">
        <v>-3810</v>
      </c>
    </row>
    <row r="78" spans="2:24" s="3" customFormat="1" x14ac:dyDescent="0.3">
      <c r="B78" s="3" t="s">
        <v>113</v>
      </c>
      <c r="Q78" s="3">
        <v>7073</v>
      </c>
      <c r="R78" s="3">
        <v>10773</v>
      </c>
      <c r="S78" s="3">
        <v>6352</v>
      </c>
    </row>
    <row r="79" spans="2:24" x14ac:dyDescent="0.3">
      <c r="B79" s="3" t="s">
        <v>98</v>
      </c>
      <c r="K79" s="3">
        <v>-4197</v>
      </c>
      <c r="O79" s="3">
        <v>0</v>
      </c>
      <c r="P79" s="3">
        <v>-1000</v>
      </c>
      <c r="Q79" s="3">
        <v>-1500</v>
      </c>
      <c r="R79" s="3">
        <v>-2916</v>
      </c>
      <c r="S79" s="3">
        <v>-11589</v>
      </c>
    </row>
    <row r="80" spans="2:24" x14ac:dyDescent="0.3">
      <c r="B80" s="3" t="s">
        <v>99</v>
      </c>
      <c r="K80" s="3">
        <v>477</v>
      </c>
      <c r="O80" s="3">
        <v>536</v>
      </c>
      <c r="P80" s="3">
        <v>512</v>
      </c>
      <c r="Q80" s="3">
        <v>685</v>
      </c>
      <c r="R80" s="3">
        <v>261</v>
      </c>
      <c r="S80" s="3">
        <v>522</v>
      </c>
    </row>
    <row r="81" spans="2:24" x14ac:dyDescent="0.3">
      <c r="B81" s="3" t="s">
        <v>100</v>
      </c>
      <c r="K81" s="3">
        <v>-8822</v>
      </c>
      <c r="O81" s="3">
        <v>-5509</v>
      </c>
      <c r="P81" s="3">
        <v>-5704</v>
      </c>
      <c r="Q81" s="3">
        <v>-4831</v>
      </c>
      <c r="R81" s="3">
        <v>-4000</v>
      </c>
      <c r="S81" s="3">
        <v>-4213</v>
      </c>
    </row>
    <row r="82" spans="2:24" x14ac:dyDescent="0.3">
      <c r="B82" s="3" t="s">
        <v>101</v>
      </c>
      <c r="K82" s="3">
        <v>-4654</v>
      </c>
      <c r="O82" s="3">
        <v>-5059</v>
      </c>
      <c r="P82" s="3">
        <v>-5054</v>
      </c>
      <c r="Q82" s="3">
        <v>-5051</v>
      </c>
      <c r="R82" s="3">
        <v>-5574</v>
      </c>
      <c r="S82" s="3">
        <v>-5572</v>
      </c>
    </row>
    <row r="83" spans="2:24" x14ac:dyDescent="0.3">
      <c r="B83" s="3" t="s">
        <v>46</v>
      </c>
      <c r="K83" s="3">
        <v>-158</v>
      </c>
      <c r="O83" s="3">
        <v>-258</v>
      </c>
      <c r="P83" s="3">
        <v>-167</v>
      </c>
      <c r="Q83" s="3">
        <v>-307</v>
      </c>
      <c r="R83" s="3">
        <v>-201</v>
      </c>
      <c r="S83" s="3">
        <v>-498</v>
      </c>
    </row>
    <row r="84" spans="2:24" s="16" customFormat="1" x14ac:dyDescent="0.3">
      <c r="B84" s="8" t="s">
        <v>102</v>
      </c>
      <c r="H84" s="8">
        <f t="shared" ref="H84:O84" si="74">SUM(H79:H83)</f>
        <v>0</v>
      </c>
      <c r="I84" s="8">
        <f t="shared" si="74"/>
        <v>0</v>
      </c>
      <c r="J84" s="8">
        <f t="shared" si="74"/>
        <v>0</v>
      </c>
      <c r="K84" s="8">
        <f t="shared" si="74"/>
        <v>-17354</v>
      </c>
      <c r="L84" s="8">
        <f t="shared" si="74"/>
        <v>0</v>
      </c>
      <c r="M84" s="8">
        <f t="shared" si="74"/>
        <v>0</v>
      </c>
      <c r="N84" s="8">
        <f t="shared" si="74"/>
        <v>0</v>
      </c>
      <c r="O84" s="8">
        <f t="shared" si="74"/>
        <v>-10290</v>
      </c>
      <c r="P84" s="8">
        <f>SUM(P79:P83)</f>
        <v>-11413</v>
      </c>
      <c r="Q84" s="8">
        <f>SUM(Q77:Q83)</f>
        <v>14761</v>
      </c>
      <c r="R84" s="8">
        <f>SUM(R77:R83)</f>
        <v>-10147</v>
      </c>
      <c r="S84" s="8">
        <f>SUM(S77:S83)</f>
        <v>-18808</v>
      </c>
      <c r="T84" s="8">
        <f t="shared" ref="T84:X84" si="75">SUM(T77:T83)</f>
        <v>0</v>
      </c>
      <c r="U84" s="8">
        <f t="shared" si="75"/>
        <v>0</v>
      </c>
      <c r="V84" s="8">
        <f t="shared" si="75"/>
        <v>0</v>
      </c>
      <c r="W84" s="8">
        <f t="shared" si="75"/>
        <v>0</v>
      </c>
      <c r="X84" s="8">
        <f t="shared" si="75"/>
        <v>0</v>
      </c>
    </row>
    <row r="85" spans="2:24" x14ac:dyDescent="0.3">
      <c r="B85" s="3" t="s">
        <v>115</v>
      </c>
      <c r="K85" s="3">
        <v>-5340</v>
      </c>
      <c r="O85" s="3">
        <v>-6607</v>
      </c>
      <c r="P85" s="3">
        <v>-8943</v>
      </c>
      <c r="Q85" s="3">
        <v>-9917</v>
      </c>
      <c r="R85" s="3">
        <v>-9735</v>
      </c>
      <c r="S85" s="3">
        <v>-10952</v>
      </c>
    </row>
    <row r="86" spans="2:24" x14ac:dyDescent="0.3">
      <c r="B86" s="3" t="s">
        <v>103</v>
      </c>
      <c r="K86" s="3">
        <v>-18719</v>
      </c>
      <c r="O86" s="3">
        <v>-301</v>
      </c>
      <c r="P86" s="3">
        <v>-341</v>
      </c>
      <c r="Q86" s="3">
        <v>-1186</v>
      </c>
      <c r="R86" s="3">
        <v>-65029</v>
      </c>
      <c r="S86" s="3">
        <v>-1575</v>
      </c>
    </row>
    <row r="87" spans="2:24" x14ac:dyDescent="0.3">
      <c r="B87" s="3" t="s">
        <v>104</v>
      </c>
      <c r="K87" s="3">
        <v>-8723</v>
      </c>
      <c r="O87" s="3">
        <v>-9063</v>
      </c>
      <c r="P87" s="3">
        <v>-11976</v>
      </c>
      <c r="Q87" s="3">
        <v>-8460</v>
      </c>
      <c r="R87" s="3">
        <v>-4258</v>
      </c>
      <c r="S87" s="3">
        <v>-2183</v>
      </c>
    </row>
    <row r="88" spans="2:24" x14ac:dyDescent="0.3">
      <c r="B88" s="3" t="s">
        <v>111</v>
      </c>
      <c r="K88" s="3">
        <v>1099</v>
      </c>
      <c r="O88" s="3">
        <v>13154</v>
      </c>
      <c r="P88" s="3">
        <v>6766</v>
      </c>
      <c r="Q88" s="3">
        <v>15718</v>
      </c>
      <c r="R88" s="3">
        <v>4150</v>
      </c>
      <c r="S88" s="3">
        <v>3350</v>
      </c>
    </row>
    <row r="89" spans="2:24" x14ac:dyDescent="0.3">
      <c r="B89" s="3" t="s">
        <v>105</v>
      </c>
      <c r="K89" s="3">
        <v>16693</v>
      </c>
      <c r="O89" s="3">
        <v>1239</v>
      </c>
      <c r="P89" s="3">
        <v>5629</v>
      </c>
      <c r="Q89" s="3">
        <v>5330</v>
      </c>
      <c r="R89" s="3">
        <v>1600</v>
      </c>
      <c r="S89" s="3">
        <v>1941</v>
      </c>
    </row>
    <row r="90" spans="2:24" x14ac:dyDescent="0.3">
      <c r="B90" s="3" t="s">
        <v>46</v>
      </c>
      <c r="K90" s="3">
        <v>-1181</v>
      </c>
      <c r="O90" s="3">
        <v>-1686</v>
      </c>
      <c r="P90">
        <v>-269</v>
      </c>
      <c r="Q90" s="3">
        <v>-982</v>
      </c>
      <c r="R90" s="3">
        <v>1347</v>
      </c>
      <c r="S90" s="3">
        <v>-1281</v>
      </c>
    </row>
    <row r="91" spans="2:24" s="16" customFormat="1" x14ac:dyDescent="0.3">
      <c r="B91" s="8" t="s">
        <v>106</v>
      </c>
      <c r="J91" s="8">
        <f t="shared" ref="J91:O91" si="76">SUM(J85:J90)</f>
        <v>0</v>
      </c>
      <c r="K91" s="8">
        <f t="shared" si="76"/>
        <v>-16171</v>
      </c>
      <c r="L91" s="8">
        <f t="shared" si="76"/>
        <v>0</v>
      </c>
      <c r="M91" s="8">
        <f t="shared" si="76"/>
        <v>0</v>
      </c>
      <c r="N91" s="8">
        <f t="shared" si="76"/>
        <v>0</v>
      </c>
      <c r="O91" s="8">
        <f t="shared" si="76"/>
        <v>-3264</v>
      </c>
      <c r="P91" s="8">
        <f>SUM(P85:P90)</f>
        <v>-9134</v>
      </c>
      <c r="Q91" s="8">
        <f t="shared" ref="Q91:V91" si="77">SUM(Q85:Q90)</f>
        <v>503</v>
      </c>
      <c r="R91" s="8">
        <f t="shared" si="77"/>
        <v>-71925</v>
      </c>
      <c r="S91" s="8">
        <f t="shared" si="77"/>
        <v>-10700</v>
      </c>
      <c r="T91" s="8">
        <f t="shared" si="77"/>
        <v>0</v>
      </c>
      <c r="U91" s="8">
        <f t="shared" si="77"/>
        <v>0</v>
      </c>
      <c r="V91" s="8">
        <f t="shared" si="77"/>
        <v>0</v>
      </c>
    </row>
    <row r="92" spans="2:24" x14ac:dyDescent="0.3">
      <c r="B92" s="3" t="s">
        <v>107</v>
      </c>
      <c r="K92" s="3">
        <v>24</v>
      </c>
      <c r="O92" s="3">
        <v>29</v>
      </c>
      <c r="P92" s="3">
        <v>-81</v>
      </c>
      <c r="Q92" s="3">
        <v>-99</v>
      </c>
      <c r="R92" s="3">
        <v>72</v>
      </c>
      <c r="S92" s="3">
        <v>-80</v>
      </c>
    </row>
    <row r="93" spans="2:24" x14ac:dyDescent="0.3">
      <c r="B93" s="3" t="s">
        <v>108</v>
      </c>
      <c r="K93" s="3">
        <v>-8106</v>
      </c>
      <c r="O93" s="3">
        <v>10916</v>
      </c>
      <c r="P93" s="3">
        <v>8142</v>
      </c>
      <c r="Q93" s="3">
        <v>45748</v>
      </c>
      <c r="R93" s="3">
        <v>-63147</v>
      </c>
      <c r="S93" s="3">
        <v>2329</v>
      </c>
    </row>
    <row r="94" spans="2:24" x14ac:dyDescent="0.3">
      <c r="B94" s="3" t="s">
        <v>109</v>
      </c>
      <c r="K94" s="3">
        <v>20604</v>
      </c>
      <c r="O94" s="3">
        <v>15646</v>
      </c>
      <c r="P94" s="3">
        <v>26562</v>
      </c>
      <c r="Q94" s="3">
        <v>34704</v>
      </c>
      <c r="R94" s="3">
        <v>80452</v>
      </c>
      <c r="S94" s="3">
        <v>17305</v>
      </c>
    </row>
    <row r="95" spans="2:24" s="14" customFormat="1" ht="15" thickBot="1" x14ac:dyDescent="0.35">
      <c r="B95" s="15" t="s">
        <v>110</v>
      </c>
      <c r="J95" s="15">
        <f>SUM(J93:J94)</f>
        <v>0</v>
      </c>
      <c r="K95" s="15">
        <f>SUM(K93:K94)</f>
        <v>12498</v>
      </c>
      <c r="L95" s="15">
        <f t="shared" ref="L95:O95" si="78">SUM(L93:L94)</f>
        <v>0</v>
      </c>
      <c r="M95" s="15">
        <f t="shared" si="78"/>
        <v>0</v>
      </c>
      <c r="N95" s="15">
        <f t="shared" si="78"/>
        <v>0</v>
      </c>
      <c r="O95" s="15">
        <f t="shared" si="78"/>
        <v>26562</v>
      </c>
      <c r="P95" s="15">
        <f>SUM(P93:P94)</f>
        <v>34704</v>
      </c>
      <c r="Q95" s="15">
        <f t="shared" ref="Q95:U95" si="79">SUM(Q93:Q94)</f>
        <v>80452</v>
      </c>
      <c r="R95" s="15">
        <f t="shared" si="79"/>
        <v>17305</v>
      </c>
      <c r="S95" s="15">
        <f t="shared" si="79"/>
        <v>19634</v>
      </c>
      <c r="T95" s="15">
        <f t="shared" si="79"/>
        <v>0</v>
      </c>
      <c r="U95" s="15">
        <f t="shared" si="79"/>
        <v>0</v>
      </c>
      <c r="V95" s="15">
        <f>SUM(V93:V94)</f>
        <v>0</v>
      </c>
    </row>
    <row r="96" spans="2:24" ht="15" thickTop="1" x14ac:dyDescent="0.3">
      <c r="B96" s="3" t="s">
        <v>114</v>
      </c>
      <c r="O96" s="3">
        <f>O84+O85</f>
        <v>-16897</v>
      </c>
      <c r="P96" s="3">
        <f>P84+P85</f>
        <v>-20356</v>
      </c>
      <c r="Q96" s="3">
        <f>Q84+Q85</f>
        <v>4844</v>
      </c>
      <c r="R96" s="3">
        <f>R84+R85</f>
        <v>-19882</v>
      </c>
      <c r="S96" s="3">
        <f>S84+S85</f>
        <v>-29760</v>
      </c>
    </row>
    <row r="97" spans="2:19" s="13" customFormat="1" x14ac:dyDescent="0.3">
      <c r="B97" s="7" t="s">
        <v>116</v>
      </c>
      <c r="O97" s="7"/>
      <c r="P97" s="7"/>
      <c r="Q97" s="7"/>
      <c r="R97" s="7">
        <f>SUM(O96:R96)</f>
        <v>-52291</v>
      </c>
      <c r="S97" s="7">
        <f>SUM(P96:S96)</f>
        <v>-65154</v>
      </c>
    </row>
    <row r="98" spans="2:19" s="13" customFormat="1" x14ac:dyDescent="0.3">
      <c r="B98" s="7" t="s">
        <v>117</v>
      </c>
      <c r="O98" s="7"/>
      <c r="P98" s="7"/>
      <c r="Q98" s="7"/>
      <c r="R98" s="7">
        <f>SUM(O62:R62)</f>
        <v>82541</v>
      </c>
      <c r="S98" s="7">
        <f>SUM(P62:S62)</f>
        <v>86181</v>
      </c>
    </row>
    <row r="99" spans="2:19" x14ac:dyDescent="0.3">
      <c r="B99" s="3"/>
      <c r="O99" s="3"/>
      <c r="P99" s="3"/>
      <c r="Q99" s="3"/>
      <c r="R99" s="3"/>
    </row>
    <row r="100" spans="2:19" x14ac:dyDescent="0.3">
      <c r="B100" s="3"/>
    </row>
  </sheetData>
  <phoneticPr fontId="3" type="noConversion"/>
  <hyperlinks>
    <hyperlink ref="A1" location="Sheet2!A1" display="Main" xr:uid="{F11DAF57-F530-4668-9C6A-3624BEB892EC}"/>
  </hyperlinks>
  <pageMargins left="0.7" right="0.7" top="0.75" bottom="0.75" header="0.3" footer="0.3"/>
  <ignoredErrors>
    <ignoredError sqref="AA10:AD16 AA18:AD24 AA17:AC17 AA25:AC2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Vinnublöð</vt:lpstr>
      </vt:variant>
      <vt:variant>
        <vt:i4>2</vt:i4>
      </vt:variant>
    </vt:vector>
  </HeadingPairs>
  <TitlesOfParts>
    <vt:vector size="2" baseType="lpstr">
      <vt:lpstr>MSFT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2024-05-28T15:06:58Z</dcterms:modified>
</cp:coreProperties>
</file>