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imelineCaches/timelineCache1.xml" ContentType="application/vnd.ms-excel.timelineCache+xml"/>
  <Override PartName="/xl/timelineCaches/timelineCache2.xml" ContentType="application/vnd.ms-excel.timeline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imelines/timeline1.xml" ContentType="application/vnd.ms-excel.timelin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3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gugulethu/Projects/Programming/push/personal-finances/"/>
    </mc:Choice>
  </mc:AlternateContent>
  <xr:revisionPtr revIDLastSave="0" documentId="13_ncr:1_{94CCC452-5734-274C-8895-6EF33419DB2D}" xr6:coauthVersionLast="45" xr6:coauthVersionMax="45" xr10:uidLastSave="{00000000-0000-0000-0000-000000000000}"/>
  <bookViews>
    <workbookView xWindow="280" yWindow="220" windowWidth="36980" windowHeight="21080" tabRatio="500" xr2:uid="{00000000-000D-0000-FFFF-FFFF00000000}"/>
  </bookViews>
  <sheets>
    <sheet name="⦿ Dashboard" sheetId="17" r:id="rId1"/>
    <sheet name="± Transactions" sheetId="3" r:id="rId2"/>
    <sheet name="× Investment" sheetId="5" r:id="rId3"/>
    <sheet name="− Debt" sheetId="35" r:id="rId4"/>
    <sheet name="+ Assets" sheetId="37" r:id="rId5"/>
    <sheet name="∷ Settings" sheetId="32" r:id="rId6"/>
    <sheet name="Accounts | Income" sheetId="28" state="hidden" r:id="rId7"/>
    <sheet name="Categories | Subcategories" sheetId="30" state="hidden" r:id="rId8"/>
    <sheet name="Investment" sheetId="31" state="hidden" r:id="rId9"/>
    <sheet name="Debt" sheetId="36" state="hidden" r:id="rId10"/>
    <sheet name="Data" sheetId="34" state="hidden" r:id="rId11"/>
  </sheets>
  <definedNames>
    <definedName name="_xlnm._FilterDatabase" localSheetId="4" hidden="1">'+ Assets'!$A$5:$N$6</definedName>
    <definedName name="_xlnm._FilterDatabase" localSheetId="1" hidden="1">'± Transactions'!$A$5:$O$11</definedName>
    <definedName name="_xlnm._FilterDatabase" localSheetId="2" hidden="1">'× Investment'!$A$5:$O$7</definedName>
    <definedName name="Debit">'± Transactions'!#REF!</definedName>
    <definedName name="NativeTimeline_DATE">#N/A</definedName>
    <definedName name="NativeTimeline_DATE1">#N/A</definedName>
  </definedNames>
  <calcPr calcId="191029" calcMode="autoNoTable" iterate="1"/>
  <pivotCaches>
    <pivotCache cacheId="0" r:id="rId12"/>
    <pivotCache cacheId="9" r:id="rId13"/>
    <pivotCache cacheId="16" r:id="rId14"/>
  </pivotCaches>
  <extLs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15"/>
        <x15:timelineCacheRef r:id="rId16"/>
      </x15:timelineCacheRef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Z113" i="17" l="1" a="1"/>
  <c r="Z113" i="17" s="1"/>
  <c r="Z110" i="17" a="1"/>
  <c r="Z110" i="17" s="1"/>
  <c r="W113" i="17" a="1"/>
  <c r="W113" i="17" s="1"/>
  <c r="T113" i="17" a="1"/>
  <c r="T113" i="17" s="1"/>
  <c r="Q257" i="17" a="1"/>
  <c r="Q257" i="17" l="1"/>
  <c r="J6" i="35"/>
  <c r="M6" i="35" l="1" a="1"/>
  <c r="M6" i="35" s="1"/>
  <c r="Q6" i="5" a="1"/>
  <c r="Q6" i="5" s="1"/>
  <c r="Q7" i="5" a="1"/>
  <c r="Q7" i="5" s="1"/>
  <c r="Q6" i="3" a="1"/>
  <c r="Q6" i="3" s="1"/>
  <c r="Q7" i="3" a="1"/>
  <c r="Q7" i="3" s="1"/>
  <c r="Q8" i="3" a="1"/>
  <c r="Q8" i="3" s="1"/>
  <c r="Q9" i="3" a="1"/>
  <c r="Q9" i="3" s="1"/>
  <c r="Q10" i="3" a="1"/>
  <c r="Q10" i="3" s="1"/>
  <c r="Q11" i="3" a="1"/>
  <c r="Q11" i="3" s="1"/>
  <c r="Q195" i="17" l="1" a="1"/>
  <c r="Q195" i="17" s="1"/>
  <c r="N195" i="17" a="1"/>
  <c r="N195" i="17" s="1"/>
  <c r="K195" i="17" a="1"/>
  <c r="K195" i="17" s="1"/>
  <c r="H195" i="17" a="1"/>
  <c r="H195" i="17" s="1"/>
  <c r="E195" i="17" a="1"/>
  <c r="E195" i="17" s="1"/>
  <c r="B195" i="17" a="1"/>
  <c r="B195" i="17" s="1"/>
  <c r="Y15" i="17" l="1"/>
  <c r="Y12" i="17"/>
  <c r="S15" i="17"/>
  <c r="S12" i="17"/>
  <c r="M15" i="17"/>
  <c r="M12" i="17"/>
  <c r="H15" i="17"/>
  <c r="H12" i="17"/>
  <c r="B15" i="17"/>
  <c r="B12" i="17"/>
  <c r="E110" i="17" a="1"/>
  <c r="K110" i="17" a="1"/>
  <c r="B110" i="17" a="1"/>
  <c r="N110" i="17"/>
  <c r="B110" i="17" l="1"/>
  <c r="E110" i="17"/>
  <c r="K110" i="17"/>
  <c r="I6" i="37"/>
  <c r="J6" i="37"/>
  <c r="K6" i="37"/>
  <c r="L6" i="37" s="1"/>
  <c r="Q23" i="32" l="1"/>
  <c r="Y16" i="17" s="1"/>
  <c r="M6" i="37" a="1"/>
  <c r="M6" i="37" s="1"/>
  <c r="N257" i="17" l="1" a="1"/>
  <c r="N257" i="17" s="1"/>
  <c r="T195" i="17"/>
  <c r="Z195" i="17"/>
  <c r="W195" i="17" s="1" a="1"/>
  <c r="W195" i="17" s="1"/>
  <c r="W110" i="17" a="1"/>
  <c r="W110" i="17" s="1"/>
  <c r="Q110" i="17"/>
  <c r="I6" i="35" l="1"/>
  <c r="K6" i="35" l="1"/>
  <c r="N6" i="5"/>
  <c r="N7" i="5" s="1"/>
  <c r="J6" i="5"/>
  <c r="O6" i="5"/>
  <c r="O7" i="5" s="1"/>
  <c r="M6" i="5"/>
  <c r="M7" i="5" s="1"/>
  <c r="L6" i="5"/>
  <c r="L7" i="5" s="1"/>
  <c r="K6" i="5"/>
  <c r="K7" i="5" s="1"/>
  <c r="I6" i="5"/>
  <c r="I7" i="5" l="1"/>
  <c r="Q21" i="32" s="1" a="1"/>
  <c r="Q21" i="32" s="1"/>
  <c r="S16" i="17" s="1"/>
  <c r="J7" i="5"/>
  <c r="Q19" i="32" s="1" a="1"/>
  <c r="Q19" i="32" s="1"/>
  <c r="M16" i="17" s="1"/>
  <c r="P6" i="5"/>
  <c r="L6" i="35"/>
  <c r="K257" i="17" s="1" a="1"/>
  <c r="K257" i="17" s="1"/>
  <c r="P7" i="5" l="1"/>
  <c r="Q17" i="32" a="1"/>
  <c r="Q17" i="32" s="1"/>
  <c r="H16" i="17" s="1"/>
  <c r="H110" i="17" a="1"/>
  <c r="H110" i="17" s="1"/>
  <c r="T110" i="17" a="1"/>
  <c r="T110" i="17" s="1"/>
  <c r="U2" i="34" l="1"/>
  <c r="T2" i="34"/>
  <c r="S2" i="34"/>
  <c r="R2" i="34"/>
  <c r="Q2" i="34"/>
  <c r="P2" i="34"/>
  <c r="O2" i="34"/>
  <c r="N2" i="34"/>
  <c r="M2" i="34"/>
  <c r="L2" i="34"/>
  <c r="K2" i="34"/>
  <c r="J2" i="34"/>
  <c r="I2" i="34"/>
  <c r="H2" i="34"/>
  <c r="G2" i="34"/>
  <c r="F2" i="34"/>
  <c r="E2" i="34"/>
  <c r="D2" i="34"/>
  <c r="C2" i="34"/>
  <c r="B2" i="34"/>
  <c r="B35" i="34" l="1"/>
  <c r="B31" i="34"/>
  <c r="B32" i="34" s="1"/>
  <c r="B23" i="34"/>
  <c r="B34" i="34"/>
  <c r="B30" i="34"/>
  <c r="B33" i="34"/>
  <c r="B29" i="34"/>
  <c r="B20" i="34"/>
  <c r="B16" i="34"/>
  <c r="B12" i="34"/>
  <c r="B28" i="34"/>
  <c r="B19" i="34"/>
  <c r="B15" i="34"/>
  <c r="B14" i="34" s="1"/>
  <c r="B24" i="34"/>
  <c r="B22" i="34"/>
  <c r="B21" i="34"/>
  <c r="B17" i="34"/>
  <c r="C34" i="34"/>
  <c r="C30" i="34"/>
  <c r="C33" i="34"/>
  <c r="C29" i="34"/>
  <c r="C28" i="34"/>
  <c r="C24" i="34"/>
  <c r="C23" i="34"/>
  <c r="C19" i="34"/>
  <c r="C15" i="34"/>
  <c r="C35" i="34"/>
  <c r="C22" i="34"/>
  <c r="C31" i="34"/>
  <c r="C32" i="34" s="1"/>
  <c r="C21" i="34"/>
  <c r="C17" i="34"/>
  <c r="C20" i="34"/>
  <c r="C16" i="34"/>
  <c r="G34" i="34"/>
  <c r="G30" i="34"/>
  <c r="G33" i="34"/>
  <c r="G29" i="34"/>
  <c r="G28" i="34"/>
  <c r="G24" i="34"/>
  <c r="G35" i="34"/>
  <c r="G19" i="34"/>
  <c r="G15" i="34"/>
  <c r="G31" i="34"/>
  <c r="G32" i="34" s="1"/>
  <c r="G22" i="34"/>
  <c r="G21" i="34"/>
  <c r="G17" i="34"/>
  <c r="G23" i="34"/>
  <c r="G20" i="34"/>
  <c r="G16" i="34"/>
  <c r="K34" i="34"/>
  <c r="K30" i="34"/>
  <c r="K33" i="34"/>
  <c r="K29" i="34"/>
  <c r="K28" i="34"/>
  <c r="K24" i="34"/>
  <c r="K31" i="34"/>
  <c r="K32" i="34" s="1"/>
  <c r="K19" i="34"/>
  <c r="K15" i="34"/>
  <c r="K22" i="34"/>
  <c r="K23" i="34"/>
  <c r="K21" i="34"/>
  <c r="K17" i="34"/>
  <c r="K35" i="34"/>
  <c r="K20" i="34"/>
  <c r="K16" i="34"/>
  <c r="O34" i="34"/>
  <c r="O30" i="34"/>
  <c r="O22" i="34"/>
  <c r="O33" i="34"/>
  <c r="O29" i="34"/>
  <c r="O28" i="34"/>
  <c r="O24" i="34"/>
  <c r="O15" i="34"/>
  <c r="O23" i="34"/>
  <c r="O35" i="34"/>
  <c r="O21" i="34"/>
  <c r="O31" i="34"/>
  <c r="O20" i="34"/>
  <c r="S34" i="34"/>
  <c r="S22" i="34"/>
  <c r="S33" i="34"/>
  <c r="S29" i="34"/>
  <c r="S28" i="34"/>
  <c r="S24" i="34"/>
  <c r="S23" i="34"/>
  <c r="S19" i="34"/>
  <c r="S35" i="34"/>
  <c r="S31" i="34"/>
  <c r="S32" i="34" s="1"/>
  <c r="S21" i="34"/>
  <c r="S17" i="34"/>
  <c r="S20" i="34"/>
  <c r="C3" i="34"/>
  <c r="G3" i="34"/>
  <c r="K3" i="34"/>
  <c r="O3" i="34"/>
  <c r="S3" i="34"/>
  <c r="C4" i="34"/>
  <c r="G4" i="34"/>
  <c r="K4" i="34"/>
  <c r="O4" i="34"/>
  <c r="S4" i="34"/>
  <c r="C5" i="34"/>
  <c r="G5" i="34"/>
  <c r="K5" i="34"/>
  <c r="O5" i="34"/>
  <c r="S5" i="34"/>
  <c r="C6" i="34"/>
  <c r="G6" i="34"/>
  <c r="K6" i="34"/>
  <c r="O6" i="34"/>
  <c r="S6" i="34"/>
  <c r="C8" i="34"/>
  <c r="G8" i="34"/>
  <c r="K8" i="34"/>
  <c r="O8" i="34"/>
  <c r="S8" i="34"/>
  <c r="C9" i="34"/>
  <c r="G9" i="34"/>
  <c r="K9" i="34"/>
  <c r="O9" i="34"/>
  <c r="S9" i="34"/>
  <c r="C10" i="34"/>
  <c r="C11" i="34" s="1"/>
  <c r="G10" i="34"/>
  <c r="G11" i="34" s="1"/>
  <c r="K10" i="34"/>
  <c r="K11" i="34" s="1"/>
  <c r="G12" i="34"/>
  <c r="D33" i="34"/>
  <c r="D29" i="34"/>
  <c r="D28" i="34"/>
  <c r="D24" i="34"/>
  <c r="D35" i="34"/>
  <c r="D31" i="34"/>
  <c r="D32" i="34" s="1"/>
  <c r="D23" i="34"/>
  <c r="D30" i="34"/>
  <c r="D22" i="34"/>
  <c r="D21" i="34"/>
  <c r="D17" i="34"/>
  <c r="D20" i="34"/>
  <c r="D16" i="34"/>
  <c r="D34" i="34"/>
  <c r="D19" i="34"/>
  <c r="H33" i="34"/>
  <c r="H29" i="34"/>
  <c r="H28" i="34"/>
  <c r="H24" i="34"/>
  <c r="H35" i="34"/>
  <c r="H31" i="34"/>
  <c r="H32" i="34" s="1"/>
  <c r="H23" i="34"/>
  <c r="H22" i="34"/>
  <c r="H21" i="34"/>
  <c r="H17" i="34"/>
  <c r="H34" i="34"/>
  <c r="H20" i="34"/>
  <c r="H16" i="34"/>
  <c r="H30" i="34"/>
  <c r="H19" i="34"/>
  <c r="L33" i="34"/>
  <c r="L29" i="34"/>
  <c r="L28" i="34"/>
  <c r="L24" i="34"/>
  <c r="L35" i="34"/>
  <c r="L31" i="34"/>
  <c r="L32" i="34" s="1"/>
  <c r="L23" i="34"/>
  <c r="L22" i="34"/>
  <c r="L34" i="34"/>
  <c r="L21" i="34"/>
  <c r="L17" i="34"/>
  <c r="L30" i="34"/>
  <c r="L20" i="34"/>
  <c r="L16" i="34"/>
  <c r="L19" i="34"/>
  <c r="L15" i="34"/>
  <c r="P33" i="34"/>
  <c r="P29" i="34"/>
  <c r="P28" i="34"/>
  <c r="P24" i="34"/>
  <c r="P35" i="34"/>
  <c r="P31" i="34"/>
  <c r="P32" i="34" s="1"/>
  <c r="P23" i="34"/>
  <c r="P34" i="34"/>
  <c r="P30" i="34"/>
  <c r="P21" i="34"/>
  <c r="P17" i="34"/>
  <c r="P20" i="34"/>
  <c r="P22" i="34"/>
  <c r="P15" i="34"/>
  <c r="T33" i="34"/>
  <c r="T29" i="34"/>
  <c r="T28" i="34"/>
  <c r="T24" i="34"/>
  <c r="T35" i="34"/>
  <c r="T31" i="34"/>
  <c r="T23" i="34"/>
  <c r="T30" i="34"/>
  <c r="T21" i="34"/>
  <c r="T17" i="34"/>
  <c r="T22" i="34"/>
  <c r="T20" i="34"/>
  <c r="T34" i="34"/>
  <c r="T19" i="34"/>
  <c r="T15" i="34"/>
  <c r="D3" i="34"/>
  <c r="H3" i="34"/>
  <c r="L3" i="34"/>
  <c r="P3" i="34"/>
  <c r="T3" i="34"/>
  <c r="D4" i="34"/>
  <c r="H4" i="34"/>
  <c r="L4" i="34"/>
  <c r="P4" i="34"/>
  <c r="T4" i="34"/>
  <c r="D5" i="34"/>
  <c r="H5" i="34"/>
  <c r="L5" i="34"/>
  <c r="P5" i="34"/>
  <c r="T5" i="34"/>
  <c r="D6" i="34"/>
  <c r="H6" i="34"/>
  <c r="L6" i="34"/>
  <c r="P6" i="34"/>
  <c r="T6" i="34"/>
  <c r="D8" i="34"/>
  <c r="H8" i="34"/>
  <c r="L8" i="34"/>
  <c r="P8" i="34"/>
  <c r="T8" i="34"/>
  <c r="D9" i="34"/>
  <c r="H9" i="34"/>
  <c r="L9" i="34"/>
  <c r="P9" i="34"/>
  <c r="T9" i="34"/>
  <c r="D10" i="34"/>
  <c r="D11" i="34" s="1"/>
  <c r="H10" i="34"/>
  <c r="H11" i="34" s="1"/>
  <c r="L10" i="34"/>
  <c r="L11" i="34" s="1"/>
  <c r="C12" i="34"/>
  <c r="H12" i="34"/>
  <c r="E28" i="34"/>
  <c r="E24" i="34"/>
  <c r="E35" i="34"/>
  <c r="E31" i="34"/>
  <c r="E32" i="34" s="1"/>
  <c r="E23" i="34"/>
  <c r="E34" i="34"/>
  <c r="E30" i="34"/>
  <c r="E21" i="34"/>
  <c r="E17" i="34"/>
  <c r="E33" i="34"/>
  <c r="E20" i="34"/>
  <c r="E16" i="34"/>
  <c r="E29" i="34"/>
  <c r="E19" i="34"/>
  <c r="E15" i="34"/>
  <c r="E22" i="34"/>
  <c r="I28" i="34"/>
  <c r="I24" i="34"/>
  <c r="I35" i="34"/>
  <c r="I31" i="34"/>
  <c r="I23" i="34"/>
  <c r="I34" i="34"/>
  <c r="I30" i="34"/>
  <c r="I33" i="34"/>
  <c r="I21" i="34"/>
  <c r="I17" i="34"/>
  <c r="I29" i="34"/>
  <c r="I20" i="34"/>
  <c r="I16" i="34"/>
  <c r="I12" i="34"/>
  <c r="I19" i="34"/>
  <c r="I15" i="34"/>
  <c r="I22" i="34"/>
  <c r="M28" i="34"/>
  <c r="M24" i="34"/>
  <c r="M35" i="34"/>
  <c r="M31" i="34"/>
  <c r="M32" i="34" s="1"/>
  <c r="M23" i="34"/>
  <c r="M34" i="34"/>
  <c r="M30" i="34"/>
  <c r="M22" i="34"/>
  <c r="M29" i="34"/>
  <c r="M21" i="34"/>
  <c r="M17" i="34"/>
  <c r="M20" i="34"/>
  <c r="M16" i="34"/>
  <c r="M12" i="34"/>
  <c r="M19" i="34"/>
  <c r="M15" i="34"/>
  <c r="M33" i="34"/>
  <c r="Q28" i="34"/>
  <c r="Q24" i="34"/>
  <c r="Q35" i="34"/>
  <c r="Q31" i="34"/>
  <c r="Q32" i="34" s="1"/>
  <c r="Q23" i="34"/>
  <c r="Q34" i="34"/>
  <c r="Q30" i="34"/>
  <c r="Q22" i="34"/>
  <c r="Q21" i="34"/>
  <c r="Q17" i="34"/>
  <c r="Q33" i="34"/>
  <c r="Q19" i="34"/>
  <c r="Q15" i="34"/>
  <c r="Q29" i="34"/>
  <c r="U28" i="34"/>
  <c r="U24" i="34"/>
  <c r="U35" i="34"/>
  <c r="U31" i="34"/>
  <c r="U32" i="34" s="1"/>
  <c r="U23" i="34"/>
  <c r="U34" i="34"/>
  <c r="U30" i="34"/>
  <c r="U22" i="34"/>
  <c r="U21" i="34"/>
  <c r="U17" i="34"/>
  <c r="U33" i="34"/>
  <c r="U20" i="34"/>
  <c r="U16" i="34"/>
  <c r="U29" i="34"/>
  <c r="U19" i="34"/>
  <c r="U15" i="34"/>
  <c r="E3" i="34"/>
  <c r="I3" i="34"/>
  <c r="M3" i="34"/>
  <c r="Q3" i="34"/>
  <c r="U3" i="34"/>
  <c r="E4" i="34"/>
  <c r="I4" i="34"/>
  <c r="M4" i="34"/>
  <c r="Q4" i="34"/>
  <c r="U4" i="34"/>
  <c r="E5" i="34"/>
  <c r="I5" i="34"/>
  <c r="M5" i="34"/>
  <c r="Q5" i="34"/>
  <c r="U5" i="34"/>
  <c r="E6" i="34"/>
  <c r="I6" i="34"/>
  <c r="M6" i="34"/>
  <c r="Q6" i="34"/>
  <c r="U6" i="34"/>
  <c r="E8" i="34"/>
  <c r="I8" i="34"/>
  <c r="M8" i="34"/>
  <c r="Q8" i="34"/>
  <c r="U8" i="34"/>
  <c r="E9" i="34"/>
  <c r="I9" i="34"/>
  <c r="M9" i="34"/>
  <c r="Q9" i="34"/>
  <c r="U9" i="34"/>
  <c r="E10" i="34"/>
  <c r="E11" i="34" s="1"/>
  <c r="I10" i="34"/>
  <c r="M10" i="34"/>
  <c r="M11" i="34" s="1"/>
  <c r="D12" i="34"/>
  <c r="K12" i="34"/>
  <c r="D15" i="34"/>
  <c r="F35" i="34"/>
  <c r="F31" i="34"/>
  <c r="F32" i="34" s="1"/>
  <c r="F23" i="34"/>
  <c r="F34" i="34"/>
  <c r="F30" i="34"/>
  <c r="F33" i="34"/>
  <c r="F29" i="34"/>
  <c r="F28" i="34"/>
  <c r="F20" i="34"/>
  <c r="F16" i="34"/>
  <c r="F12" i="34"/>
  <c r="F24" i="34"/>
  <c r="F19" i="34"/>
  <c r="F15" i="34"/>
  <c r="F22" i="34"/>
  <c r="F21" i="34"/>
  <c r="F17" i="34"/>
  <c r="J35" i="34"/>
  <c r="J31" i="34"/>
  <c r="J32" i="34" s="1"/>
  <c r="J23" i="34"/>
  <c r="J34" i="34"/>
  <c r="J30" i="34"/>
  <c r="J33" i="34"/>
  <c r="J29" i="34"/>
  <c r="J24" i="34"/>
  <c r="J20" i="34"/>
  <c r="J16" i="34"/>
  <c r="J12" i="34"/>
  <c r="J19" i="34"/>
  <c r="J15" i="34"/>
  <c r="J22" i="34"/>
  <c r="J28" i="34"/>
  <c r="J21" i="34"/>
  <c r="J17" i="34"/>
  <c r="N35" i="34"/>
  <c r="N31" i="34"/>
  <c r="N32" i="34" s="1"/>
  <c r="N34" i="34"/>
  <c r="N30" i="34"/>
  <c r="N22" i="34"/>
  <c r="N33" i="34"/>
  <c r="N20" i="34"/>
  <c r="N15" i="34"/>
  <c r="N28" i="34"/>
  <c r="N24" i="34"/>
  <c r="N21" i="34"/>
  <c r="N17" i="34"/>
  <c r="R35" i="34"/>
  <c r="V35" i="34" s="1"/>
  <c r="R31" i="34"/>
  <c r="R34" i="34"/>
  <c r="R30" i="34"/>
  <c r="R22" i="34"/>
  <c r="R33" i="34"/>
  <c r="R29" i="34"/>
  <c r="V29" i="34" s="1"/>
  <c r="R20" i="34"/>
  <c r="V20" i="34" s="1"/>
  <c r="R28" i="34"/>
  <c r="R15" i="34"/>
  <c r="R24" i="34"/>
  <c r="R21" i="34"/>
  <c r="R17" i="34"/>
  <c r="V17" i="34" s="1"/>
  <c r="B3" i="34"/>
  <c r="F3" i="34"/>
  <c r="J3" i="34"/>
  <c r="N3" i="34"/>
  <c r="R3" i="34"/>
  <c r="B4" i="34"/>
  <c r="F4" i="34"/>
  <c r="J4" i="34"/>
  <c r="N4" i="34"/>
  <c r="R4" i="34"/>
  <c r="B5" i="34"/>
  <c r="F5" i="34"/>
  <c r="J5" i="34"/>
  <c r="N5" i="34"/>
  <c r="R5" i="34"/>
  <c r="B6" i="34"/>
  <c r="F6" i="34"/>
  <c r="J6" i="34"/>
  <c r="N6" i="34"/>
  <c r="R6" i="34"/>
  <c r="B8" i="34"/>
  <c r="F8" i="34"/>
  <c r="J8" i="34"/>
  <c r="N8" i="34"/>
  <c r="R8" i="34"/>
  <c r="B9" i="34"/>
  <c r="F9" i="34"/>
  <c r="J9" i="34"/>
  <c r="N9" i="34"/>
  <c r="R9" i="34"/>
  <c r="B10" i="34"/>
  <c r="B11" i="34" s="1"/>
  <c r="F10" i="34"/>
  <c r="F11" i="34" s="1"/>
  <c r="J10" i="34"/>
  <c r="J11" i="34" s="1"/>
  <c r="E12" i="34"/>
  <c r="L12" i="34"/>
  <c r="H15" i="34"/>
  <c r="H14" i="34" s="1"/>
  <c r="N5" i="17"/>
  <c r="D14" i="34" l="1"/>
  <c r="V5" i="34"/>
  <c r="V6" i="34"/>
  <c r="V33" i="34"/>
  <c r="V21" i="34"/>
  <c r="Q15" i="32"/>
  <c r="B16" i="17" s="1"/>
  <c r="V3" i="34"/>
  <c r="V24" i="34"/>
  <c r="V22" i="34"/>
  <c r="V9" i="34"/>
  <c r="V4" i="34"/>
  <c r="V34" i="34"/>
  <c r="F14" i="34"/>
  <c r="U14" i="34"/>
  <c r="B26" i="34"/>
  <c r="B27" i="34" s="1"/>
  <c r="G26" i="34"/>
  <c r="G27" i="34" s="1"/>
  <c r="J14" i="34"/>
  <c r="K26" i="34"/>
  <c r="K27" i="34" s="1"/>
  <c r="E14" i="34"/>
  <c r="J7" i="34"/>
  <c r="E18" i="34"/>
  <c r="P7" i="34"/>
  <c r="L14" i="34"/>
  <c r="H18" i="34"/>
  <c r="H25" i="34" s="1"/>
  <c r="K7" i="34"/>
  <c r="P26" i="34"/>
  <c r="P27" i="34" s="1"/>
  <c r="L18" i="34"/>
  <c r="K14" i="34"/>
  <c r="R26" i="34"/>
  <c r="V28" i="34"/>
  <c r="F13" i="34"/>
  <c r="I7" i="34"/>
  <c r="X8" i="34"/>
  <c r="X3" i="34"/>
  <c r="M26" i="34"/>
  <c r="M27" i="34" s="1"/>
  <c r="I13" i="34"/>
  <c r="X34" i="34"/>
  <c r="X24" i="34"/>
  <c r="C13" i="34"/>
  <c r="H26" i="34"/>
  <c r="H27" i="34" s="1"/>
  <c r="W6" i="34"/>
  <c r="W35" i="34"/>
  <c r="W24" i="34"/>
  <c r="W22" i="34"/>
  <c r="B18" i="34"/>
  <c r="B25" i="34" s="1"/>
  <c r="F7" i="34"/>
  <c r="K13" i="34"/>
  <c r="U7" i="34"/>
  <c r="E7" i="34"/>
  <c r="X6" i="34"/>
  <c r="M14" i="34"/>
  <c r="X22" i="34"/>
  <c r="X21" i="34"/>
  <c r="X28" i="34"/>
  <c r="I26" i="34"/>
  <c r="E26" i="34"/>
  <c r="E27" i="34" s="1"/>
  <c r="L7" i="34"/>
  <c r="T18" i="34"/>
  <c r="T26" i="34"/>
  <c r="L26" i="34"/>
  <c r="L27" i="34" s="1"/>
  <c r="G7" i="34"/>
  <c r="W5" i="34"/>
  <c r="O32" i="34"/>
  <c r="W31" i="34"/>
  <c r="O26" i="34"/>
  <c r="W28" i="34"/>
  <c r="L13" i="34"/>
  <c r="B7" i="34"/>
  <c r="V31" i="34"/>
  <c r="R32" i="34"/>
  <c r="J18" i="34"/>
  <c r="F18" i="34"/>
  <c r="D13" i="34"/>
  <c r="I11" i="34"/>
  <c r="Q7" i="34"/>
  <c r="X5" i="34"/>
  <c r="U26" i="34"/>
  <c r="U27" i="34" s="1"/>
  <c r="M18" i="34"/>
  <c r="I14" i="34"/>
  <c r="X33" i="34"/>
  <c r="I32" i="34"/>
  <c r="X31" i="34"/>
  <c r="H7" i="34"/>
  <c r="T32" i="34"/>
  <c r="W9" i="34"/>
  <c r="S7" i="34"/>
  <c r="C7" i="34"/>
  <c r="W4" i="34"/>
  <c r="S18" i="34"/>
  <c r="W29" i="34"/>
  <c r="W34" i="34"/>
  <c r="G14" i="34"/>
  <c r="C14" i="34"/>
  <c r="C26" i="34"/>
  <c r="C27" i="34" s="1"/>
  <c r="B13" i="34"/>
  <c r="V8" i="34"/>
  <c r="R7" i="34"/>
  <c r="E13" i="34"/>
  <c r="N7" i="34"/>
  <c r="J26" i="34"/>
  <c r="J27" i="34" s="1"/>
  <c r="J13" i="34"/>
  <c r="F26" i="34"/>
  <c r="F27" i="34" s="1"/>
  <c r="X9" i="34"/>
  <c r="M7" i="34"/>
  <c r="X4" i="34"/>
  <c r="U18" i="34"/>
  <c r="Q26" i="34"/>
  <c r="Q27" i="34" s="1"/>
  <c r="M13" i="34"/>
  <c r="I18" i="34"/>
  <c r="X35" i="34"/>
  <c r="H13" i="34"/>
  <c r="T7" i="34"/>
  <c r="D7" i="34"/>
  <c r="D18" i="34"/>
  <c r="D25" i="34" s="1"/>
  <c r="D26" i="34"/>
  <c r="D27" i="34" s="1"/>
  <c r="G13" i="34"/>
  <c r="W8" i="34"/>
  <c r="O7" i="34"/>
  <c r="W3" i="34"/>
  <c r="W21" i="34"/>
  <c r="W33" i="34"/>
  <c r="K18" i="34"/>
  <c r="G18" i="34"/>
  <c r="C18" i="34"/>
  <c r="F25" i="34" l="1"/>
  <c r="Y33" i="34"/>
  <c r="Z33" i="34" s="1"/>
  <c r="Y35" i="34"/>
  <c r="Z35" i="34" s="1"/>
  <c r="G25" i="34"/>
  <c r="J25" i="34"/>
  <c r="E25" i="34"/>
  <c r="Y3" i="34"/>
  <c r="Y22" i="34"/>
  <c r="Z22" i="34" s="1"/>
  <c r="Y4" i="34"/>
  <c r="Y34" i="34"/>
  <c r="Z34" i="34" s="1"/>
  <c r="L25" i="34"/>
  <c r="Y24" i="34"/>
  <c r="Z24" i="34" s="1"/>
  <c r="Y6" i="34"/>
  <c r="K25" i="34"/>
  <c r="Y21" i="34"/>
  <c r="Z21" i="34" s="1"/>
  <c r="M25" i="34"/>
  <c r="Y9" i="34"/>
  <c r="Y5" i="34"/>
  <c r="C25" i="34"/>
  <c r="W7" i="34"/>
  <c r="I25" i="34"/>
  <c r="Y28" i="34"/>
  <c r="Z28" i="34" s="1"/>
  <c r="X32" i="34"/>
  <c r="W32" i="34"/>
  <c r="T27" i="34"/>
  <c r="X7" i="34"/>
  <c r="R27" i="34"/>
  <c r="V7" i="34"/>
  <c r="V32" i="34"/>
  <c r="O27" i="34"/>
  <c r="I27" i="34"/>
  <c r="Y8" i="34"/>
  <c r="Y31" i="34"/>
  <c r="Z31" i="34" s="1"/>
  <c r="Y7" i="34" l="1"/>
  <c r="Y32" i="34"/>
  <c r="Z32" i="34" s="1"/>
  <c r="U12" i="34" l="1"/>
  <c r="U10" i="34"/>
  <c r="U11" i="34" l="1"/>
  <c r="U13" i="34"/>
  <c r="U25" i="34"/>
  <c r="T10" i="34" l="1"/>
  <c r="T11" i="34" s="1"/>
  <c r="T12" i="34"/>
  <c r="T16" i="34"/>
  <c r="T14" i="34" s="1"/>
  <c r="T13" i="34" l="1"/>
  <c r="T25" i="34"/>
  <c r="S30" i="34"/>
  <c r="V30" i="34" l="1"/>
  <c r="S26" i="34"/>
  <c r="W30" i="34"/>
  <c r="X30" i="34"/>
  <c r="S27" i="34" l="1"/>
  <c r="W26" i="34"/>
  <c r="V26" i="34"/>
  <c r="Y30" i="34"/>
  <c r="Z30" i="34" s="1"/>
  <c r="W27" i="34" l="1"/>
  <c r="V27" i="34"/>
  <c r="S10" i="34" l="1"/>
  <c r="S11" i="34" s="1"/>
  <c r="S12" i="34"/>
  <c r="S16" i="34"/>
  <c r="S15" i="34"/>
  <c r="W15" i="34" l="1"/>
  <c r="V15" i="34"/>
  <c r="S14" i="34"/>
  <c r="S25" i="34" s="1"/>
  <c r="X15" i="34"/>
  <c r="S13" i="34"/>
  <c r="Y15" i="34" l="1"/>
  <c r="Z15" i="34" s="1"/>
  <c r="R16" i="34" l="1"/>
  <c r="V16" i="34" l="1"/>
  <c r="R14" i="34"/>
  <c r="V14" i="34" s="1"/>
  <c r="R12" i="34" l="1"/>
  <c r="R10" i="34"/>
  <c r="R19" i="34"/>
  <c r="R23" i="34"/>
  <c r="V23" i="34" l="1"/>
  <c r="W23" i="34"/>
  <c r="V12" i="34"/>
  <c r="R13" i="34"/>
  <c r="V13" i="34" s="1"/>
  <c r="R11" i="34"/>
  <c r="V11" i="34" s="1"/>
  <c r="V10" i="34"/>
  <c r="R18" i="34"/>
  <c r="V18" i="34" s="1"/>
  <c r="V19" i="34"/>
  <c r="Q16" i="34" l="1"/>
  <c r="Q14" i="34" s="1"/>
  <c r="R25" i="34"/>
  <c r="V25" i="34" s="1"/>
  <c r="Q20" i="34" l="1"/>
  <c r="Q10" i="34"/>
  <c r="Q11" i="34" s="1"/>
  <c r="Q12" i="34"/>
  <c r="Q13" i="34" s="1"/>
  <c r="Q18" i="34" l="1"/>
  <c r="Q25" i="34" s="1"/>
  <c r="W20" i="34"/>
  <c r="X20" i="34"/>
  <c r="Y20" i="34" l="1"/>
  <c r="Z20" i="34" s="1"/>
  <c r="R22" i="17"/>
  <c r="AA22" i="17"/>
  <c r="C22" i="17"/>
  <c r="F22" i="17" l="1"/>
  <c r="U22" i="17"/>
  <c r="L22" i="17"/>
  <c r="I22" i="17"/>
  <c r="X22" i="17" l="1"/>
  <c r="O22" i="17"/>
  <c r="R21" i="17" l="1"/>
  <c r="F21" i="17"/>
  <c r="P16" i="34" l="1"/>
  <c r="P14" i="34" s="1"/>
  <c r="P19" i="34" l="1"/>
  <c r="P18" i="34" s="1"/>
  <c r="P12" i="34" l="1"/>
  <c r="P13" i="34" l="1"/>
  <c r="P25" i="34"/>
  <c r="P10" i="34"/>
  <c r="P11" i="34" s="1"/>
  <c r="O17" i="34" l="1"/>
  <c r="X17" i="34" l="1"/>
  <c r="W17" i="34"/>
  <c r="O19" i="34"/>
  <c r="Y17" i="34" l="1"/>
  <c r="Z17" i="34" s="1"/>
  <c r="C21" i="17" s="1"/>
  <c r="W19" i="34"/>
  <c r="O18" i="34"/>
  <c r="W18" i="34" s="1"/>
  <c r="O10" i="34" l="1"/>
  <c r="O16" i="34"/>
  <c r="O12" i="34"/>
  <c r="N16" i="34"/>
  <c r="X16" i="34" l="1"/>
  <c r="N14" i="34"/>
  <c r="O13" i="34"/>
  <c r="W13" i="34" s="1"/>
  <c r="W12" i="34"/>
  <c r="O14" i="34"/>
  <c r="W14" i="34" s="1"/>
  <c r="W16" i="34"/>
  <c r="O11" i="34"/>
  <c r="W11" i="34" s="1"/>
  <c r="W10" i="34"/>
  <c r="Y16" i="34" l="1"/>
  <c r="Z16" i="34" s="1"/>
  <c r="O25" i="34"/>
  <c r="W25" i="34" s="1"/>
  <c r="X14" i="34"/>
  <c r="Y14" i="34" s="1"/>
  <c r="Z14" i="34" s="1"/>
  <c r="I21" i="17" l="1"/>
  <c r="P7" i="3" l="1"/>
  <c r="P8" i="3"/>
  <c r="P9" i="3"/>
  <c r="P10" i="3"/>
  <c r="P11" i="3"/>
  <c r="P6" i="3"/>
  <c r="N29" i="34" l="1"/>
  <c r="N23" i="34"/>
  <c r="X23" i="34" s="1"/>
  <c r="Y23" i="34" s="1"/>
  <c r="Z23" i="34" s="1"/>
  <c r="X29" i="34" l="1"/>
  <c r="Y29" i="34" s="1"/>
  <c r="Z29" i="34" s="1"/>
  <c r="N26" i="34"/>
  <c r="N19" i="34"/>
  <c r="N10" i="34"/>
  <c r="N12" i="34"/>
  <c r="N18" i="34" l="1"/>
  <c r="X18" i="34" s="1"/>
  <c r="Y18" i="34" s="1"/>
  <c r="Z18" i="34" s="1"/>
  <c r="X19" i="34"/>
  <c r="Y19" i="34" s="1"/>
  <c r="Z19" i="34" s="1"/>
  <c r="N13" i="34"/>
  <c r="X13" i="34" s="1"/>
  <c r="Y13" i="34" s="1"/>
  <c r="Z13" i="34" s="1"/>
  <c r="X12" i="34"/>
  <c r="Y12" i="34" s="1"/>
  <c r="Z12" i="34" s="1"/>
  <c r="N27" i="34"/>
  <c r="X27" i="34" s="1"/>
  <c r="Y27" i="34" s="1"/>
  <c r="Z27" i="34" s="1"/>
  <c r="X26" i="34"/>
  <c r="Y26" i="34" s="1"/>
  <c r="Z26" i="34" s="1"/>
  <c r="O21" i="17" s="1"/>
  <c r="N11" i="34"/>
  <c r="X11" i="34" s="1"/>
  <c r="Y11" i="34" s="1"/>
  <c r="Z11" i="34" s="1"/>
  <c r="X10" i="34"/>
  <c r="Y10" i="34" s="1"/>
  <c r="Z10" i="34" s="1"/>
  <c r="N25" i="34" l="1"/>
  <c r="X25" i="34" s="1"/>
  <c r="Y25" i="34" s="1"/>
  <c r="Z25" i="34" s="1"/>
  <c r="L21" i="17"/>
  <c r="U21" i="17"/>
  <c r="X21" i="17"/>
  <c r="AA21" i="17"/>
  <c r="N10" i="17" l="1" a="1"/>
  <c r="N10" i="17" s="1"/>
  <c r="P10" i="17" l="1" a="1"/>
  <c r="P10" i="1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<sst xmlns="http://schemas.openxmlformats.org/spreadsheetml/2006/main" count="346" uniqueCount="200">
  <si>
    <t>Category</t>
  </si>
  <si>
    <t>Books</t>
  </si>
  <si>
    <t>Active</t>
  </si>
  <si>
    <t>Assets</t>
  </si>
  <si>
    <t>Digital</t>
  </si>
  <si>
    <t>Data</t>
  </si>
  <si>
    <t>Uncategorised</t>
  </si>
  <si>
    <t>Donations</t>
  </si>
  <si>
    <t>Gift</t>
  </si>
  <si>
    <t>Entertainment</t>
  </si>
  <si>
    <t>Fees</t>
  </si>
  <si>
    <t>Food</t>
  </si>
  <si>
    <t>Beef</t>
  </si>
  <si>
    <t>Chicken</t>
  </si>
  <si>
    <t>Fish</t>
  </si>
  <si>
    <t>Fruit</t>
  </si>
  <si>
    <t>Junk</t>
  </si>
  <si>
    <t>Lamb</t>
  </si>
  <si>
    <t>Pork</t>
  </si>
  <si>
    <t>Restaurant</t>
  </si>
  <si>
    <t>Vegetables</t>
  </si>
  <si>
    <t>Insurance</t>
  </si>
  <si>
    <t>Health</t>
  </si>
  <si>
    <t>Hygiene</t>
  </si>
  <si>
    <t>Investment</t>
  </si>
  <si>
    <t>Property</t>
  </si>
  <si>
    <t>Utilities</t>
  </si>
  <si>
    <t>Savings</t>
  </si>
  <si>
    <t>Services</t>
  </si>
  <si>
    <t>Transport</t>
  </si>
  <si>
    <t>Supplies</t>
  </si>
  <si>
    <t>Bathroom</t>
  </si>
  <si>
    <t>Kitchen</t>
  </si>
  <si>
    <t>Tax</t>
  </si>
  <si>
    <t>Income</t>
  </si>
  <si>
    <t>Travel</t>
  </si>
  <si>
    <t>Expenses</t>
  </si>
  <si>
    <t>Wardrobe</t>
  </si>
  <si>
    <t>Cash</t>
  </si>
  <si>
    <t>Starting Balance</t>
  </si>
  <si>
    <t>Electricity</t>
  </si>
  <si>
    <t>Credit</t>
  </si>
  <si>
    <t>Debit</t>
  </si>
  <si>
    <t>Meals</t>
  </si>
  <si>
    <t>Maintenance</t>
  </si>
  <si>
    <t>Paypal</t>
  </si>
  <si>
    <t>Bond</t>
  </si>
  <si>
    <t>Interest</t>
  </si>
  <si>
    <t>Deposit</t>
  </si>
  <si>
    <t>Retirement</t>
  </si>
  <si>
    <t>Shares</t>
  </si>
  <si>
    <t>Tax Free</t>
  </si>
  <si>
    <t>Unit Trusts</t>
  </si>
  <si>
    <t>NSFAS</t>
  </si>
  <si>
    <t>Balance</t>
  </si>
  <si>
    <t>Loan</t>
  </si>
  <si>
    <t>Levy</t>
  </si>
  <si>
    <t>Salary</t>
  </si>
  <si>
    <t>Bonus</t>
  </si>
  <si>
    <t>Invoice</t>
  </si>
  <si>
    <t>Fixed Deposit</t>
  </si>
  <si>
    <t>Starting</t>
  </si>
  <si>
    <t>Adjustment</t>
  </si>
  <si>
    <t>Column1</t>
  </si>
  <si>
    <t>Row Labels</t>
  </si>
  <si>
    <t>Grand Total</t>
  </si>
  <si>
    <t>Sum of Outflow</t>
  </si>
  <si>
    <t>NET WORTH</t>
  </si>
  <si>
    <t>BALANCE</t>
  </si>
  <si>
    <t>Stanlib High Equity Fund Of Funds</t>
  </si>
  <si>
    <t>Cryptocurrency</t>
  </si>
  <si>
    <t>Other</t>
  </si>
  <si>
    <t>Per meal</t>
  </si>
  <si>
    <t>Per day</t>
  </si>
  <si>
    <t>3M</t>
  </si>
  <si>
    <t>12M</t>
  </si>
  <si>
    <t>Meat</t>
  </si>
  <si>
    <t>non-salary income</t>
  </si>
  <si>
    <t>emergency savings</t>
  </si>
  <si>
    <t>R400k</t>
  </si>
  <si>
    <t>R30k</t>
  </si>
  <si>
    <t>annual travel allowance</t>
  </si>
  <si>
    <t>average asset age</t>
  </si>
  <si>
    <t>3.5 yrs</t>
  </si>
  <si>
    <t>Healthy</t>
  </si>
  <si>
    <t>CATEGORY</t>
  </si>
  <si>
    <t>INVESTMENT</t>
  </si>
  <si>
    <t>6M</t>
  </si>
  <si>
    <t>Expected</t>
  </si>
  <si>
    <t>Withdrawals</t>
  </si>
  <si>
    <t>Spend</t>
  </si>
  <si>
    <t>Change</t>
  </si>
  <si>
    <t>Dashboard</t>
  </si>
  <si>
    <t>Accounts</t>
  </si>
  <si>
    <t>Settings</t>
  </si>
  <si>
    <t>DATE</t>
  </si>
  <si>
    <t>STATUS</t>
  </si>
  <si>
    <t>ITEM</t>
  </si>
  <si>
    <t>BRAND</t>
  </si>
  <si>
    <t>SELLER</t>
  </si>
  <si>
    <t>SERIAL</t>
  </si>
  <si>
    <t>COST</t>
  </si>
  <si>
    <t>AGE</t>
  </si>
  <si>
    <t>DEPRECIATION</t>
  </si>
  <si>
    <t>VALUE</t>
  </si>
  <si>
    <t>ERROR</t>
  </si>
  <si>
    <t>ACCOUNT</t>
  </si>
  <si>
    <t>SUB-CATEGORY</t>
  </si>
  <si>
    <t>OUTFLOW</t>
  </si>
  <si>
    <t>INFLOW</t>
  </si>
  <si>
    <t>BOND</t>
  </si>
  <si>
    <t>UNIT TRUSTS</t>
  </si>
  <si>
    <t>TAX FREE</t>
  </si>
  <si>
    <t>RETIREMENT</t>
  </si>
  <si>
    <t>PROPERTY</t>
  </si>
  <si>
    <t>SHARES</t>
  </si>
  <si>
    <t>DEPOSIT</t>
  </si>
  <si>
    <t>CRYPTO</t>
  </si>
  <si>
    <t>Transactions</t>
  </si>
  <si>
    <t>QUANTITY</t>
  </si>
  <si>
    <t>UNIT</t>
  </si>
  <si>
    <t>NOTE</t>
  </si>
  <si>
    <t>DEBIT</t>
  </si>
  <si>
    <t>CASH</t>
  </si>
  <si>
    <t>SAVINGS</t>
  </si>
  <si>
    <t>CREDIT</t>
  </si>
  <si>
    <t>per meal</t>
  </si>
  <si>
    <t>per day</t>
  </si>
  <si>
    <t>R25k</t>
  </si>
  <si>
    <t>CATEGORIES</t>
  </si>
  <si>
    <t xml:space="preserve">DEBIT </t>
  </si>
  <si>
    <t xml:space="preserve">CASH </t>
  </si>
  <si>
    <t xml:space="preserve">SAVINGS </t>
  </si>
  <si>
    <t xml:space="preserve">CREDIT </t>
  </si>
  <si>
    <t>INCOME</t>
  </si>
  <si>
    <t>Sum of INFLOW</t>
  </si>
  <si>
    <t>EXPENSES</t>
  </si>
  <si>
    <t>Non-discretionary</t>
  </si>
  <si>
    <t>Discretionary</t>
  </si>
  <si>
    <t>Sum of QUANTITY</t>
  </si>
  <si>
    <t>Column Labels</t>
  </si>
  <si>
    <t>per kilogram</t>
  </si>
  <si>
    <t>Sum of OUTFLOW</t>
  </si>
  <si>
    <t>Fruits &amp; Vegetables</t>
  </si>
  <si>
    <t>Debt</t>
  </si>
  <si>
    <t>per gigabyte</t>
  </si>
  <si>
    <t>per kilowatt hour</t>
  </si>
  <si>
    <t>Burn Rate</t>
  </si>
  <si>
    <t>(All)</t>
  </si>
  <si>
    <t xml:space="preserve">OUTFLOW </t>
  </si>
  <si>
    <t xml:space="preserve">INFLOW </t>
  </si>
  <si>
    <t>Sum of Net</t>
  </si>
  <si>
    <t>DEBT</t>
  </si>
  <si>
    <t>Wallet</t>
  </si>
  <si>
    <t>ABSA 12-Month</t>
  </si>
  <si>
    <t>Principal</t>
  </si>
  <si>
    <t>Student</t>
  </si>
  <si>
    <t>STUDENT</t>
  </si>
  <si>
    <t>Total Sum of INFLOW</t>
  </si>
  <si>
    <t>Total Sum of OUTFLOW</t>
  </si>
  <si>
    <t xml:space="preserve">BALANCE </t>
  </si>
  <si>
    <t>increase/decrease</t>
  </si>
  <si>
    <t>offshore exposure</t>
  </si>
  <si>
    <t>Sum of VALUE</t>
  </si>
  <si>
    <t>total fees</t>
  </si>
  <si>
    <t>direct shares</t>
  </si>
  <si>
    <t>equities</t>
  </si>
  <si>
    <t>property</t>
  </si>
  <si>
    <t>residential</t>
  </si>
  <si>
    <t>low-risk</t>
  </si>
  <si>
    <t>total debt</t>
  </si>
  <si>
    <t>effective interest rate</t>
  </si>
  <si>
    <t>estimated end date</t>
  </si>
  <si>
    <t>Max. of OUTFLOW</t>
  </si>
  <si>
    <t>Max. of BALANCE</t>
  </si>
  <si>
    <t>Interest rate</t>
  </si>
  <si>
    <t>gugulet.hu</t>
  </si>
  <si>
    <t>GOALS</t>
  </si>
  <si>
    <t>HELP</t>
  </si>
  <si>
    <t>Number</t>
  </si>
  <si>
    <t>Goal</t>
  </si>
  <si>
    <t>Formula</t>
  </si>
  <si>
    <t>Sum of Field3</t>
  </si>
  <si>
    <t>How to add a transaction</t>
  </si>
  <si>
    <t>How to add an investment</t>
  </si>
  <si>
    <t>How to add a loan</t>
  </si>
  <si>
    <t>How to add an asset</t>
  </si>
  <si>
    <t>Customising the dashboard</t>
  </si>
  <si>
    <t>Known issues</t>
  </si>
  <si>
    <t>About</t>
  </si>
  <si>
    <t>Project page</t>
  </si>
  <si>
    <t>Error codes</t>
  </si>
  <si>
    <t>Item</t>
  </si>
  <si>
    <t>Brand</t>
  </si>
  <si>
    <t>Seller</t>
  </si>
  <si>
    <t>----</t>
  </si>
  <si>
    <t>bond deposit</t>
  </si>
  <si>
    <t>(blank)</t>
  </si>
  <si>
    <t>Version 20201102m</t>
  </si>
  <si>
    <t>Common 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</si>
</sst>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164" formatCode="yyyy\.mm\.dd"/>
    <numFmt numFmtId="165" formatCode="&quot;R&quot;#,##0.00"/>
    <numFmt numFmtId="166" formatCode="&quot;R&quot;#,##0"/>
    <numFmt numFmtId="167" formatCode="0.00&quot; yrs&quot;"/>
    <numFmt numFmtId="168" formatCode="&quot;R&quot;#,##0.00;[Red]&quot;R&quot;#,##0.00"/>
    <numFmt numFmtId="169" formatCode="mmmm\ yyyy"/>
    <numFmt numFmtId="170" formatCode="#,##0.00;[Red]#,##0.00"/>
  </numFmts>
  <fonts count="53">
    <font>
      <sz val="12"/>
      <name val="Calibri"/>
    </font>
    <font>
      <b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/>
      <sz val="10"/>
      <color rgb="FF808080"/>
      <name val="Calibri"/>
      <family val="2"/>
    </font>
    <font>
      <u/>
      <sz val="10"/>
      <color rgb="FF0000EE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/>
      <sz val="10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8"/>
      <name val="Calibri"/>
      <family val="2"/>
    </font>
    <font>
      <sz val="12"/>
      <name val="Roboto Regular"/>
    </font>
    <font>
      <sz val="12"/>
      <color theme="2" tint="-0.749992370372631"/>
      <name val="Roboto Regular"/>
    </font>
    <font>
      <sz val="12"/>
      <color theme="2" tint="-0.749992370372631"/>
      <name val="Roboto Slab Thin"/>
    </font>
    <font>
      <sz val="10"/>
      <color theme="2" tint="-0.749992370372631"/>
      <name val="Roboto Regular"/>
    </font>
    <font>
      <sz val="10"/>
      <color theme="2" tint="-0.749992370372631"/>
      <name val="Roboto Slab Thin"/>
    </font>
    <font>
      <sz val="36"/>
      <color theme="2" tint="-0.749992370372631"/>
      <name val="Roboto Slab Bold"/>
    </font>
    <font>
      <sz val="12"/>
      <color theme="2" tint="-0.749992370372631"/>
      <name val="Roboto Slab Bold"/>
    </font>
    <font>
      <sz val="10"/>
      <color theme="2" tint="-0.749992370372631"/>
      <name val="Roboto Slab Regular"/>
    </font>
    <font>
      <sz val="12"/>
      <color theme="1" tint="0.14999847407452621"/>
      <name val="Roboto Regular"/>
    </font>
    <font>
      <sz val="10"/>
      <color theme="1" tint="0.14999847407452621"/>
      <name val="Roboto Regular"/>
    </font>
    <font>
      <sz val="12"/>
      <color theme="1" tint="0.14999847407452621"/>
      <name val="Roboto Slab Regular"/>
    </font>
    <font>
      <sz val="36"/>
      <color theme="1" tint="0.14999847407452621"/>
      <name val="Roboto Slab Bold"/>
    </font>
    <font>
      <sz val="12"/>
      <color theme="1" tint="0.14999847407452621"/>
      <name val="Roboto Black"/>
    </font>
    <font>
      <sz val="10"/>
      <color theme="1" tint="0.14999847407452621"/>
      <name val="Roboto Black"/>
    </font>
    <font>
      <b/>
      <sz val="10"/>
      <color theme="1" tint="0.14999847407452621"/>
      <name val="Roboto Black"/>
    </font>
    <font>
      <sz val="10"/>
      <color theme="1" tint="0.14999847407452621"/>
      <name val="Roboto Light"/>
    </font>
    <font>
      <sz val="11"/>
      <color theme="1" tint="0.14999847407452621"/>
      <name val="Roboto Black"/>
    </font>
    <font>
      <sz val="11"/>
      <color theme="1" tint="0.14999847407452621"/>
      <name val="Roboto Light"/>
    </font>
    <font>
      <sz val="40"/>
      <color theme="1" tint="0.14999847407452621"/>
      <name val="Roboto Thin"/>
    </font>
    <font>
      <sz val="12"/>
      <color theme="1" tint="0.14999847407452621"/>
      <name val="Roboto Thin"/>
    </font>
    <font>
      <sz val="12"/>
      <color theme="1" tint="0.14999847407452621"/>
      <name val="Roboto Slab Medium"/>
    </font>
    <font>
      <sz val="25"/>
      <color theme="1" tint="0.14999847407452621"/>
      <name val="Roboto Black"/>
    </font>
    <font>
      <b/>
      <sz val="25"/>
      <color theme="1" tint="0.14999847407452621"/>
      <name val="Roboto Black"/>
    </font>
    <font>
      <sz val="14"/>
      <color theme="1" tint="0.14999847407452621"/>
      <name val="Roboto Black"/>
    </font>
    <font>
      <sz val="26"/>
      <color theme="2" tint="-0.749992370372631"/>
      <name val="Roboto Black"/>
    </font>
    <font>
      <sz val="12"/>
      <color theme="0" tint="-0.14999847407452621"/>
      <name val="Roboto Black"/>
    </font>
    <font>
      <sz val="18"/>
      <color theme="1" tint="0.14999847407452621"/>
      <name val="Roboto Black"/>
    </font>
    <font>
      <sz val="20"/>
      <color theme="2" tint="-0.749992370372631"/>
      <name val="Roboto Regular"/>
    </font>
    <font>
      <sz val="20"/>
      <color theme="2" tint="-0.749992370372631"/>
      <name val="Roboto Slab Regular"/>
    </font>
    <font>
      <b/>
      <sz val="20"/>
      <color theme="2" tint="-0.749992370372631"/>
      <name val="Roboto Regular"/>
    </font>
    <font>
      <sz val="10"/>
      <name val="Roboto Regular"/>
    </font>
    <font>
      <sz val="18"/>
      <name val="Roboto Black"/>
    </font>
    <font>
      <sz val="10"/>
      <color theme="2" tint="-0.749992370372631"/>
      <name val="Roboto Medium"/>
    </font>
    <font>
      <sz val="12"/>
      <color theme="2" tint="-0.749992370372631"/>
      <name val="Roboto Medium"/>
    </font>
    <font>
      <sz val="12"/>
      <color theme="1" tint="0.249977111117893"/>
      <name val="Roboto Medium"/>
    </font>
    <font>
      <sz val="12"/>
      <color theme="2" tint="-0.749992370372631"/>
      <name val="Roboto Black"/>
    </font>
    <font>
      <sz val="10"/>
      <color theme="1" tint="0.14999847407452621"/>
      <name val="Roboto Medium"/>
    </font>
  </fonts>
  <fills count="12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9D9D9"/>
      </patternFill>
    </fill>
    <fill>
      <patternFill patternType="solid">
        <fgColor rgb="FFFFFFFF"/>
        <bgColor rgb="FFF2F2F2"/>
      </patternFill>
    </fill>
    <fill>
      <patternFill patternType="solid">
        <fgColor rgb="FFFAF9F6"/>
        <bgColor indexed="64"/>
      </patternFill>
    </fill>
    <fill>
      <patternFill patternType="solid">
        <fgColor rgb="FFFAF9F6"/>
        <bgColor rgb="FF333333"/>
      </patternFill>
    </fill>
  </fills>
  <borders count="4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 style="thin">
        <color indexed="64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D9D9D9"/>
      </left>
      <right/>
      <top/>
      <bottom style="thin">
        <color rgb="FFD9D9D9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rgb="FFD9D9D9"/>
      </left>
      <right/>
      <top/>
      <bottom/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 tint="-0.34998626667073579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 tint="-0.499984740745262"/>
      </top>
      <bottom style="thin">
        <color theme="0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/>
      <right/>
      <top style="thin">
        <color indexed="65"/>
      </top>
      <bottom/>
      <diagonal/>
    </border>
    <border>
      <left/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/>
      <right/>
      <top style="thin">
        <color indexed="65"/>
      </top>
      <bottom style="thin">
        <color rgb="FF999999"/>
      </bottom>
      <diagonal/>
    </border>
    <border>
      <left/>
      <right style="thin">
        <color rgb="FF999999"/>
      </right>
      <top style="thin">
        <color indexed="65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1" tint="0.24994659260841701"/>
      </top>
      <bottom style="thin">
        <color theme="0"/>
      </bottom>
      <diagonal/>
    </border>
    <border>
      <left/>
      <right/>
      <top style="thin">
        <color theme="1" tint="0.24994659260841701"/>
      </top>
      <bottom style="thin">
        <color theme="0"/>
      </bottom>
      <diagonal/>
    </border>
    <border>
      <left/>
      <right style="thin">
        <color theme="0"/>
      </right>
      <top style="thin">
        <color theme="1" tint="0.24994659260841701"/>
      </top>
      <bottom style="thin">
        <color theme="0"/>
      </bottom>
      <diagonal/>
    </border>
    <border>
      <left/>
      <right style="hair">
        <color theme="1" tint="0.24994659260841701"/>
      </right>
      <top/>
      <bottom/>
      <diagonal/>
    </border>
    <border>
      <left/>
      <right style="hair">
        <color auto="1"/>
      </right>
      <top/>
      <bottom/>
      <diagonal/>
    </border>
  </borders>
  <cellStyleXfs count="20">
    <xf numFmtId="0" fontId="0" fillId="0" borderId="0"/>
    <xf numFmtId="0" fontId="1" fillId="0" borderId="0" applyBorder="0" applyProtection="0"/>
    <xf numFmtId="0" fontId="2" fillId="0" borderId="0" applyBorder="0" applyProtection="0"/>
    <xf numFmtId="0" fontId="3" fillId="0" borderId="0" applyBorder="0" applyProtection="0"/>
    <xf numFmtId="0" fontId="13" fillId="0" borderId="0" applyBorder="0" applyProtection="0"/>
    <xf numFmtId="0" fontId="4" fillId="2" borderId="1" applyProtection="0"/>
    <xf numFmtId="0" fontId="5" fillId="0" borderId="0" applyBorder="0" applyProtection="0"/>
    <xf numFmtId="0" fontId="6" fillId="0" borderId="0" applyBorder="0" applyProtection="0"/>
    <xf numFmtId="0" fontId="13" fillId="0" borderId="0" applyBorder="0" applyProtection="0"/>
    <xf numFmtId="0" fontId="7" fillId="3" borderId="0" applyBorder="0" applyProtection="0"/>
    <xf numFmtId="0" fontId="8" fillId="2" borderId="0" applyBorder="0" applyProtection="0"/>
    <xf numFmtId="0" fontId="9" fillId="4" borderId="0" applyBorder="0" applyProtection="0"/>
    <xf numFmtId="0" fontId="9" fillId="0" borderId="0" applyBorder="0" applyProtection="0"/>
    <xf numFmtId="0" fontId="10" fillId="5" borderId="0" applyBorder="0" applyProtection="0"/>
    <xf numFmtId="0" fontId="11" fillId="0" borderId="0" applyBorder="0" applyProtection="0"/>
    <xf numFmtId="0" fontId="12" fillId="6" borderId="0" applyBorder="0" applyProtection="0"/>
    <xf numFmtId="0" fontId="12" fillId="7" borderId="0" applyBorder="0" applyProtection="0"/>
    <xf numFmtId="0" fontId="11" fillId="8" borderId="0" applyBorder="0" applyProtection="0"/>
    <xf numFmtId="9" fontId="14" fillId="0" borderId="0" applyFont="0" applyFill="0" applyBorder="0" applyAlignment="0" applyProtection="0"/>
    <xf numFmtId="9" fontId="13" fillId="0" borderId="0" applyFont="0" applyFill="0" applyBorder="0" applyAlignment="0" applyProtection="0"/>
  </cellStyleXfs>
  <cellXfs count="302">
    <xf numFmtId="0" fontId="0" fillId="0" borderId="0" xfId="0"/>
    <xf numFmtId="0" fontId="19" fillId="0" borderId="0" xfId="0" applyFont="1" applyAlignment="1">
      <alignment vertical="center"/>
    </xf>
    <xf numFmtId="14" fontId="19" fillId="0" borderId="0" xfId="0" applyNumberFormat="1" applyFont="1" applyAlignment="1">
      <alignment vertical="center"/>
    </xf>
    <xf numFmtId="165" fontId="19" fillId="0" borderId="0" xfId="0" applyNumberFormat="1" applyFont="1" applyAlignment="1">
      <alignment vertical="center"/>
    </xf>
    <xf numFmtId="0" fontId="23" fillId="10" borderId="0" xfId="0" applyFont="1" applyFill="1" applyAlignment="1">
      <alignment vertical="center"/>
    </xf>
    <xf numFmtId="14" fontId="23" fillId="10" borderId="0" xfId="0" applyNumberFormat="1" applyFont="1" applyFill="1" applyAlignment="1">
      <alignment vertical="center"/>
    </xf>
    <xf numFmtId="165" fontId="23" fillId="10" borderId="0" xfId="0" applyNumberFormat="1" applyFont="1" applyFill="1" applyAlignment="1">
      <alignment vertical="center"/>
    </xf>
    <xf numFmtId="0" fontId="24" fillId="0" borderId="8" xfId="0" applyFont="1" applyBorder="1" applyAlignment="1">
      <alignment vertical="center"/>
    </xf>
    <xf numFmtId="0" fontId="24" fillId="0" borderId="13" xfId="0" applyFont="1" applyBorder="1" applyAlignment="1">
      <alignment vertical="center"/>
    </xf>
    <xf numFmtId="0" fontId="24" fillId="0" borderId="10" xfId="0" applyFont="1" applyBorder="1" applyAlignment="1">
      <alignment vertical="center"/>
    </xf>
    <xf numFmtId="0" fontId="24" fillId="0" borderId="5" xfId="0" applyFont="1" applyBorder="1" applyAlignment="1">
      <alignment vertical="center"/>
    </xf>
    <xf numFmtId="0" fontId="24" fillId="0" borderId="14" xfId="0" applyFont="1" applyBorder="1" applyAlignment="1">
      <alignment vertical="center"/>
    </xf>
    <xf numFmtId="0" fontId="24" fillId="0" borderId="11" xfId="0" applyFont="1" applyBorder="1" applyAlignment="1">
      <alignment vertical="center"/>
    </xf>
    <xf numFmtId="0" fontId="24" fillId="0" borderId="7" xfId="0" applyFont="1" applyBorder="1" applyAlignment="1">
      <alignment vertical="center"/>
    </xf>
    <xf numFmtId="0" fontId="24" fillId="0" borderId="12" xfId="0" applyFont="1" applyBorder="1" applyAlignment="1">
      <alignment vertical="center"/>
    </xf>
    <xf numFmtId="0" fontId="24" fillId="0" borderId="9" xfId="0" applyFont="1" applyBorder="1" applyAlignment="1">
      <alignment vertical="center"/>
    </xf>
    <xf numFmtId="1" fontId="24" fillId="0" borderId="0" xfId="0" applyNumberFormat="1" applyFont="1" applyBorder="1" applyAlignment="1">
      <alignment horizontal="center" vertical="center"/>
    </xf>
    <xf numFmtId="1" fontId="24" fillId="0" borderId="15" xfId="0" applyNumberFormat="1" applyFont="1" applyBorder="1" applyAlignment="1">
      <alignment horizontal="center" vertical="center"/>
    </xf>
    <xf numFmtId="14" fontId="24" fillId="0" borderId="0" xfId="0" applyNumberFormat="1" applyFont="1" applyAlignment="1">
      <alignment horizontal="center" vertical="center"/>
    </xf>
    <xf numFmtId="1" fontId="24" fillId="0" borderId="0" xfId="0" applyNumberFormat="1" applyFont="1" applyAlignment="1">
      <alignment horizontal="center" vertical="center"/>
    </xf>
    <xf numFmtId="10" fontId="24" fillId="0" borderId="0" xfId="0" applyNumberFormat="1" applyFont="1" applyAlignment="1">
      <alignment horizontal="center" vertical="center"/>
    </xf>
    <xf numFmtId="14" fontId="24" fillId="0" borderId="0" xfId="0" applyNumberFormat="1" applyFont="1" applyBorder="1" applyAlignment="1">
      <alignment horizontal="center" vertical="center"/>
    </xf>
    <xf numFmtId="14" fontId="24" fillId="0" borderId="15" xfId="0" applyNumberFormat="1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165" fontId="24" fillId="0" borderId="0" xfId="0" applyNumberFormat="1" applyFont="1" applyAlignment="1">
      <alignment horizontal="center" vertical="center"/>
    </xf>
    <xf numFmtId="14" fontId="24" fillId="0" borderId="0" xfId="0" applyNumberFormat="1" applyFont="1" applyBorder="1"/>
    <xf numFmtId="14" fontId="24" fillId="0" borderId="15" xfId="0" applyNumberFormat="1" applyFont="1" applyBorder="1"/>
    <xf numFmtId="14" fontId="24" fillId="0" borderId="0" xfId="0" applyNumberFormat="1" applyFont="1"/>
    <xf numFmtId="165" fontId="24" fillId="0" borderId="0" xfId="0" applyNumberFormat="1" applyFont="1"/>
    <xf numFmtId="165" fontId="16" fillId="0" borderId="0" xfId="0" applyNumberFormat="1" applyFont="1"/>
    <xf numFmtId="10" fontId="24" fillId="0" borderId="0" xfId="0" applyNumberFormat="1" applyFont="1"/>
    <xf numFmtId="165" fontId="24" fillId="0" borderId="0" xfId="0" applyNumberFormat="1" applyFont="1" applyBorder="1"/>
    <xf numFmtId="165" fontId="24" fillId="0" borderId="15" xfId="0" applyNumberFormat="1" applyFont="1" applyBorder="1"/>
    <xf numFmtId="165" fontId="24" fillId="0" borderId="5" xfId="0" applyNumberFormat="1" applyFont="1" applyBorder="1" applyAlignment="1">
      <alignment vertical="center"/>
    </xf>
    <xf numFmtId="0" fontId="26" fillId="10" borderId="0" xfId="0" applyFont="1" applyFill="1" applyBorder="1" applyAlignment="1">
      <alignment vertical="center"/>
    </xf>
    <xf numFmtId="0" fontId="30" fillId="10" borderId="0" xfId="0" applyFont="1" applyFill="1" applyBorder="1" applyAlignment="1">
      <alignment vertical="center"/>
    </xf>
    <xf numFmtId="0" fontId="29" fillId="10" borderId="0" xfId="0" applyFont="1" applyFill="1" applyBorder="1" applyAlignment="1">
      <alignment horizontal="center" vertical="center"/>
    </xf>
    <xf numFmtId="0" fontId="29" fillId="10" borderId="0" xfId="7" applyFont="1" applyFill="1" applyBorder="1" applyAlignment="1">
      <alignment horizontal="center" vertical="center"/>
    </xf>
    <xf numFmtId="0" fontId="24" fillId="10" borderId="0" xfId="0" applyFont="1" applyFill="1" applyBorder="1" applyAlignment="1">
      <alignment vertical="center"/>
    </xf>
    <xf numFmtId="0" fontId="24" fillId="10" borderId="0" xfId="0" applyFont="1" applyFill="1" applyBorder="1" applyAlignment="1">
      <alignment horizontal="center"/>
    </xf>
    <xf numFmtId="14" fontId="25" fillId="10" borderId="0" xfId="0" applyNumberFormat="1" applyFont="1" applyFill="1" applyBorder="1" applyAlignment="1">
      <alignment horizontal="center" vertical="center"/>
    </xf>
    <xf numFmtId="0" fontId="25" fillId="10" borderId="0" xfId="0" applyFont="1" applyFill="1" applyBorder="1" applyAlignment="1">
      <alignment horizontal="center" vertical="center"/>
    </xf>
    <xf numFmtId="165" fontId="32" fillId="10" borderId="0" xfId="7" applyNumberFormat="1" applyFont="1" applyFill="1" applyBorder="1" applyAlignment="1">
      <alignment horizontal="left" vertical="center"/>
    </xf>
    <xf numFmtId="0" fontId="33" fillId="10" borderId="0" xfId="7" applyFont="1" applyFill="1" applyBorder="1" applyAlignment="1">
      <alignment horizontal="right" vertical="center"/>
    </xf>
    <xf numFmtId="0" fontId="34" fillId="10" borderId="0" xfId="0" applyFont="1" applyFill="1" applyBorder="1" applyAlignment="1">
      <alignment vertical="center"/>
    </xf>
    <xf numFmtId="0" fontId="34" fillId="10" borderId="0" xfId="0" applyFont="1" applyFill="1" applyBorder="1"/>
    <xf numFmtId="165" fontId="34" fillId="10" borderId="0" xfId="0" applyNumberFormat="1" applyFont="1" applyFill="1" applyBorder="1"/>
    <xf numFmtId="165" fontId="35" fillId="10" borderId="0" xfId="0" applyNumberFormat="1" applyFont="1" applyFill="1" applyBorder="1"/>
    <xf numFmtId="0" fontId="35" fillId="10" borderId="0" xfId="0" applyFont="1" applyFill="1" applyBorder="1"/>
    <xf numFmtId="10" fontId="35" fillId="10" borderId="0" xfId="0" applyNumberFormat="1" applyFont="1" applyFill="1" applyBorder="1"/>
    <xf numFmtId="0" fontId="36" fillId="10" borderId="0" xfId="0" applyFont="1" applyFill="1" applyBorder="1" applyAlignment="1">
      <alignment vertical="center"/>
    </xf>
    <xf numFmtId="0" fontId="36" fillId="10" borderId="0" xfId="0" applyFont="1" applyFill="1" applyBorder="1"/>
    <xf numFmtId="165" fontId="36" fillId="10" borderId="0" xfId="0" applyNumberFormat="1" applyFont="1" applyFill="1" applyBorder="1"/>
    <xf numFmtId="10" fontId="36" fillId="10" borderId="0" xfId="0" applyNumberFormat="1" applyFont="1" applyFill="1" applyBorder="1"/>
    <xf numFmtId="9" fontId="37" fillId="10" borderId="0" xfId="0" applyNumberFormat="1" applyFont="1" applyFill="1" applyBorder="1" applyAlignment="1">
      <alignment vertical="center"/>
    </xf>
    <xf numFmtId="0" fontId="28" fillId="10" borderId="0" xfId="0" applyFont="1" applyFill="1" applyBorder="1"/>
    <xf numFmtId="166" fontId="37" fillId="10" borderId="0" xfId="0" applyNumberFormat="1" applyFont="1" applyFill="1" applyBorder="1" applyAlignment="1">
      <alignment vertical="center"/>
    </xf>
    <xf numFmtId="165" fontId="28" fillId="10" borderId="0" xfId="0" applyNumberFormat="1" applyFont="1" applyFill="1" applyBorder="1"/>
    <xf numFmtId="10" fontId="28" fillId="10" borderId="0" xfId="0" applyNumberFormat="1" applyFont="1" applyFill="1" applyBorder="1"/>
    <xf numFmtId="168" fontId="25" fillId="10" borderId="0" xfId="0" applyNumberFormat="1" applyFont="1" applyFill="1" applyBorder="1" applyAlignment="1">
      <alignment horizontal="center" vertical="center"/>
    </xf>
    <xf numFmtId="168" fontId="32" fillId="10" borderId="0" xfId="7" applyNumberFormat="1" applyFont="1" applyFill="1" applyBorder="1" applyAlignment="1">
      <alignment horizontal="left" vertical="center"/>
    </xf>
    <xf numFmtId="165" fontId="19" fillId="10" borderId="0" xfId="0" applyNumberFormat="1" applyFont="1" applyFill="1" applyAlignment="1">
      <alignment vertical="center"/>
    </xf>
    <xf numFmtId="0" fontId="19" fillId="10" borderId="0" xfId="0" applyFont="1" applyFill="1" applyAlignment="1">
      <alignment vertical="center"/>
    </xf>
    <xf numFmtId="14" fontId="19" fillId="10" borderId="0" xfId="0" applyNumberFormat="1" applyFont="1" applyFill="1" applyAlignment="1">
      <alignment vertical="center"/>
    </xf>
    <xf numFmtId="165" fontId="19" fillId="10" borderId="4" xfId="0" applyNumberFormat="1" applyFont="1" applyFill="1" applyBorder="1" applyAlignment="1">
      <alignment vertical="center"/>
    </xf>
    <xf numFmtId="0" fontId="24" fillId="0" borderId="0" xfId="0" applyFont="1" applyBorder="1" applyAlignment="1">
      <alignment vertical="center"/>
    </xf>
    <xf numFmtId="0" fontId="24" fillId="0" borderId="11" xfId="0" applyFont="1" applyBorder="1" applyAlignment="1">
      <alignment horizontal="center" vertical="center"/>
    </xf>
    <xf numFmtId="165" fontId="42" fillId="0" borderId="5" xfId="0" applyNumberFormat="1" applyFont="1" applyBorder="1" applyAlignment="1">
      <alignment horizontal="center" vertical="center"/>
    </xf>
    <xf numFmtId="165" fontId="42" fillId="0" borderId="14" xfId="0" applyNumberFormat="1" applyFont="1" applyBorder="1" applyAlignment="1">
      <alignment horizontal="center" vertical="center"/>
    </xf>
    <xf numFmtId="165" fontId="42" fillId="0" borderId="11" xfId="0" applyNumberFormat="1" applyFont="1" applyBorder="1" applyAlignment="1">
      <alignment horizontal="center" vertical="center"/>
    </xf>
    <xf numFmtId="0" fontId="25" fillId="0" borderId="5" xfId="0" applyFont="1" applyBorder="1" applyAlignment="1">
      <alignment vertical="center"/>
    </xf>
    <xf numFmtId="0" fontId="25" fillId="0" borderId="14" xfId="0" applyFont="1" applyBorder="1" applyAlignment="1">
      <alignment vertical="center"/>
    </xf>
    <xf numFmtId="0" fontId="25" fillId="0" borderId="11" xfId="0" applyFont="1" applyBorder="1" applyAlignment="1">
      <alignment vertical="center"/>
    </xf>
    <xf numFmtId="0" fontId="25" fillId="0" borderId="11" xfId="0" applyFont="1" applyBorder="1" applyAlignment="1">
      <alignment horizontal="center" vertical="center"/>
    </xf>
    <xf numFmtId="165" fontId="42" fillId="0" borderId="9" xfId="0" applyNumberFormat="1" applyFont="1" applyBorder="1" applyAlignment="1">
      <alignment horizontal="center" vertical="center"/>
    </xf>
    <xf numFmtId="165" fontId="42" fillId="0" borderId="18" xfId="0" applyNumberFormat="1" applyFont="1" applyBorder="1" applyAlignment="1">
      <alignment horizontal="center" vertical="center"/>
    </xf>
    <xf numFmtId="165" fontId="42" fillId="0" borderId="10" xfId="0" applyNumberFormat="1" applyFont="1" applyBorder="1" applyAlignment="1">
      <alignment horizontal="center" vertical="center"/>
    </xf>
    <xf numFmtId="165" fontId="29" fillId="0" borderId="18" xfId="0" applyNumberFormat="1" applyFont="1" applyBorder="1" applyAlignment="1">
      <alignment horizontal="center" vertical="center"/>
    </xf>
    <xf numFmtId="0" fontId="24" fillId="0" borderId="19" xfId="0" applyFont="1" applyBorder="1" applyAlignment="1">
      <alignment vertical="center"/>
    </xf>
    <xf numFmtId="0" fontId="24" fillId="0" borderId="20" xfId="0" applyFont="1" applyBorder="1" applyAlignment="1">
      <alignment vertical="center"/>
    </xf>
    <xf numFmtId="0" fontId="41" fillId="0" borderId="13" xfId="0" applyFont="1" applyBorder="1" applyAlignment="1">
      <alignment horizontal="center" vertical="center"/>
    </xf>
    <xf numFmtId="0" fontId="41" fillId="0" borderId="10" xfId="0" applyFont="1" applyBorder="1" applyAlignment="1">
      <alignment horizontal="center" vertical="center"/>
    </xf>
    <xf numFmtId="49" fontId="23" fillId="10" borderId="0" xfId="0" applyNumberFormat="1" applyFont="1" applyFill="1" applyAlignment="1"/>
    <xf numFmtId="14" fontId="23" fillId="10" borderId="0" xfId="0" applyNumberFormat="1" applyFont="1" applyFill="1" applyAlignment="1"/>
    <xf numFmtId="0" fontId="23" fillId="10" borderId="0" xfId="0" applyNumberFormat="1" applyFont="1" applyFill="1" applyAlignment="1"/>
    <xf numFmtId="0" fontId="23" fillId="10" borderId="0" xfId="0" applyFont="1" applyFill="1" applyAlignment="1">
      <alignment horizontal="left"/>
    </xf>
    <xf numFmtId="0" fontId="23" fillId="10" borderId="0" xfId="0" applyFont="1" applyFill="1" applyAlignment="1"/>
    <xf numFmtId="165" fontId="23" fillId="10" borderId="0" xfId="0" applyNumberFormat="1" applyFont="1" applyFill="1" applyAlignment="1"/>
    <xf numFmtId="49" fontId="19" fillId="10" borderId="0" xfId="0" applyNumberFormat="1" applyFont="1" applyFill="1" applyAlignment="1"/>
    <xf numFmtId="49" fontId="19" fillId="10" borderId="0" xfId="0" applyNumberFormat="1" applyFont="1" applyFill="1" applyAlignment="1">
      <alignment horizontal="left"/>
    </xf>
    <xf numFmtId="0" fontId="19" fillId="10" borderId="0" xfId="0" applyNumberFormat="1" applyFont="1" applyFill="1" applyAlignment="1"/>
    <xf numFmtId="165" fontId="19" fillId="10" borderId="0" xfId="0" applyNumberFormat="1" applyFont="1" applyFill="1" applyAlignment="1"/>
    <xf numFmtId="49" fontId="19" fillId="0" borderId="0" xfId="0" applyNumberFormat="1" applyFont="1" applyAlignment="1"/>
    <xf numFmtId="14" fontId="19" fillId="0" borderId="0" xfId="0" applyNumberFormat="1" applyFont="1" applyAlignment="1"/>
    <xf numFmtId="0" fontId="19" fillId="0" borderId="0" xfId="0" applyNumberFormat="1" applyFont="1" applyAlignment="1"/>
    <xf numFmtId="0" fontId="19" fillId="0" borderId="0" xfId="0" applyFont="1" applyAlignment="1">
      <alignment horizontal="left"/>
    </xf>
    <xf numFmtId="0" fontId="19" fillId="0" borderId="0" xfId="0" applyFont="1" applyAlignment="1"/>
    <xf numFmtId="165" fontId="19" fillId="0" borderId="0" xfId="0" applyNumberFormat="1" applyFont="1" applyAlignment="1"/>
    <xf numFmtId="0" fontId="21" fillId="10" borderId="0" xfId="0" applyFont="1" applyFill="1" applyAlignment="1">
      <alignment vertical="top"/>
    </xf>
    <xf numFmtId="165" fontId="21" fillId="10" borderId="0" xfId="0" applyNumberFormat="1" applyFont="1" applyFill="1" applyAlignment="1">
      <alignment vertical="top"/>
    </xf>
    <xf numFmtId="165" fontId="21" fillId="10" borderId="0" xfId="0" applyNumberFormat="1" applyFont="1" applyFill="1" applyAlignment="1">
      <alignment horizontal="center" vertical="top"/>
    </xf>
    <xf numFmtId="165" fontId="43" fillId="0" borderId="0" xfId="0" applyNumberFormat="1" applyFont="1" applyAlignment="1">
      <alignment horizontal="center" vertical="center"/>
    </xf>
    <xf numFmtId="0" fontId="43" fillId="0" borderId="0" xfId="0" applyFont="1" applyAlignment="1">
      <alignment horizontal="center" vertical="center"/>
    </xf>
    <xf numFmtId="0" fontId="44" fillId="10" borderId="0" xfId="0" applyFont="1" applyFill="1" applyAlignment="1">
      <alignment horizontal="center" vertical="center"/>
    </xf>
    <xf numFmtId="165" fontId="43" fillId="0" borderId="0" xfId="0" applyNumberFormat="1" applyFont="1" applyAlignment="1">
      <alignment horizontal="center"/>
    </xf>
    <xf numFmtId="0" fontId="43" fillId="0" borderId="0" xfId="0" applyFont="1" applyAlignment="1">
      <alignment horizontal="center"/>
    </xf>
    <xf numFmtId="0" fontId="43" fillId="10" borderId="0" xfId="0" applyFont="1" applyFill="1" applyAlignment="1">
      <alignment horizontal="center"/>
    </xf>
    <xf numFmtId="0" fontId="43" fillId="10" borderId="0" xfId="0" applyFont="1" applyFill="1" applyAlignment="1">
      <alignment horizontal="center" vertical="center"/>
    </xf>
    <xf numFmtId="0" fontId="0" fillId="0" borderId="21" xfId="0" pivotButton="1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14" fontId="0" fillId="0" borderId="21" xfId="0" applyNumberFormat="1" applyBorder="1" applyAlignment="1">
      <alignment horizontal="left"/>
    </xf>
    <xf numFmtId="0" fontId="0" fillId="0" borderId="21" xfId="0" applyNumberFormat="1" applyBorder="1"/>
    <xf numFmtId="0" fontId="0" fillId="0" borderId="22" xfId="0" applyNumberFormat="1" applyBorder="1"/>
    <xf numFmtId="14" fontId="0" fillId="0" borderId="24" xfId="0" applyNumberFormat="1" applyBorder="1" applyAlignment="1">
      <alignment horizontal="left"/>
    </xf>
    <xf numFmtId="0" fontId="0" fillId="0" borderId="24" xfId="0" applyNumberFormat="1" applyBorder="1"/>
    <xf numFmtId="0" fontId="0" fillId="0" borderId="25" xfId="0" applyNumberFormat="1" applyBorder="1"/>
    <xf numFmtId="14" fontId="0" fillId="0" borderId="27" xfId="0" applyNumberFormat="1" applyBorder="1" applyAlignment="1">
      <alignment horizontal="left"/>
    </xf>
    <xf numFmtId="0" fontId="0" fillId="0" borderId="27" xfId="0" applyNumberFormat="1" applyBorder="1"/>
    <xf numFmtId="0" fontId="0" fillId="0" borderId="28" xfId="0" applyNumberFormat="1" applyBorder="1"/>
    <xf numFmtId="0" fontId="0" fillId="0" borderId="30" xfId="0" applyBorder="1"/>
    <xf numFmtId="0" fontId="0" fillId="0" borderId="21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32" xfId="0" applyBorder="1" applyAlignment="1">
      <alignment horizontal="left"/>
    </xf>
    <xf numFmtId="0" fontId="0" fillId="0" borderId="33" xfId="0" pivotButton="1" applyBorder="1"/>
    <xf numFmtId="0" fontId="0" fillId="0" borderId="33" xfId="0" applyBorder="1"/>
    <xf numFmtId="14" fontId="0" fillId="0" borderId="32" xfId="0" applyNumberFormat="1" applyBorder="1" applyAlignment="1">
      <alignment horizontal="left"/>
    </xf>
    <xf numFmtId="0" fontId="0" fillId="0" borderId="32" xfId="0" applyNumberFormat="1" applyBorder="1"/>
    <xf numFmtId="0" fontId="0" fillId="0" borderId="34" xfId="0" applyNumberFormat="1" applyBorder="1"/>
    <xf numFmtId="0" fontId="0" fillId="0" borderId="35" xfId="0" applyNumberFormat="1" applyBorder="1"/>
    <xf numFmtId="165" fontId="0" fillId="0" borderId="33" xfId="0" applyNumberFormat="1" applyBorder="1"/>
    <xf numFmtId="0" fontId="0" fillId="0" borderId="36" xfId="0" applyBorder="1"/>
    <xf numFmtId="0" fontId="0" fillId="0" borderId="37" xfId="0" applyBorder="1"/>
    <xf numFmtId="1" fontId="0" fillId="0" borderId="33" xfId="0" applyNumberFormat="1" applyBorder="1"/>
    <xf numFmtId="0" fontId="0" fillId="0" borderId="30" xfId="0" applyNumberFormat="1" applyBorder="1"/>
    <xf numFmtId="0" fontId="0" fillId="0" borderId="31" xfId="0" applyNumberFormat="1" applyBorder="1"/>
    <xf numFmtId="0" fontId="0" fillId="0" borderId="33" xfId="0" applyNumberFormat="1" applyBorder="1"/>
    <xf numFmtId="0" fontId="0" fillId="0" borderId="24" xfId="0" applyBorder="1"/>
    <xf numFmtId="0" fontId="0" fillId="0" borderId="31" xfId="0" applyBorder="1"/>
    <xf numFmtId="165" fontId="0" fillId="0" borderId="35" xfId="0" applyNumberFormat="1" applyBorder="1"/>
    <xf numFmtId="0" fontId="0" fillId="0" borderId="0" xfId="0" applyNumberFormat="1" applyBorder="1"/>
    <xf numFmtId="0" fontId="40" fillId="0" borderId="0" xfId="0" applyFont="1" applyBorder="1" applyAlignment="1">
      <alignment horizontal="center" vertical="center"/>
    </xf>
    <xf numFmtId="0" fontId="0" fillId="10" borderId="0" xfId="0" applyFill="1"/>
    <xf numFmtId="165" fontId="25" fillId="0" borderId="5" xfId="0" applyNumberFormat="1" applyFont="1" applyBorder="1" applyAlignment="1">
      <alignment vertical="center"/>
    </xf>
    <xf numFmtId="165" fontId="25" fillId="0" borderId="0" xfId="0" applyNumberFormat="1" applyFont="1" applyBorder="1"/>
    <xf numFmtId="165" fontId="25" fillId="0" borderId="15" xfId="0" applyNumberFormat="1" applyFont="1" applyBorder="1"/>
    <xf numFmtId="165" fontId="25" fillId="0" borderId="0" xfId="0" applyNumberFormat="1" applyFont="1"/>
    <xf numFmtId="165" fontId="46" fillId="0" borderId="0" xfId="0" applyNumberFormat="1" applyFont="1"/>
    <xf numFmtId="165" fontId="42" fillId="0" borderId="5" xfId="0" applyNumberFormat="1" applyFont="1" applyBorder="1" applyAlignment="1">
      <alignment vertical="center"/>
    </xf>
    <xf numFmtId="165" fontId="42" fillId="0" borderId="0" xfId="0" applyNumberFormat="1" applyFont="1" applyBorder="1"/>
    <xf numFmtId="165" fontId="42" fillId="0" borderId="15" xfId="0" applyNumberFormat="1" applyFont="1" applyBorder="1"/>
    <xf numFmtId="165" fontId="42" fillId="0" borderId="0" xfId="0" applyNumberFormat="1" applyFont="1"/>
    <xf numFmtId="165" fontId="47" fillId="0" borderId="0" xfId="0" applyNumberFormat="1" applyFont="1"/>
    <xf numFmtId="165" fontId="0" fillId="0" borderId="34" xfId="0" applyNumberFormat="1" applyBorder="1"/>
    <xf numFmtId="0" fontId="42" fillId="0" borderId="5" xfId="0" applyFont="1" applyBorder="1" applyAlignment="1">
      <alignment vertical="center"/>
    </xf>
    <xf numFmtId="0" fontId="42" fillId="0" borderId="14" xfId="0" applyFont="1" applyBorder="1" applyAlignment="1">
      <alignment vertical="center"/>
    </xf>
    <xf numFmtId="0" fontId="42" fillId="0" borderId="11" xfId="0" applyFont="1" applyBorder="1" applyAlignment="1">
      <alignment vertical="center"/>
    </xf>
    <xf numFmtId="10" fontId="0" fillId="0" borderId="0" xfId="0" applyNumberFormat="1"/>
    <xf numFmtId="10" fontId="0" fillId="0" borderId="37" xfId="0" applyNumberFormat="1" applyBorder="1"/>
    <xf numFmtId="10" fontId="0" fillId="0" borderId="23" xfId="0" applyNumberFormat="1" applyBorder="1"/>
    <xf numFmtId="10" fontId="0" fillId="0" borderId="26" xfId="0" applyNumberFormat="1" applyBorder="1"/>
    <xf numFmtId="10" fontId="0" fillId="0" borderId="29" xfId="0" applyNumberFormat="1" applyBorder="1"/>
    <xf numFmtId="10" fontId="0" fillId="0" borderId="21" xfId="0" applyNumberFormat="1" applyBorder="1"/>
    <xf numFmtId="10" fontId="0" fillId="0" borderId="36" xfId="0" applyNumberFormat="1" applyBorder="1"/>
    <xf numFmtId="2" fontId="42" fillId="0" borderId="5" xfId="0" applyNumberFormat="1" applyFont="1" applyBorder="1" applyAlignment="1">
      <alignment vertical="center"/>
    </xf>
    <xf numFmtId="0" fontId="48" fillId="0" borderId="38" xfId="0" applyFont="1" applyBorder="1" applyAlignment="1">
      <alignment horizontal="left" vertical="center"/>
    </xf>
    <xf numFmtId="0" fontId="48" fillId="0" borderId="0" xfId="0" applyFont="1" applyBorder="1" applyAlignment="1">
      <alignment horizontal="left" vertical="center"/>
    </xf>
    <xf numFmtId="0" fontId="49" fillId="0" borderId="0" xfId="0" applyFont="1" applyBorder="1" applyAlignment="1">
      <alignment horizontal="center" vertical="center"/>
    </xf>
    <xf numFmtId="0" fontId="18" fillId="10" borderId="0" xfId="0" applyFont="1" applyFill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horizontal="left" vertical="center"/>
    </xf>
    <xf numFmtId="0" fontId="40" fillId="0" borderId="0" xfId="0" applyFont="1" applyBorder="1" applyAlignment="1">
      <alignment horizontal="center" vertical="center"/>
    </xf>
    <xf numFmtId="0" fontId="17" fillId="0" borderId="0" xfId="0" applyFont="1"/>
    <xf numFmtId="0" fontId="19" fillId="0" borderId="2" xfId="0" applyFont="1" applyBorder="1"/>
    <xf numFmtId="0" fontId="45" fillId="0" borderId="2" xfId="0" applyFont="1" applyBorder="1" applyAlignment="1">
      <alignment horizontal="center"/>
    </xf>
    <xf numFmtId="165" fontId="19" fillId="0" borderId="2" xfId="0" applyNumberFormat="1" applyFont="1" applyBorder="1"/>
    <xf numFmtId="2" fontId="19" fillId="0" borderId="2" xfId="0" applyNumberFormat="1" applyFont="1" applyBorder="1"/>
    <xf numFmtId="0" fontId="19" fillId="0" borderId="3" xfId="0" applyFont="1" applyBorder="1" applyAlignment="1">
      <alignment horizontal="center"/>
    </xf>
    <xf numFmtId="14" fontId="19" fillId="0" borderId="2" xfId="0" applyNumberFormat="1" applyFont="1" applyBorder="1" applyAlignment="1">
      <alignment horizontal="center"/>
    </xf>
    <xf numFmtId="0" fontId="19" fillId="0" borderId="17" xfId="0" applyFont="1" applyBorder="1"/>
    <xf numFmtId="0" fontId="45" fillId="0" borderId="17" xfId="0" applyFont="1" applyBorder="1" applyAlignment="1">
      <alignment horizontal="center"/>
    </xf>
    <xf numFmtId="165" fontId="19" fillId="0" borderId="17" xfId="0" applyNumberFormat="1" applyFont="1" applyBorder="1"/>
    <xf numFmtId="165" fontId="19" fillId="9" borderId="17" xfId="0" applyNumberFormat="1" applyFont="1" applyFill="1" applyBorder="1"/>
    <xf numFmtId="2" fontId="19" fillId="9" borderId="17" xfId="19" applyNumberFormat="1" applyFont="1" applyFill="1" applyBorder="1" applyAlignment="1" applyProtection="1"/>
    <xf numFmtId="2" fontId="19" fillId="9" borderId="17" xfId="0" applyNumberFormat="1" applyFont="1" applyFill="1" applyBorder="1"/>
    <xf numFmtId="49" fontId="19" fillId="9" borderId="17" xfId="0" applyNumberFormat="1" applyFont="1" applyFill="1" applyBorder="1"/>
    <xf numFmtId="49" fontId="19" fillId="0" borderId="17" xfId="0" applyNumberFormat="1" applyFont="1" applyBorder="1"/>
    <xf numFmtId="164" fontId="19" fillId="0" borderId="6" xfId="0" applyNumberFormat="1" applyFont="1" applyBorder="1" applyAlignment="1">
      <alignment horizontal="center"/>
    </xf>
    <xf numFmtId="14" fontId="19" fillId="0" borderId="17" xfId="0" applyNumberFormat="1" applyFont="1" applyBorder="1" applyAlignment="1">
      <alignment horizontal="center"/>
    </xf>
    <xf numFmtId="0" fontId="19" fillId="11" borderId="0" xfId="0" applyFont="1" applyFill="1" applyAlignment="1">
      <alignment horizontal="left" vertical="center"/>
    </xf>
    <xf numFmtId="165" fontId="19" fillId="11" borderId="0" xfId="0" applyNumberFormat="1" applyFont="1" applyFill="1" applyAlignment="1">
      <alignment horizontal="left" vertical="center"/>
    </xf>
    <xf numFmtId="2" fontId="19" fillId="11" borderId="0" xfId="0" applyNumberFormat="1" applyFont="1" applyFill="1" applyAlignment="1">
      <alignment horizontal="left" vertical="center"/>
    </xf>
    <xf numFmtId="49" fontId="19" fillId="11" borderId="0" xfId="0" applyNumberFormat="1" applyFont="1" applyFill="1" applyAlignment="1">
      <alignment horizontal="left" vertical="center"/>
    </xf>
    <xf numFmtId="14" fontId="19" fillId="11" borderId="0" xfId="0" applyNumberFormat="1" applyFont="1" applyFill="1" applyAlignment="1">
      <alignment horizontal="left" vertical="center"/>
    </xf>
    <xf numFmtId="0" fontId="18" fillId="10" borderId="0" xfId="0" applyFont="1" applyFill="1"/>
    <xf numFmtId="0" fontId="20" fillId="10" borderId="0" xfId="0" applyFont="1" applyFill="1"/>
    <xf numFmtId="0" fontId="45" fillId="10" borderId="0" xfId="0" applyFont="1" applyFill="1" applyAlignment="1">
      <alignment horizontal="center"/>
    </xf>
    <xf numFmtId="165" fontId="20" fillId="10" borderId="0" xfId="0" applyNumberFormat="1" applyFont="1" applyFill="1"/>
    <xf numFmtId="2" fontId="20" fillId="10" borderId="0" xfId="0" applyNumberFormat="1" applyFont="1" applyFill="1"/>
    <xf numFmtId="0" fontId="20" fillId="10" borderId="0" xfId="0" applyFont="1" applyFill="1" applyAlignment="1">
      <alignment horizontal="center"/>
    </xf>
    <xf numFmtId="14" fontId="20" fillId="10" borderId="16" xfId="0" applyNumberFormat="1" applyFont="1" applyFill="1" applyBorder="1" applyAlignment="1">
      <alignment horizontal="center"/>
    </xf>
    <xf numFmtId="0" fontId="24" fillId="0" borderId="39" xfId="0" applyFont="1" applyBorder="1" applyAlignment="1">
      <alignment vertical="center"/>
    </xf>
    <xf numFmtId="0" fontId="40" fillId="0" borderId="0" xfId="0" applyFont="1" applyBorder="1" applyAlignment="1">
      <alignment vertical="center"/>
    </xf>
    <xf numFmtId="0" fontId="51" fillId="0" borderId="0" xfId="0" applyFont="1" applyBorder="1" applyAlignment="1">
      <alignment horizontal="center" vertical="center"/>
    </xf>
    <xf numFmtId="0" fontId="40" fillId="0" borderId="43" xfId="0" applyFont="1" applyBorder="1" applyAlignment="1">
      <alignment horizontal="center" vertical="center"/>
    </xf>
    <xf numFmtId="0" fontId="17" fillId="0" borderId="43" xfId="0" applyFont="1" applyBorder="1" applyAlignment="1">
      <alignment horizontal="center" vertical="center"/>
    </xf>
    <xf numFmtId="0" fontId="51" fillId="0" borderId="43" xfId="0" applyFont="1" applyBorder="1" applyAlignment="1">
      <alignment horizontal="center" vertical="center"/>
    </xf>
    <xf numFmtId="0" fontId="49" fillId="0" borderId="43" xfId="0" applyFont="1" applyBorder="1" applyAlignment="1">
      <alignment horizontal="center" vertical="center"/>
    </xf>
    <xf numFmtId="0" fontId="40" fillId="0" borderId="44" xfId="0" applyFont="1" applyBorder="1" applyAlignment="1">
      <alignment vertical="center"/>
    </xf>
    <xf numFmtId="0" fontId="40" fillId="0" borderId="44" xfId="0" applyFont="1" applyBorder="1" applyAlignment="1">
      <alignment horizontal="center" vertical="center"/>
    </xf>
    <xf numFmtId="0" fontId="17" fillId="0" borderId="44" xfId="0" applyFont="1" applyBorder="1" applyAlignment="1">
      <alignment horizontal="center" vertical="center"/>
    </xf>
    <xf numFmtId="0" fontId="51" fillId="0" borderId="44" xfId="0" applyFont="1" applyBorder="1" applyAlignment="1">
      <alignment horizontal="center" vertical="center"/>
    </xf>
    <xf numFmtId="0" fontId="49" fillId="0" borderId="44" xfId="0" applyFont="1" applyBorder="1" applyAlignment="1">
      <alignment horizontal="center" vertical="center"/>
    </xf>
    <xf numFmtId="0" fontId="19" fillId="0" borderId="44" xfId="0" applyFont="1" applyBorder="1" applyAlignment="1">
      <alignment horizontal="left" vertical="center"/>
    </xf>
    <xf numFmtId="9" fontId="49" fillId="0" borderId="38" xfId="0" applyNumberFormat="1" applyFont="1" applyBorder="1" applyAlignment="1">
      <alignment horizontal="center" vertical="center"/>
    </xf>
    <xf numFmtId="0" fontId="49" fillId="0" borderId="38" xfId="0" applyFont="1" applyBorder="1" applyAlignment="1">
      <alignment horizontal="center" vertical="center"/>
    </xf>
    <xf numFmtId="170" fontId="28" fillId="10" borderId="0" xfId="0" applyNumberFormat="1" applyFont="1" applyFill="1" applyBorder="1"/>
    <xf numFmtId="0" fontId="51" fillId="0" borderId="0" xfId="0" applyFont="1" applyBorder="1" applyAlignment="1">
      <alignment horizontal="center" vertical="center"/>
    </xf>
    <xf numFmtId="9" fontId="0" fillId="0" borderId="33" xfId="0" applyNumberFormat="1" applyBorder="1"/>
    <xf numFmtId="0" fontId="51" fillId="0" borderId="0" xfId="0" applyFont="1" applyBorder="1" applyAlignment="1">
      <alignment vertical="center"/>
    </xf>
    <xf numFmtId="0" fontId="0" fillId="0" borderId="32" xfId="0" pivotButton="1" applyBorder="1"/>
    <xf numFmtId="0" fontId="0" fillId="0" borderId="32" xfId="0" applyBorder="1"/>
    <xf numFmtId="0" fontId="0" fillId="0" borderId="34" xfId="0" applyBorder="1"/>
    <xf numFmtId="0" fontId="0" fillId="0" borderId="35" xfId="0" applyBorder="1"/>
    <xf numFmtId="0" fontId="0" fillId="0" borderId="30" xfId="0" pivotButton="1" applyBorder="1"/>
    <xf numFmtId="0" fontId="50" fillId="0" borderId="40" xfId="7" applyFont="1" applyBorder="1" applyAlignment="1">
      <alignment horizontal="center" vertical="center"/>
    </xf>
    <xf numFmtId="0" fontId="50" fillId="0" borderId="41" xfId="7" applyFont="1" applyBorder="1" applyAlignment="1">
      <alignment horizontal="center" vertical="center"/>
    </xf>
    <xf numFmtId="0" fontId="50" fillId="0" borderId="42" xfId="7" applyFont="1" applyBorder="1" applyAlignment="1">
      <alignment horizontal="center" vertical="center"/>
    </xf>
    <xf numFmtId="169" fontId="42" fillId="0" borderId="12" xfId="0" applyNumberFormat="1" applyFont="1" applyBorder="1" applyAlignment="1">
      <alignment horizontal="center" vertical="center"/>
    </xf>
    <xf numFmtId="169" fontId="42" fillId="0" borderId="9" xfId="0" applyNumberFormat="1" applyFont="1" applyBorder="1" applyAlignment="1">
      <alignment horizontal="center" vertical="center"/>
    </xf>
    <xf numFmtId="169" fontId="42" fillId="0" borderId="15" xfId="0" applyNumberFormat="1" applyFont="1" applyBorder="1" applyAlignment="1">
      <alignment horizontal="center" vertical="center"/>
    </xf>
    <xf numFmtId="169" fontId="42" fillId="0" borderId="18" xfId="0" applyNumberFormat="1" applyFont="1" applyBorder="1" applyAlignment="1">
      <alignment horizontal="center" vertical="center"/>
    </xf>
    <xf numFmtId="169" fontId="42" fillId="0" borderId="13" xfId="0" applyNumberFormat="1" applyFont="1" applyBorder="1" applyAlignment="1">
      <alignment horizontal="center" vertical="center"/>
    </xf>
    <xf numFmtId="169" fontId="42" fillId="0" borderId="10" xfId="0" applyNumberFormat="1" applyFont="1" applyBorder="1" applyAlignment="1">
      <alignment horizontal="center" vertical="center"/>
    </xf>
    <xf numFmtId="0" fontId="25" fillId="0" borderId="14" xfId="0" applyFont="1" applyBorder="1" applyAlignment="1">
      <alignment horizontal="center" vertical="center"/>
    </xf>
    <xf numFmtId="0" fontId="25" fillId="0" borderId="11" xfId="0" applyFont="1" applyBorder="1" applyAlignment="1">
      <alignment horizontal="center" vertical="center"/>
    </xf>
    <xf numFmtId="10" fontId="42" fillId="0" borderId="12" xfId="0" applyNumberFormat="1" applyFont="1" applyBorder="1" applyAlignment="1">
      <alignment horizontal="center" vertical="center"/>
    </xf>
    <xf numFmtId="10" fontId="42" fillId="0" borderId="9" xfId="0" applyNumberFormat="1" applyFont="1" applyBorder="1" applyAlignment="1">
      <alignment horizontal="center" vertical="center"/>
    </xf>
    <xf numFmtId="10" fontId="42" fillId="0" borderId="15" xfId="0" applyNumberFormat="1" applyFont="1" applyBorder="1" applyAlignment="1">
      <alignment horizontal="center" vertical="center"/>
    </xf>
    <xf numFmtId="10" fontId="42" fillId="0" borderId="18" xfId="0" applyNumberFormat="1" applyFont="1" applyBorder="1" applyAlignment="1">
      <alignment horizontal="center" vertical="center"/>
    </xf>
    <xf numFmtId="10" fontId="42" fillId="0" borderId="13" xfId="0" applyNumberFormat="1" applyFont="1" applyBorder="1" applyAlignment="1">
      <alignment horizontal="center" vertical="center"/>
    </xf>
    <xf numFmtId="10" fontId="42" fillId="0" borderId="10" xfId="0" applyNumberFormat="1" applyFont="1" applyBorder="1" applyAlignment="1">
      <alignment horizontal="center" vertical="center"/>
    </xf>
    <xf numFmtId="165" fontId="25" fillId="0" borderId="14" xfId="0" applyNumberFormat="1" applyFont="1" applyBorder="1" applyAlignment="1">
      <alignment horizontal="center" vertical="center"/>
    </xf>
    <xf numFmtId="165" fontId="25" fillId="0" borderId="11" xfId="0" applyNumberFormat="1" applyFont="1" applyBorder="1" applyAlignment="1">
      <alignment horizontal="center" vertical="center"/>
    </xf>
    <xf numFmtId="168" fontId="42" fillId="0" borderId="12" xfId="0" applyNumberFormat="1" applyFont="1" applyBorder="1" applyAlignment="1">
      <alignment horizontal="center" vertical="center"/>
    </xf>
    <xf numFmtId="168" fontId="42" fillId="0" borderId="9" xfId="0" applyNumberFormat="1" applyFont="1" applyBorder="1" applyAlignment="1">
      <alignment horizontal="center" vertical="center"/>
    </xf>
    <xf numFmtId="168" fontId="42" fillId="0" borderId="15" xfId="0" applyNumberFormat="1" applyFont="1" applyBorder="1" applyAlignment="1">
      <alignment horizontal="center" vertical="center"/>
    </xf>
    <xf numFmtId="168" fontId="42" fillId="0" borderId="18" xfId="0" applyNumberFormat="1" applyFont="1" applyBorder="1" applyAlignment="1">
      <alignment horizontal="center" vertical="center"/>
    </xf>
    <xf numFmtId="168" fontId="42" fillId="0" borderId="13" xfId="0" applyNumberFormat="1" applyFont="1" applyBorder="1" applyAlignment="1">
      <alignment horizontal="center" vertical="center"/>
    </xf>
    <xf numFmtId="168" fontId="42" fillId="0" borderId="10" xfId="0" applyNumberFormat="1" applyFont="1" applyBorder="1" applyAlignment="1">
      <alignment horizontal="center" vertical="center"/>
    </xf>
    <xf numFmtId="0" fontId="41" fillId="0" borderId="14" xfId="0" applyFont="1" applyBorder="1" applyAlignment="1">
      <alignment horizontal="center" vertical="center"/>
    </xf>
    <xf numFmtId="0" fontId="41" fillId="0" borderId="11" xfId="0" applyFont="1" applyBorder="1" applyAlignment="1">
      <alignment horizontal="center" vertical="center"/>
    </xf>
    <xf numFmtId="165" fontId="42" fillId="0" borderId="12" xfId="0" applyNumberFormat="1" applyFont="1" applyBorder="1" applyAlignment="1">
      <alignment horizontal="center" vertical="center"/>
    </xf>
    <xf numFmtId="165" fontId="42" fillId="0" borderId="9" xfId="0" applyNumberFormat="1" applyFont="1" applyBorder="1" applyAlignment="1">
      <alignment horizontal="center" vertical="center"/>
    </xf>
    <xf numFmtId="165" fontId="42" fillId="0" borderId="15" xfId="0" applyNumberFormat="1" applyFont="1" applyBorder="1" applyAlignment="1">
      <alignment horizontal="center" vertical="center"/>
    </xf>
    <xf numFmtId="165" fontId="42" fillId="0" borderId="18" xfId="0" applyNumberFormat="1" applyFont="1" applyBorder="1" applyAlignment="1">
      <alignment horizontal="center" vertical="center"/>
    </xf>
    <xf numFmtId="165" fontId="42" fillId="0" borderId="13" xfId="0" applyNumberFormat="1" applyFont="1" applyBorder="1" applyAlignment="1">
      <alignment horizontal="center" vertical="center"/>
    </xf>
    <xf numFmtId="165" fontId="42" fillId="0" borderId="10" xfId="0" applyNumberFormat="1" applyFont="1" applyBorder="1" applyAlignment="1">
      <alignment horizontal="center" vertical="center"/>
    </xf>
    <xf numFmtId="9" fontId="42" fillId="0" borderId="12" xfId="0" applyNumberFormat="1" applyFont="1" applyBorder="1" applyAlignment="1">
      <alignment horizontal="center" vertical="center"/>
    </xf>
    <xf numFmtId="9" fontId="42" fillId="0" borderId="9" xfId="0" applyNumberFormat="1" applyFont="1" applyBorder="1" applyAlignment="1">
      <alignment horizontal="center" vertical="center"/>
    </xf>
    <xf numFmtId="9" fontId="42" fillId="0" borderId="15" xfId="0" applyNumberFormat="1" applyFont="1" applyBorder="1" applyAlignment="1">
      <alignment horizontal="center" vertical="center"/>
    </xf>
    <xf numFmtId="9" fontId="42" fillId="0" borderId="18" xfId="0" applyNumberFormat="1" applyFont="1" applyBorder="1" applyAlignment="1">
      <alignment horizontal="center" vertical="center"/>
    </xf>
    <xf numFmtId="9" fontId="42" fillId="0" borderId="13" xfId="0" applyNumberFormat="1" applyFont="1" applyBorder="1" applyAlignment="1">
      <alignment horizontal="center" vertical="center"/>
    </xf>
    <xf numFmtId="9" fontId="42" fillId="0" borderId="10" xfId="0" applyNumberFormat="1" applyFont="1" applyBorder="1" applyAlignment="1">
      <alignment horizontal="center" vertical="center"/>
    </xf>
    <xf numFmtId="0" fontId="24" fillId="0" borderId="14" xfId="0" applyFont="1" applyBorder="1" applyAlignment="1">
      <alignment horizontal="center" vertical="center"/>
    </xf>
    <xf numFmtId="0" fontId="24" fillId="0" borderId="11" xfId="0" applyFont="1" applyBorder="1" applyAlignment="1">
      <alignment horizontal="center" vertical="center"/>
    </xf>
    <xf numFmtId="10" fontId="25" fillId="0" borderId="14" xfId="0" applyNumberFormat="1" applyFont="1" applyBorder="1" applyAlignment="1">
      <alignment horizontal="center" vertical="center"/>
    </xf>
    <xf numFmtId="10" fontId="25" fillId="0" borderId="11" xfId="0" applyNumberFormat="1" applyFont="1" applyBorder="1" applyAlignment="1">
      <alignment horizontal="center" vertical="center"/>
    </xf>
    <xf numFmtId="167" fontId="38" fillId="10" borderId="0" xfId="0" applyNumberFormat="1" applyFont="1" applyFill="1" applyBorder="1" applyAlignment="1">
      <alignment horizontal="center" vertical="center"/>
    </xf>
    <xf numFmtId="170" fontId="28" fillId="10" borderId="0" xfId="0" applyNumberFormat="1" applyFont="1" applyFill="1" applyBorder="1" applyAlignment="1">
      <alignment horizontal="center"/>
    </xf>
    <xf numFmtId="170" fontId="37" fillId="10" borderId="0" xfId="0" applyNumberFormat="1" applyFont="1" applyFill="1" applyBorder="1" applyAlignment="1">
      <alignment horizontal="center" vertical="center"/>
    </xf>
    <xf numFmtId="9" fontId="34" fillId="10" borderId="0" xfId="0" applyNumberFormat="1" applyFont="1" applyFill="1" applyBorder="1" applyAlignment="1">
      <alignment horizontal="right" vertical="center"/>
    </xf>
    <xf numFmtId="0" fontId="34" fillId="10" borderId="0" xfId="0" applyFont="1" applyFill="1" applyBorder="1" applyAlignment="1">
      <alignment horizontal="right" vertical="center"/>
    </xf>
    <xf numFmtId="0" fontId="34" fillId="10" borderId="0" xfId="0" applyFont="1" applyFill="1" applyBorder="1" applyAlignment="1">
      <alignment horizontal="center" vertical="center"/>
    </xf>
    <xf numFmtId="0" fontId="36" fillId="10" borderId="0" xfId="0" applyFont="1" applyFill="1" applyBorder="1" applyAlignment="1">
      <alignment horizontal="center" vertical="center"/>
    </xf>
    <xf numFmtId="0" fontId="26" fillId="10" borderId="0" xfId="0" applyFont="1" applyFill="1" applyBorder="1" applyAlignment="1">
      <alignment horizontal="right" vertical="center" indent="1"/>
    </xf>
    <xf numFmtId="0" fontId="26" fillId="10" borderId="0" xfId="0" applyFont="1" applyFill="1" applyBorder="1" applyAlignment="1">
      <alignment horizontal="left" vertical="center" indent="1"/>
    </xf>
    <xf numFmtId="14" fontId="31" fillId="10" borderId="0" xfId="0" applyNumberFormat="1" applyFont="1" applyFill="1" applyBorder="1" applyAlignment="1">
      <alignment horizontal="center" vertical="center"/>
    </xf>
    <xf numFmtId="0" fontId="31" fillId="10" borderId="0" xfId="0" applyFont="1" applyFill="1" applyBorder="1" applyAlignment="1">
      <alignment horizontal="center" vertical="center"/>
    </xf>
    <xf numFmtId="165" fontId="39" fillId="10" borderId="0" xfId="0" applyNumberFormat="1" applyFont="1" applyFill="1" applyBorder="1" applyAlignment="1">
      <alignment horizontal="center" vertical="center"/>
    </xf>
    <xf numFmtId="168" fontId="25" fillId="10" borderId="0" xfId="0" applyNumberFormat="1" applyFont="1" applyFill="1" applyBorder="1" applyAlignment="1">
      <alignment horizontal="center" vertical="center"/>
    </xf>
    <xf numFmtId="165" fontId="25" fillId="10" borderId="0" xfId="0" applyNumberFormat="1" applyFont="1" applyFill="1" applyBorder="1" applyAlignment="1">
      <alignment horizontal="center" vertical="center"/>
    </xf>
    <xf numFmtId="9" fontId="37" fillId="10" borderId="0" xfId="0" applyNumberFormat="1" applyFont="1" applyFill="1" applyBorder="1" applyAlignment="1">
      <alignment horizontal="center" vertical="center"/>
    </xf>
    <xf numFmtId="0" fontId="36" fillId="10" borderId="0" xfId="0" applyFont="1" applyFill="1" applyBorder="1" applyAlignment="1">
      <alignment horizontal="right" vertical="center"/>
    </xf>
    <xf numFmtId="0" fontId="27" fillId="10" borderId="0" xfId="0" applyFont="1" applyFill="1" applyBorder="1" applyAlignment="1">
      <alignment horizontal="center" vertical="center"/>
    </xf>
    <xf numFmtId="165" fontId="39" fillId="10" borderId="0" xfId="18" applyNumberFormat="1" applyFont="1" applyFill="1" applyBorder="1" applyAlignment="1">
      <alignment horizontal="center" vertical="center"/>
    </xf>
    <xf numFmtId="168" fontId="32" fillId="10" borderId="0" xfId="7" applyNumberFormat="1" applyFont="1" applyFill="1" applyBorder="1" applyAlignment="1">
      <alignment horizontal="left" vertical="center"/>
    </xf>
    <xf numFmtId="0" fontId="25" fillId="10" borderId="0" xfId="0" applyFont="1" applyFill="1" applyBorder="1" applyAlignment="1">
      <alignment horizontal="center" vertical="center"/>
    </xf>
    <xf numFmtId="0" fontId="21" fillId="10" borderId="0" xfId="0" applyNumberFormat="1" applyFont="1" applyFill="1" applyAlignment="1">
      <alignment horizontal="center" vertical="top"/>
    </xf>
    <xf numFmtId="0" fontId="21" fillId="10" borderId="0" xfId="0" applyFont="1" applyFill="1" applyAlignment="1">
      <alignment horizontal="center" vertical="top"/>
    </xf>
    <xf numFmtId="0" fontId="17" fillId="0" borderId="0" xfId="0" applyFont="1" applyBorder="1" applyAlignment="1">
      <alignment horizontal="center" vertical="center"/>
    </xf>
    <xf numFmtId="0" fontId="49" fillId="0" borderId="38" xfId="0" applyFont="1" applyBorder="1" applyAlignment="1">
      <alignment horizontal="center" vertical="center"/>
    </xf>
    <xf numFmtId="167" fontId="49" fillId="0" borderId="38" xfId="0" applyNumberFormat="1" applyFont="1" applyBorder="1" applyAlignment="1">
      <alignment horizontal="center" vertical="center"/>
    </xf>
    <xf numFmtId="10" fontId="49" fillId="0" borderId="38" xfId="0" applyNumberFormat="1" applyFont="1" applyBorder="1" applyAlignment="1">
      <alignment horizontal="center" vertical="center"/>
    </xf>
    <xf numFmtId="165" fontId="49" fillId="0" borderId="38" xfId="0" applyNumberFormat="1" applyFont="1" applyBorder="1" applyAlignment="1">
      <alignment horizontal="center" vertical="center"/>
    </xf>
    <xf numFmtId="0" fontId="51" fillId="0" borderId="0" xfId="0" applyFont="1" applyBorder="1" applyAlignment="1">
      <alignment horizontal="center" vertical="center"/>
    </xf>
    <xf numFmtId="0" fontId="40" fillId="0" borderId="0" xfId="0" applyFont="1" applyBorder="1" applyAlignment="1">
      <alignment horizontal="center" vertical="center"/>
    </xf>
    <xf numFmtId="0" fontId="21" fillId="10" borderId="0" xfId="0" applyFont="1" applyFill="1" applyBorder="1" applyAlignment="1">
      <alignment horizontal="center" vertical="top"/>
    </xf>
    <xf numFmtId="0" fontId="22" fillId="10" borderId="0" xfId="0" applyFont="1" applyFill="1" applyBorder="1" applyAlignment="1">
      <alignment horizontal="center" vertical="top"/>
    </xf>
    <xf numFmtId="0" fontId="52" fillId="0" borderId="0" xfId="7" applyFont="1" applyBorder="1" applyAlignment="1">
      <alignment horizontal="center" vertical="center"/>
    </xf>
    <xf numFmtId="0" fontId="25" fillId="0" borderId="0" xfId="7" applyFont="1" applyAlignment="1">
      <alignment horizontal="left" vertical="center"/>
    </xf>
  </cellXfs>
  <cellStyles count="20">
    <cellStyle name="Accent" xfId="14" xr:uid="{00000000-0005-0000-0000-000013000000}"/>
    <cellStyle name="Accent 1" xfId="15" xr:uid="{00000000-0005-0000-0000-000014000000}"/>
    <cellStyle name="Accent 2" xfId="16" xr:uid="{00000000-0005-0000-0000-000015000000}"/>
    <cellStyle name="Accent 3" xfId="17" xr:uid="{00000000-0005-0000-0000-000016000000}"/>
    <cellStyle name="Bad" xfId="11" xr:uid="{00000000-0005-0000-0000-000010000000}"/>
    <cellStyle name="Error" xfId="13" xr:uid="{00000000-0005-0000-0000-000012000000}"/>
    <cellStyle name="Footnote" xfId="6" xr:uid="{00000000-0005-0000-0000-00000B000000}"/>
    <cellStyle name="Good" xfId="9" xr:uid="{00000000-0005-0000-0000-00000E000000}"/>
    <cellStyle name="Heading" xfId="1" xr:uid="{00000000-0005-0000-0000-000006000000}"/>
    <cellStyle name="Heading 1" xfId="2" xr:uid="{00000000-0005-0000-0000-000007000000}"/>
    <cellStyle name="Heading 2" xfId="3" xr:uid="{00000000-0005-0000-0000-000008000000}"/>
    <cellStyle name="Hyperlink" xfId="7" xr:uid="{00000000-0005-0000-0000-00000C000000}"/>
    <cellStyle name="Neutral" xfId="10" xr:uid="{00000000-0005-0000-0000-00000F000000}"/>
    <cellStyle name="Normal" xfId="0" builtinId="0"/>
    <cellStyle name="Note" xfId="5" xr:uid="{00000000-0005-0000-0000-00000A000000}"/>
    <cellStyle name="Per cent" xfId="18" builtinId="5"/>
    <cellStyle name="Per cent 2" xfId="19" xr:uid="{CBDF1B7D-6148-A846-84F0-791D34B35D81}"/>
    <cellStyle name="Status" xfId="8" xr:uid="{00000000-0005-0000-0000-00000D000000}"/>
    <cellStyle name="Text" xfId="4" xr:uid="{00000000-0005-0000-0000-000009000000}"/>
    <cellStyle name="Warning" xfId="12" xr:uid="{00000000-0005-0000-0000-000011000000}"/>
  </cellStyles>
  <dxfs count="109"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Roboto Regular"/>
        <scheme val="none"/>
      </font>
      <alignment horizontal="general" vertical="bottom" textRotation="0" wrapText="0" indent="0" justifyLastLine="0" shrinkToFit="0" readingOrder="0"/>
      <border diagonalUp="0" diagonalDown="0" outline="0">
        <left/>
        <right style="thin">
          <color theme="2"/>
        </right>
        <top style="thin">
          <color theme="2"/>
        </top>
        <bottom style="thin">
          <color theme="2"/>
        </bottom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2" tint="-0.749992370372631"/>
        <name val="Roboto Regular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Roboto Regular"/>
        <scheme val="none"/>
      </font>
      <numFmt numFmtId="165" formatCode="&quot;R&quot;#,##0.00"/>
      <alignment vertical="bottom" textRotation="0" indent="0" justifyLastLine="0" shrinkToFit="0" readingOrder="0"/>
      <border diagonalUp="0" diagonalDown="0" outline="0">
        <left style="thin">
          <color rgb="FFD9D9D9"/>
        </left>
        <right/>
        <top style="thin">
          <color rgb="FFD9D9D9"/>
        </top>
        <bottom style="thin">
          <color rgb="FFD9D9D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Roboto Regular"/>
        <scheme val="none"/>
      </font>
      <numFmt numFmtId="165" formatCode="&quot;R&quot;#,##0.00"/>
      <fill>
        <patternFill patternType="solid">
          <fgColor rgb="FFF2F2F2"/>
          <bgColor rgb="FFFFFFFF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rgb="FFD9D9D9"/>
        </left>
        <right style="thin">
          <color rgb="FFD9D9D9"/>
        </right>
        <top style="thin">
          <color rgb="FFD9D9D9"/>
        </top>
        <bottom style="thin">
          <color rgb="FFD9D9D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Roboto Regular"/>
        <scheme val="none"/>
      </font>
      <numFmt numFmtId="2" formatCode="0.00"/>
      <fill>
        <patternFill patternType="solid">
          <fgColor rgb="FFF2F2F2"/>
          <bgColor rgb="FFFFFFFF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rgb="FFD9D9D9"/>
        </left>
        <right style="thin">
          <color rgb="FFD9D9D9"/>
        </right>
        <top style="thin">
          <color rgb="FFD9D9D9"/>
        </top>
        <bottom style="thin">
          <color rgb="FFD9D9D9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Roboto Regular"/>
        <scheme val="none"/>
      </font>
      <numFmt numFmtId="2" formatCode="0.00"/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rgb="FFD9D9D9"/>
        </top>
        <bottom style="thin">
          <color rgb="FFD9D9D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Roboto Regular"/>
        <scheme val="none"/>
      </font>
      <numFmt numFmtId="165" formatCode="&quot;R&quot;#,##0.00"/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rgb="FFD9D9D9"/>
        </top>
        <bottom style="thin">
          <color rgb="FFD9D9D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Roboto Regular"/>
        <scheme val="none"/>
      </font>
      <numFmt numFmtId="30" formatCode="@"/>
      <fill>
        <patternFill patternType="solid">
          <fgColor rgb="FFF2F2F2"/>
          <bgColor rgb="FFFFFFFF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Roboto Regular"/>
        <scheme val="none"/>
      </font>
      <numFmt numFmtId="30" formatCode="@"/>
      <fill>
        <patternFill patternType="solid">
          <fgColor rgb="FFF2F2F2"/>
          <bgColor rgb="FFFFFFFF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Roboto Regular"/>
        <scheme val="none"/>
      </font>
      <alignment horizontal="general" vertical="bottom" textRotation="0" wrapText="0" indent="0" justifyLastLine="0" shrinkToFit="0" readingOrder="0"/>
      <border diagonalUp="0" diagonalDown="0" outline="0"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Roboto Regular"/>
        <scheme val="none"/>
      </font>
      <numFmt numFmtId="19" formatCode="yyyy/mm/dd"/>
      <alignment horizontal="general" vertical="bottom" textRotation="0" wrapText="0" indent="0" justifyLastLine="0" shrinkToFit="0" readingOrder="0"/>
      <border diagonalUp="0" diagonalDown="0" outline="0"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Roboto Regular"/>
        <scheme val="none"/>
      </font>
      <alignment horizontal="general" vertical="bottom" textRotation="0" wrapText="0" indent="0" justifyLastLine="0" shrinkToFit="0" readingOrder="0"/>
      <border diagonalUp="0" diagonalDown="0" outline="0"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Roboto Regular"/>
        <scheme val="none"/>
      </font>
      <numFmt numFmtId="164" formatCode="yyyy\.mm\.dd"/>
      <alignment horizontal="center" vertical="bottom" textRotation="0" wrapText="1" indent="0" justifyLastLine="0" shrinkToFit="0" readingOrder="0"/>
      <border diagonalUp="0" diagonalDown="0" outline="0">
        <left style="thin">
          <color theme="2"/>
        </left>
        <right/>
        <top style="thin">
          <color theme="2"/>
        </top>
        <bottom style="thin">
          <color theme="2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Roboto Regular"/>
        <scheme val="none"/>
      </font>
      <numFmt numFmtId="19" formatCode="yyyy/mm/dd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2"/>
        </right>
        <top style="thin">
          <color theme="2"/>
        </top>
        <bottom style="thin">
          <color theme="2"/>
        </bottom>
      </border>
    </dxf>
    <dxf>
      <border outline="0">
        <top style="thin">
          <color rgb="FFD9D9D9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Roboto Regular"/>
        <scheme val="none"/>
      </font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Roboto Regular"/>
        <scheme val="none"/>
      </font>
      <fill>
        <patternFill patternType="solid">
          <fgColor rgb="FF333333"/>
          <bgColor rgb="FFFAF9F6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2" tint="-0.749992370372631"/>
        <name val="Roboto Regular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Roboto Regular"/>
        <scheme val="none"/>
      </font>
      <numFmt numFmtId="165" formatCode="&quot;R&quot;#,##0.0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Roboto Regular"/>
        <scheme val="none"/>
      </font>
      <numFmt numFmtId="165" formatCode="&quot;R&quot;#,##0.0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Roboto Regular"/>
        <scheme val="none"/>
      </font>
      <numFmt numFmtId="165" formatCode="&quot;R&quot;#,##0.0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Roboto Regular"/>
        <scheme val="none"/>
      </font>
      <numFmt numFmtId="165" formatCode="&quot;R&quot;#,##0.0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Roboto Regular"/>
        <scheme val="none"/>
      </font>
      <numFmt numFmtId="165" formatCode="&quot;R&quot;#,##0.0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Roboto Regular"/>
        <scheme val="none"/>
      </font>
      <numFmt numFmtId="165" formatCode="&quot;R&quot;#,##0.0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Roboto Regula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Roboto Regula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Roboto Regula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Roboto Regula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Roboto Regular"/>
        <scheme val="none"/>
      </font>
      <numFmt numFmtId="19" formatCode="yyyy/mm/dd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Roboto Regula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Roboto Regular"/>
        <scheme val="none"/>
      </font>
      <numFmt numFmtId="171" formatCode="&quot;R&quot;#\,##0.0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Roboto Regular"/>
        <scheme val="none"/>
      </font>
      <numFmt numFmtId="165" formatCode="&quot;R&quot;#,##0.00"/>
      <fill>
        <patternFill patternType="solid">
          <fgColor indexed="64"/>
          <bgColor rgb="FFFAF9F6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2" tint="-0.749992370372631"/>
        <name val="Roboto Regular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2" tint="-0.749992370372631"/>
        <name val="Roboto Regular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Roboto Regular"/>
        <scheme val="none"/>
      </font>
      <numFmt numFmtId="165" formatCode="&quot;R&quot;#,##0.0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Roboto Regular"/>
        <scheme val="none"/>
      </font>
      <numFmt numFmtId="165" formatCode="&quot;R&quot;#,##0.0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Roboto Regular"/>
        <scheme val="none"/>
      </font>
      <numFmt numFmtId="165" formatCode="&quot;R&quot;#,##0.0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Roboto Regular"/>
        <scheme val="none"/>
      </font>
      <numFmt numFmtId="165" formatCode="&quot;R&quot;#,##0.0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Roboto Regular"/>
        <scheme val="none"/>
      </font>
      <numFmt numFmtId="165" formatCode="&quot;R&quot;#,##0.0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Roboto Regular"/>
        <scheme val="none"/>
      </font>
      <numFmt numFmtId="165" formatCode="&quot;R&quot;#,##0.0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Roboto Regular"/>
        <scheme val="none"/>
      </font>
      <numFmt numFmtId="165" formatCode="&quot;R&quot;#,##0.0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Roboto Regular"/>
        <scheme val="none"/>
      </font>
      <numFmt numFmtId="165" formatCode="&quot;R&quot;#,##0.0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Roboto Regular"/>
        <scheme val="none"/>
      </font>
      <numFmt numFmtId="165" formatCode="&quot;R&quot;#,##0.0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Roboto Regular"/>
        <scheme val="none"/>
      </font>
      <numFmt numFmtId="165" formatCode="&quot;R&quot;#,##0.0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Roboto Regular"/>
        <scheme val="none"/>
      </font>
      <numFmt numFmtId="165" formatCode="&quot;R&quot;#,##0.0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Roboto Regular"/>
        <scheme val="none"/>
      </font>
      <numFmt numFmtId="165" formatCode="&quot;R&quot;#,##0.0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Roboto Regular"/>
        <scheme val="none"/>
      </font>
      <numFmt numFmtId="165" formatCode="&quot;R&quot;#,##0.0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Roboto Regular"/>
        <scheme val="none"/>
      </font>
      <numFmt numFmtId="165" formatCode="&quot;R&quot;#,##0.0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Roboto Regular"/>
        <scheme val="none"/>
      </font>
      <numFmt numFmtId="165" formatCode="&quot;R&quot;#,##0.0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Roboto Regular"/>
        <scheme val="none"/>
      </font>
      <numFmt numFmtId="165" formatCode="&quot;R&quot;#,##0.0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Roboto Regular"/>
        <scheme val="none"/>
      </font>
      <numFmt numFmtId="165" formatCode="&quot;R&quot;#,##0.0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Roboto Regular"/>
        <scheme val="none"/>
      </font>
      <numFmt numFmtId="165" formatCode="&quot;R&quot;#,##0.0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Roboto Regular"/>
        <scheme val="none"/>
      </font>
      <numFmt numFmtId="165" formatCode="&quot;R&quot;#,##0.0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Roboto Regula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Roboto Regula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Roboto Regula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Roboto Regula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Roboto Regula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Roboto Regula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Roboto Regula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Roboto Regula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Roboto Regular"/>
        <scheme val="none"/>
      </font>
      <numFmt numFmtId="19" formatCode="yyyy/mm/dd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Roboto Regular"/>
        <scheme val="none"/>
      </font>
      <numFmt numFmtId="19" formatCode="yyyy/mm/dd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Roboto Regula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Roboto Regula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Roboto Regular"/>
        <scheme val="none"/>
      </font>
      <numFmt numFmtId="171" formatCode="&quot;R&quot;#\,##0.0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Roboto Regular"/>
        <scheme val="none"/>
      </font>
      <numFmt numFmtId="165" formatCode="&quot;R&quot;#,##0.00"/>
      <fill>
        <patternFill patternType="solid">
          <fgColor indexed="64"/>
          <bgColor rgb="FFFAF9F6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2" tint="-0.749992370372631"/>
        <name val="Roboto Regular"/>
        <scheme val="none"/>
      </font>
      <numFmt numFmtId="165" formatCode="&quot;R&quot;#,##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Fira Sans"/>
        <scheme val="none"/>
      </font>
      <numFmt numFmtId="165" formatCode="&quot;R&quot;#,##0.0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Roboto Regular"/>
        <scheme val="none"/>
      </font>
      <numFmt numFmtId="165" formatCode="&quot;R&quot;#,##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Fira Sans"/>
        <scheme val="none"/>
      </font>
      <numFmt numFmtId="165" formatCode="&quot;R&quot;#,##0.0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Roboto Regular"/>
        <scheme val="none"/>
      </font>
      <numFmt numFmtId="165" formatCode="&quot;R&quot;#,##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Fira Sans"/>
        <scheme val="none"/>
      </font>
      <numFmt numFmtId="165" formatCode="&quot;R&quot;#,##0.0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Roboto Regular"/>
        <scheme val="none"/>
      </font>
      <numFmt numFmtId="165" formatCode="&quot;R&quot;#,##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Fira Sans"/>
        <scheme val="none"/>
      </font>
      <numFmt numFmtId="165" formatCode="&quot;R&quot;#,##0.0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Roboto Regular"/>
        <scheme val="none"/>
      </font>
      <numFmt numFmtId="165" formatCode="&quot;R&quot;#,##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Fira Sans"/>
        <scheme val="none"/>
      </font>
      <numFmt numFmtId="165" formatCode="&quot;R&quot;#,##0.0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Roboto Regular"/>
        <scheme val="none"/>
      </font>
      <numFmt numFmtId="165" formatCode="&quot;R&quot;#,##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Fira Sans"/>
        <scheme val="none"/>
      </font>
      <numFmt numFmtId="165" formatCode="&quot;R&quot;#,##0.0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Roboto Regular"/>
        <scheme val="none"/>
      </font>
      <numFmt numFmtId="165" formatCode="&quot;R&quot;#,##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Fira Sans"/>
        <scheme val="none"/>
      </font>
      <numFmt numFmtId="165" formatCode="&quot;R&quot;#,##0.0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Roboto Regular"/>
        <scheme val="none"/>
      </font>
      <numFmt numFmtId="165" formatCode="&quot;R&quot;#,##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Fira Sans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Roboto Regular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Fira Sans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Roboto Regular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Fira Sans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Roboto Regular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Fira Sans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Roboto Regular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Roboto Regular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Fira Sans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Roboto Regular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Fira Sans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Roboto Regular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Fira Sans"/>
        <scheme val="none"/>
      </font>
      <numFmt numFmtId="19" formatCode="yyyy/mm/dd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Roboto Regular"/>
        <scheme val="none"/>
      </font>
      <numFmt numFmtId="19" formatCode="yyyy/mm/dd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Fira Sans"/>
        <scheme val="none"/>
      </font>
      <numFmt numFmtId="30" formatCode="@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Roboto Regular"/>
        <scheme val="none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Roboto Regular"/>
        <scheme val="none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Roboto Regular"/>
        <scheme val="none"/>
      </font>
      <numFmt numFmtId="30" formatCode="@"/>
      <fill>
        <patternFill patternType="solid">
          <fgColor indexed="64"/>
          <bgColor rgb="FFFAF9F6"/>
        </patternFill>
      </fill>
      <alignment horizontal="general" vertical="bottom" textRotation="0" wrapText="0" indent="0" justifyLastLine="0" shrinkToFit="0" readingOrder="0"/>
    </dxf>
    <dxf>
      <font>
        <b/>
        <color theme="1"/>
      </font>
      <border>
        <bottom style="thin">
          <color theme="6"/>
        </bottom>
        <vertical/>
        <horizontal/>
      </border>
    </dxf>
    <dxf>
      <font>
        <b/>
        <i val="0"/>
        <strike val="0"/>
        <color theme="1"/>
      </font>
      <border>
        <left/>
        <right/>
        <top/>
        <bottom/>
        <vertical/>
        <horizontal/>
      </border>
    </dxf>
    <dxf>
      <font>
        <b/>
        <i val="0"/>
        <sz val="11"/>
        <color theme="1" tint="0.14996795556505021"/>
      </font>
      <border>
        <vertical/>
        <horizontal/>
      </border>
    </dxf>
    <dxf>
      <font>
        <b/>
        <i val="0"/>
        <strike/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</dxfs>
  <tableStyles count="2" defaultTableStyle="TableStyleMedium2" defaultPivotStyle="PivotStyleLight16">
    <tableStyle name="Custom" pivot="0" table="0" count="9" xr9:uid="{980A765A-2DDF-144F-A76F-F48BD6C0E81A}">
      <tableStyleElement type="wholeTable" dxfId="108"/>
      <tableStyleElement type="headerRow" dxfId="107"/>
    </tableStyle>
    <tableStyle name="SlicerStyleLight3 2" pivot="0" table="0" count="10" xr9:uid="{E4930F38-FD17-EC48-B150-CF8C773CB92D}">
      <tableStyleElement type="wholeTable" dxfId="106"/>
      <tableStyleElement type="headerRow" dxfId="105"/>
    </tableStyle>
  </table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DDDDDD"/>
      <rgbColor rgb="FF808080"/>
      <rgbColor rgb="FF9999FF"/>
      <rgbColor rgb="FF993366"/>
      <rgbColor rgb="FFFFFFCC"/>
      <rgbColor rgb="FFF2F2F2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4C41"/>
      <color rgb="FFFAF9F6"/>
      <color rgb="FFFF7D41"/>
      <color rgb="FFFFFFFF"/>
      <color rgb="FF00ACFF"/>
      <color rgb="FFFF4C00"/>
      <color rgb="FFFF9300"/>
      <color rgb="FFFF2600"/>
      <color rgb="FFD81E00"/>
      <color rgb="FF000000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6" tint="0.79998168889431442"/>
              <bgColor theme="6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6" tint="0.59999389629810485"/>
              <bgColor theme="6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StyleLight3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A0A4C193-F2C1-4fcb-8827-314CF55A85BB}">
      <x15:dxfs count="7">
        <dxf>
          <fill>
            <patternFill patternType="solid">
              <fgColor theme="6" tint="0.39997558519241921"/>
              <bgColor theme="6" tint="0.39997558519241921"/>
            </patternFill>
          </fill>
          <border>
            <vertical/>
            <horizontal/>
          </border>
        </dxf>
        <dxf>
          <fill>
            <gradientFill degree="90">
              <stop position="0">
                <color theme="0" tint="-0.249977111117893"/>
              </stop>
              <stop position="1">
                <color theme="0" tint="-0.249977111117893"/>
              </stop>
            </gradientFill>
          </fill>
          <border>
            <vertical/>
            <horizontal/>
          </border>
        </dxf>
        <dxf>
          <fill>
            <gradientFill degree="90">
              <stop position="0">
                <color theme="6"/>
              </stop>
              <stop position="1">
                <color theme="6" tint="-0.499984740745262"/>
              </stop>
            </gradientFill>
          </fill>
          <border>
            <vertical/>
            <horizontal/>
          </border>
        </dxf>
        <dxf>
          <font>
            <sz val="9"/>
            <color theme="1" tint="0.499984740745262"/>
          </font>
          <border>
            <left/>
            <right/>
            <top/>
            <bottom/>
            <vertical/>
            <horizontal/>
          </border>
        </dxf>
        <dxf>
          <font>
            <sz val="9"/>
            <color theme="1" tint="0.499984740745262"/>
          </font>
          <border>
            <left/>
            <right/>
            <top/>
            <bottom/>
            <vertical/>
            <horizontal/>
          </border>
        </dxf>
        <dxf>
          <font>
            <sz val="9"/>
            <color theme="1" tint="0.499984740745262"/>
          </font>
          <border>
            <left/>
            <right/>
            <top/>
            <bottom/>
            <vertical/>
            <horizontal/>
          </border>
        </dxf>
        <dxf>
          <font>
            <sz val="10"/>
            <color theme="6" tint="-0.249977111117893"/>
          </font>
          <border>
            <left/>
            <right/>
            <top/>
            <bottom/>
            <vertical/>
            <horizontal/>
          </border>
        </dxf>
      </x15:dxfs>
    </ext>
    <ext xmlns:x15="http://schemas.microsoft.com/office/spreadsheetml/2010/11/main" uri="{9260A510-F301-46a8-8635-F512D64BE5F5}">
      <x15:timelineStyles defaultTimelineStyle="Custom">
        <x15:timelineStyle name="Custom">
          <x15:timelineStyleElements>
            <x15:timelineStyleElement type="selectionLabel" dxfId="6"/>
            <x15:timelineStyleElement type="timeLevel" dxfId="5"/>
            <x15:timelineStyleElement type="periodLabel1" dxfId="4"/>
            <x15:timelineStyleElement type="periodLabel2" dxfId="3"/>
            <x15:timelineStyleElement type="selectedTimeBlock" dxfId="2"/>
            <x15:timelineStyleElement type="unselectedTimeBlock" dxfId="1"/>
            <x15:timelineStyleElement type="selectedTimeBlockSpace" dxfId="0"/>
          </x15:timelineStyleElements>
        </x15:timelineStyle>
      </x15:timelineStyle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microsoft.com/office/2011/relationships/timelineCache" Target="timelineCaches/timelineCache2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1/relationships/timelineCache" Target="timelineCaches/timelineCache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[Personal Finances.xlsx]Accounts | Income!Accounts</c:name>
    <c:fmtId val="2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5400" cap="flat" cmpd="sng">
            <a:solidFill>
              <a:schemeClr val="accent1">
                <a:lumMod val="75000"/>
              </a:schemeClr>
            </a:solidFill>
            <a:miter lim="800000"/>
            <a:headEnd type="none"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Roboto" pitchFamily="2" charset="0"/>
                  <a:ea typeface="Roboto" pitchFamily="2" charset="0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12700" cap="rnd">
            <a:solidFill>
              <a:srgbClr val="FFC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Roboto" pitchFamily="2" charset="0"/>
                  <a:ea typeface="Roboto" pitchFamily="2" charset="0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12700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Roboto" pitchFamily="2" charset="0"/>
                  <a:ea typeface="Roboto" pitchFamily="2" charset="0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12700" cap="rnd">
            <a:solidFill>
              <a:srgbClr val="D81E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Roboto" pitchFamily="2" charset="0"/>
                  <a:ea typeface="Roboto" pitchFamily="2" charset="0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bg1">
              <a:lumMod val="65000"/>
            </a:schemeClr>
          </a:solidFill>
          <a:ln w="0" cap="rnd">
            <a:solidFill>
              <a:schemeClr val="bg1"/>
            </a:solidFill>
            <a:miter lim="800000"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Roboto" pitchFamily="2" charset="0"/>
                  <a:ea typeface="Roboto" pitchFamily="2" charset="0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rgbClr val="92D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Roboto" pitchFamily="2" charset="0"/>
                  <a:ea typeface="Roboto" pitchFamily="2" charset="0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6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Roboto" pitchFamily="2" charset="0"/>
                  <a:ea typeface="Roboto" pitchFamily="2" charset="0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Roboto" pitchFamily="2" charset="0"/>
                  <a:ea typeface="Roboto" pitchFamily="2" charset="0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rgbClr val="FF4C4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Roboto" pitchFamily="2" charset="0"/>
                  <a:ea typeface="Roboto" pitchFamily="2" charset="0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45206719"/>
        <c:axId val="839990399"/>
      </c:barChart>
      <c:catAx>
        <c:axId val="845206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8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Roboto Medium" pitchFamily="2" charset="0"/>
                <a:ea typeface="Roboto Medium" pitchFamily="2" charset="0"/>
                <a:cs typeface="+mn-cs"/>
              </a:defRPr>
            </a:pPr>
            <a:endParaRPr lang="en-US"/>
          </a:p>
        </c:txPr>
        <c:crossAx val="839990399"/>
        <c:crosses val="autoZero"/>
        <c:auto val="1"/>
        <c:lblAlgn val="ctr"/>
        <c:lblOffset val="100"/>
        <c:noMultiLvlLbl val="0"/>
      </c:catAx>
      <c:valAx>
        <c:axId val="839990399"/>
        <c:scaling>
          <c:orientation val="minMax"/>
        </c:scaling>
        <c:delete val="0"/>
        <c:axPos val="l"/>
        <c:numFmt formatCode="&quot;R&quot;#,##0;[Red]&quot;R&quot;#,##0" sourceLinked="0"/>
        <c:majorTickMark val="out"/>
        <c:minorTickMark val="none"/>
        <c:tickLblPos val="high"/>
        <c:spPr>
          <a:noFill/>
          <a:ln>
            <a:noFill/>
          </a:ln>
          <a:effectLst/>
        </c:spPr>
        <c:txPr>
          <a:bodyPr rot="0" spcFirstLastPara="1" vertOverflow="ellipsis" wrap="square" anchor="ctr" anchorCtr="0"/>
          <a:lstStyle/>
          <a:p>
            <a:pPr>
              <a:defRPr sz="8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Roboto Light" pitchFamily="2" charset="0"/>
                <a:ea typeface="Roboto Light" pitchFamily="2" charset="0"/>
                <a:cs typeface="+mn-cs"/>
              </a:defRPr>
            </a:pPr>
            <a:endParaRPr lang="en-US"/>
          </a:p>
        </c:txPr>
        <c:crossAx val="845206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52372744271472982"/>
          <c:y val="0"/>
          <c:w val="0.13781331253250129"/>
          <c:h val="3.928162295401748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Roboto Black" pitchFamily="2" charset="0"/>
              <a:ea typeface="Roboto Black" pitchFamily="2" charset="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800" b="0" i="0">
          <a:ln>
            <a:noFill/>
          </a:ln>
          <a:latin typeface="Roboto" pitchFamily="2" charset="0"/>
          <a:ea typeface="Roboto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[Personal Finances.xlsx]Accounts | Income!Income</c:name>
    <c:fmtId val="9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Fira Sans Light" panose="020B0403050000020004" pitchFamily="34" charset="0"/>
                  <a:ea typeface="Fira Sans Light" panose="020B0403050000020004" pitchFamily="34" charset="0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Fira Sans Light" panose="020B0403050000020004" pitchFamily="34" charset="0"/>
                  <a:ea typeface="Fira Sans Light" panose="020B0403050000020004" pitchFamily="34" charset="0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1"/>
          <c:showPercent val="0"/>
          <c:showBubbleSize val="0"/>
          <c:separator> </c:separator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Fira Sans Light" panose="020B0403050000020004" pitchFamily="34" charset="0"/>
                  <a:ea typeface="Fira Sans Light" panose="020B0403050000020004" pitchFamily="34" charset="0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Fira Sans Light" panose="020B0403050000020004" pitchFamily="34" charset="0"/>
                  <a:ea typeface="Fira Sans Light" panose="020B0403050000020004" pitchFamily="34" charset="0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Fira Sans Light" panose="020B0403050000020004" pitchFamily="34" charset="0"/>
                  <a:ea typeface="Fira Sans Light" panose="020B0403050000020004" pitchFamily="34" charset="0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1"/>
          <c:showPercent val="0"/>
          <c:showBubbleSize val="0"/>
          <c:separator> </c:separator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Fira Sans Light" panose="020B0403050000020004" pitchFamily="34" charset="0"/>
                  <a:ea typeface="Fira Sans Light" panose="020B0403050000020004" pitchFamily="34" charset="0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1"/>
          <c:showPercent val="0"/>
          <c:showBubbleSize val="0"/>
          <c:separator> </c:separator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Fira Sans Light" panose="020B0403050000020004" pitchFamily="34" charset="0"/>
                  <a:ea typeface="Fira Sans Light" panose="020B0403050000020004" pitchFamily="34" charset="0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Fira Sans Light" panose="020B0403050000020004" pitchFamily="34" charset="0"/>
                  <a:ea typeface="Fira Sans Light" panose="020B0403050000020004" pitchFamily="34" charset="0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1"/>
          <c:showPercent val="0"/>
          <c:showBubbleSize val="0"/>
          <c:separator> </c:separator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Fira Sans Light" panose="020B0403050000020004" pitchFamily="34" charset="0"/>
                  <a:ea typeface="Fira Sans Light" panose="020B0403050000020004" pitchFamily="34" charset="0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Fira Sans Light" panose="020B0403050000020004" pitchFamily="34" charset="0"/>
                  <a:ea typeface="Fira Sans Light" panose="020B0403050000020004" pitchFamily="34" charset="0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1"/>
          <c:showPercent val="0"/>
          <c:showBubbleSize val="0"/>
          <c:separator> </c:separator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Fira Sans Light" panose="020B0403050000020004" pitchFamily="34" charset="0"/>
                  <a:ea typeface="Fira Sans Light" panose="020B0403050000020004" pitchFamily="34" charset="0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Fira Sans Light" panose="020B0403050000020004" pitchFamily="34" charset="0"/>
                  <a:ea typeface="Fira Sans Light" panose="020B0403050000020004" pitchFamily="34" charset="0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Fira Sans Light" panose="020B0403050000020004" pitchFamily="34" charset="0"/>
                  <a:ea typeface="Fira Sans Light" panose="020B0403050000020004" pitchFamily="34" charset="0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1"/>
          <c:showPercent val="0"/>
          <c:showBubbleSize val="0"/>
          <c:separator> </c:separator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Roboto" pitchFamily="2" charset="0"/>
                  <a:ea typeface="Roboto" pitchFamily="2" charset="0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1"/>
          <c:showPercent val="0"/>
          <c:showBubbleSize val="0"/>
          <c:separator> </c:separator>
          <c:extLst>
            <c:ext xmlns:c15="http://schemas.microsoft.com/office/drawing/2012/chart" uri="{CE6537A1-D6FC-4f65-9D91-7224C49458BB}"/>
          </c:extLst>
        </c:dLbl>
      </c:pivotFmt>
      <c:pivotFmt>
        <c:idx val="40"/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Fira Sans Light" panose="020B0403050000020004" pitchFamily="34" charset="0"/>
                  <a:ea typeface="Fira Sans Light" panose="020B0403050000020004" pitchFamily="34" charset="0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1"/>
          <c:showPercent val="0"/>
          <c:showBubbleSize val="0"/>
          <c:separator> </c:separator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bg1">
              <a:lumMod val="50000"/>
            </a:schemeClr>
          </a:solidFill>
          <a:ln>
            <a:noFill/>
          </a:ln>
          <a:effectLst/>
        </c:spPr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Fira Sans Light" panose="020B0403050000020004" pitchFamily="34" charset="0"/>
                  <a:ea typeface="Fira Sans Light" panose="020B0403050000020004" pitchFamily="34" charset="0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Fira Sans Light" panose="020B0403050000020004" pitchFamily="34" charset="0"/>
                  <a:ea typeface="Fira Sans Light" panose="020B0403050000020004" pitchFamily="34" charset="0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Fira Sans Light" panose="020B0403050000020004" pitchFamily="34" charset="0"/>
                  <a:ea typeface="Fira Sans Light" panose="020B0403050000020004" pitchFamily="34" charset="0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85000"/>
                      <a:lumOff val="15000"/>
                    </a:schemeClr>
                  </a:solidFill>
                  <a:latin typeface="Roboto Black" pitchFamily="2" charset="0"/>
                  <a:ea typeface="Roboto Black" pitchFamily="2" charset="0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48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49"/>
        <c:spPr>
          <a:solidFill>
            <a:srgbClr val="92D050"/>
          </a:solidFill>
          <a:ln>
            <a:noFill/>
          </a:ln>
          <a:effectLst/>
        </c:spPr>
      </c:pivotFmt>
      <c:pivotFmt>
        <c:idx val="50"/>
        <c:spPr>
          <a:solidFill>
            <a:srgbClr val="00B050"/>
          </a:solidFill>
          <a:ln>
            <a:noFill/>
          </a:ln>
          <a:effectLst/>
        </c:spPr>
      </c:pivotFmt>
      <c:pivotFmt>
        <c:idx val="51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52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53"/>
        <c:spPr>
          <a:solidFill>
            <a:schemeClr val="accent6">
              <a:lumMod val="50000"/>
            </a:schemeClr>
          </a:solidFill>
          <a:ln>
            <a:noFill/>
          </a:ln>
          <a:effectLst/>
        </c:spPr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'Accounts | Income'!$I$3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AA6-C640-81E7-6114FB7918F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2AA6-C640-81E7-6114FB7918F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2AA6-C640-81E7-6114FB7918F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2AA6-C640-81E7-6114FB7918F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1563-8047-A0EE-8F93AFFA6BCD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6F5E-534B-91CA-91C18EFCEF9A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6F5E-534B-91CA-91C18EFCEF9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85000"/>
                        <a:lumOff val="15000"/>
                      </a:schemeClr>
                    </a:solidFill>
                    <a:latin typeface="Roboto Black" pitchFamily="2" charset="0"/>
                    <a:ea typeface="Roboto Black" pitchFamily="2" charset="0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'Accounts | Income'!$H$4</c:f>
              <c:strCache>
                <c:ptCount val="1"/>
                <c:pt idx="0">
                  <c:v>Grand Total</c:v>
                </c:pt>
              </c:strCache>
            </c:strRef>
          </c:cat>
          <c:val>
            <c:numRef>
              <c:f>'Accounts | Income'!$I$4</c:f>
              <c:numCache>
                <c:formatCode>0%</c:formatCode>
                <c:ptCount val="1"/>
                <c:pt idx="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DA-7B46-A0EC-C8BAA56F66EA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b="0" i="0">
          <a:latin typeface="Fira Sans Light" panose="020B0403050000020004" pitchFamily="34" charset="0"/>
          <a:ea typeface="Fira Sans Light" panose="020B04030500000200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[Personal Finances.xlsx]Categories | Subcategories!PivotTable4</c:name>
    <c:fmtId val="2"/>
  </c:pivotSource>
  <c:chart>
    <c:autoTitleDeleted val="1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</c:pivotFmt>
      <c:pivotFmt>
        <c:idx val="5"/>
        <c:spPr>
          <a:solidFill>
            <a:schemeClr val="accent6"/>
          </a:solidFill>
          <a:ln>
            <a:noFill/>
          </a:ln>
          <a:effectLst/>
        </c:spPr>
      </c:pivotFmt>
      <c:pivotFmt>
        <c:idx val="6"/>
        <c:spPr>
          <a:solidFill>
            <a:schemeClr val="accent6"/>
          </a:solidFill>
          <a:ln>
            <a:noFill/>
          </a:ln>
          <a:effectLst/>
        </c:spPr>
      </c:pivotFmt>
      <c:pivotFmt>
        <c:idx val="7"/>
        <c:spPr>
          <a:solidFill>
            <a:schemeClr val="accent6"/>
          </a:solidFill>
          <a:ln>
            <a:noFill/>
          </a:ln>
          <a:effectLst/>
        </c:spPr>
      </c:pivotFmt>
      <c:pivotFmt>
        <c:idx val="8"/>
        <c:spPr>
          <a:solidFill>
            <a:schemeClr val="accent6"/>
          </a:solidFill>
          <a:ln>
            <a:noFill/>
          </a:ln>
          <a:effectLst/>
        </c:spPr>
      </c:pivotFmt>
      <c:pivotFmt>
        <c:idx val="9"/>
        <c:spPr>
          <a:solidFill>
            <a:schemeClr val="accent6"/>
          </a:solidFill>
          <a:ln>
            <a:noFill/>
          </a:ln>
          <a:effectLst/>
        </c:spPr>
      </c:pivotFmt>
      <c:pivotFmt>
        <c:idx val="10"/>
        <c:spPr>
          <a:solidFill>
            <a:schemeClr val="accent6"/>
          </a:solidFill>
          <a:ln>
            <a:noFill/>
          </a:ln>
          <a:effectLst/>
        </c:spPr>
      </c:pivotFmt>
      <c:pivotFmt>
        <c:idx val="11"/>
        <c:spPr>
          <a:solidFill>
            <a:schemeClr val="accent6"/>
          </a:solidFill>
          <a:ln>
            <a:noFill/>
          </a:ln>
          <a:effectLst/>
        </c:spPr>
      </c:pivotFmt>
      <c:pivotFmt>
        <c:idx val="12"/>
        <c:spPr>
          <a:solidFill>
            <a:schemeClr val="accent6"/>
          </a:solidFill>
          <a:ln>
            <a:noFill/>
          </a:ln>
          <a:effectLst/>
        </c:spPr>
      </c:pivotFmt>
      <c:pivotFmt>
        <c:idx val="13"/>
        <c:spPr>
          <a:solidFill>
            <a:schemeClr val="accent6"/>
          </a:solidFill>
          <a:ln>
            <a:noFill/>
          </a:ln>
          <a:effectLst/>
        </c:spPr>
      </c:pivotFmt>
      <c:pivotFmt>
        <c:idx val="14"/>
        <c:spPr>
          <a:solidFill>
            <a:schemeClr val="accent6"/>
          </a:solidFill>
          <a:ln>
            <a:noFill/>
          </a:ln>
          <a:effectLst/>
        </c:spPr>
      </c:pivotFmt>
      <c:pivotFmt>
        <c:idx val="15"/>
        <c:spPr>
          <a:solidFill>
            <a:schemeClr val="accent6"/>
          </a:solidFill>
          <a:ln>
            <a:noFill/>
          </a:ln>
          <a:effectLst/>
        </c:spPr>
      </c:pivotFmt>
      <c:pivotFmt>
        <c:idx val="16"/>
        <c:spPr>
          <a:solidFill>
            <a:schemeClr val="accent6"/>
          </a:solidFill>
          <a:ln>
            <a:noFill/>
          </a:ln>
          <a:effectLst/>
        </c:spPr>
      </c:pivotFmt>
      <c:pivotFmt>
        <c:idx val="17"/>
        <c:spPr>
          <a:solidFill>
            <a:schemeClr val="accent6"/>
          </a:solidFill>
          <a:ln>
            <a:noFill/>
          </a:ln>
          <a:effectLst/>
        </c:spPr>
      </c:pivotFmt>
      <c:pivotFmt>
        <c:idx val="18"/>
        <c:spPr>
          <a:solidFill>
            <a:schemeClr val="accent6"/>
          </a:solidFill>
          <a:ln>
            <a:noFill/>
          </a:ln>
          <a:effectLst/>
        </c:spPr>
      </c:pivotFmt>
      <c:pivotFmt>
        <c:idx val="1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numFmt formatCode="&quot;R&quot;#,##0" sourceLinked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85000"/>
                      <a:lumOff val="15000"/>
                    </a:schemeClr>
                  </a:solidFill>
                  <a:latin typeface="Roboto Black" pitchFamily="2" charset="0"/>
                  <a:ea typeface="Roboto Black" pitchFamily="2" charset="0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0"/>
        <c:spPr>
          <a:solidFill>
            <a:schemeClr val="accent6"/>
          </a:solidFill>
          <a:ln>
            <a:noFill/>
          </a:ln>
          <a:effectLst/>
        </c:spPr>
      </c:pivotFmt>
      <c:pivotFmt>
        <c:idx val="21"/>
        <c:spPr>
          <a:solidFill>
            <a:schemeClr val="accent6"/>
          </a:solidFill>
          <a:ln>
            <a:noFill/>
          </a:ln>
          <a:effectLst/>
        </c:spPr>
      </c:pivotFmt>
      <c:pivotFmt>
        <c:idx val="22"/>
        <c:spPr>
          <a:solidFill>
            <a:schemeClr val="accent6"/>
          </a:solidFill>
          <a:ln>
            <a:noFill/>
          </a:ln>
          <a:effectLst/>
        </c:spPr>
      </c:pivotFmt>
      <c:pivotFmt>
        <c:idx val="23"/>
        <c:spPr>
          <a:solidFill>
            <a:schemeClr val="accent6"/>
          </a:solidFill>
          <a:ln>
            <a:noFill/>
          </a:ln>
          <a:effectLst/>
        </c:spPr>
      </c:pivotFmt>
      <c:pivotFmt>
        <c:idx val="24"/>
        <c:spPr>
          <a:solidFill>
            <a:schemeClr val="accent6"/>
          </a:solidFill>
          <a:ln>
            <a:noFill/>
          </a:ln>
          <a:effectLst/>
        </c:spPr>
      </c:pivotFmt>
      <c:pivotFmt>
        <c:idx val="25"/>
        <c:spPr>
          <a:solidFill>
            <a:schemeClr val="accent6"/>
          </a:solidFill>
          <a:ln>
            <a:noFill/>
          </a:ln>
          <a:effectLst/>
        </c:spPr>
      </c:pivotFmt>
      <c:pivotFmt>
        <c:idx val="26"/>
        <c:spPr>
          <a:solidFill>
            <a:schemeClr val="accent6"/>
          </a:solidFill>
          <a:ln>
            <a:noFill/>
          </a:ln>
          <a:effectLst/>
        </c:spPr>
      </c:pivotFmt>
      <c:pivotFmt>
        <c:idx val="27"/>
        <c:spPr>
          <a:solidFill>
            <a:schemeClr val="accent6"/>
          </a:solidFill>
          <a:ln>
            <a:noFill/>
          </a:ln>
          <a:effectLst/>
        </c:spPr>
      </c:pivotFmt>
      <c:pivotFmt>
        <c:idx val="28"/>
        <c:spPr>
          <a:solidFill>
            <a:schemeClr val="accent6"/>
          </a:solidFill>
          <a:ln>
            <a:noFill/>
          </a:ln>
          <a:effectLst/>
        </c:spPr>
      </c:pivotFmt>
      <c:pivotFmt>
        <c:idx val="29"/>
        <c:spPr>
          <a:solidFill>
            <a:schemeClr val="accent6"/>
          </a:solidFill>
          <a:ln>
            <a:noFill/>
          </a:ln>
          <a:effectLst/>
        </c:spPr>
      </c:pivotFmt>
      <c:pivotFmt>
        <c:idx val="30"/>
        <c:spPr>
          <a:solidFill>
            <a:schemeClr val="accent6"/>
          </a:solidFill>
          <a:ln>
            <a:noFill/>
          </a:ln>
          <a:effectLst/>
        </c:spPr>
      </c:pivotFmt>
      <c:pivotFmt>
        <c:idx val="31"/>
        <c:spPr>
          <a:solidFill>
            <a:schemeClr val="accent6"/>
          </a:solidFill>
          <a:ln>
            <a:noFill/>
          </a:ln>
          <a:effectLst/>
        </c:spPr>
      </c:pivotFmt>
      <c:pivotFmt>
        <c:idx val="32"/>
        <c:spPr>
          <a:solidFill>
            <a:schemeClr val="accent6"/>
          </a:solidFill>
          <a:ln>
            <a:noFill/>
          </a:ln>
          <a:effectLst/>
        </c:spPr>
      </c:pivotFmt>
      <c:pivotFmt>
        <c:idx val="33"/>
        <c:spPr>
          <a:solidFill>
            <a:schemeClr val="accent6"/>
          </a:solidFill>
          <a:ln>
            <a:noFill/>
          </a:ln>
          <a:effectLst/>
        </c:spPr>
      </c:pivotFmt>
      <c:pivotFmt>
        <c:idx val="34"/>
        <c:spPr>
          <a:solidFill>
            <a:schemeClr val="accent6"/>
          </a:solidFill>
          <a:ln>
            <a:noFill/>
          </a:ln>
          <a:effectLst/>
        </c:spPr>
      </c:pivotFmt>
      <c:pivotFmt>
        <c:idx val="35"/>
        <c:spPr>
          <a:solidFill>
            <a:schemeClr val="accent6"/>
          </a:solidFill>
          <a:ln>
            <a:noFill/>
          </a:ln>
          <a:effectLst/>
        </c:spPr>
      </c:pivotFmt>
      <c:pivotFmt>
        <c:idx val="36"/>
        <c:spPr>
          <a:solidFill>
            <a:schemeClr val="accent6"/>
          </a:solidFill>
          <a:ln>
            <a:noFill/>
          </a:ln>
          <a:effectLst/>
        </c:spPr>
      </c:pivotFmt>
      <c:pivotFmt>
        <c:idx val="37"/>
        <c:spPr>
          <a:solidFill>
            <a:schemeClr val="accent6"/>
          </a:solidFill>
          <a:ln>
            <a:noFill/>
          </a:ln>
          <a:effectLst/>
        </c:spPr>
      </c:pivotFmt>
      <c:pivotFmt>
        <c:idx val="3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85000"/>
                      <a:lumOff val="15000"/>
                    </a:schemeClr>
                  </a:solidFill>
                  <a:latin typeface="Roboto" pitchFamily="2" charset="0"/>
                  <a:ea typeface="Roboto" pitchFamily="2" charset="0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</c:pivotFmt>
      <c:pivotFmt>
        <c:idx val="40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</c:pivotFmt>
      <c:pivotFmt>
        <c:idx val="41"/>
        <c:spPr>
          <a:solidFill>
            <a:schemeClr val="accent1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42"/>
        <c:spPr>
          <a:solidFill>
            <a:schemeClr val="bg1">
              <a:lumMod val="75000"/>
            </a:schemeClr>
          </a:solidFill>
          <a:ln>
            <a:noFill/>
          </a:ln>
          <a:effectLst/>
        </c:spPr>
      </c:pivotFmt>
      <c:pivotFmt>
        <c:idx val="43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44"/>
        <c:spPr>
          <a:solidFill>
            <a:schemeClr val="tx2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45"/>
        <c:spPr>
          <a:solidFill>
            <a:schemeClr val="tx2">
              <a:lumMod val="75000"/>
            </a:schemeClr>
          </a:solidFill>
          <a:ln>
            <a:noFill/>
          </a:ln>
          <a:effectLst/>
        </c:spPr>
      </c:pivotFmt>
      <c:pivotFmt>
        <c:idx val="46"/>
        <c:spPr>
          <a:solidFill>
            <a:srgbClr val="FF7D41"/>
          </a:solidFill>
          <a:ln>
            <a:noFill/>
          </a:ln>
          <a:effectLst/>
        </c:spPr>
      </c:pivotFmt>
      <c:pivotFmt>
        <c:idx val="47"/>
        <c:spPr>
          <a:solidFill>
            <a:srgbClr val="FF2600"/>
          </a:solidFill>
          <a:ln>
            <a:noFill/>
          </a:ln>
          <a:effectLst/>
        </c:spPr>
      </c:pivotFmt>
      <c:pivotFmt>
        <c:idx val="48"/>
        <c:spPr>
          <a:solidFill>
            <a:srgbClr val="FF4C41"/>
          </a:solidFill>
          <a:ln>
            <a:noFill/>
          </a:ln>
          <a:effectLst/>
        </c:spPr>
      </c:pivotFmt>
      <c:pivotFmt>
        <c:idx val="49"/>
        <c:spPr>
          <a:solidFill>
            <a:srgbClr val="FF4C00"/>
          </a:solidFill>
          <a:ln>
            <a:noFill/>
          </a:ln>
          <a:effectLst/>
        </c:spPr>
      </c:pivotFmt>
      <c:pivotFmt>
        <c:idx val="50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</c:pivotFmt>
      <c:pivotFmt>
        <c:idx val="51"/>
        <c:spPr>
          <a:solidFill>
            <a:srgbClr val="00ACFF"/>
          </a:solidFill>
          <a:ln>
            <a:noFill/>
          </a:ln>
          <a:effectLst/>
        </c:spPr>
      </c:pivotFmt>
      <c:pivotFmt>
        <c:idx val="52"/>
        <c:spPr>
          <a:solidFill>
            <a:srgbClr val="92D050"/>
          </a:solidFill>
          <a:ln>
            <a:noFill/>
          </a:ln>
          <a:effectLst/>
        </c:spPr>
      </c:pivotFmt>
      <c:pivotFmt>
        <c:idx val="53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</c:pivotFmt>
      <c:pivotFmt>
        <c:idx val="54"/>
        <c:spPr>
          <a:solidFill>
            <a:schemeClr val="accent6"/>
          </a:solidFill>
          <a:ln>
            <a:noFill/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'Categories | Subcategories'!$B$1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08B-1A4B-8FED-6331783B68F9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08B-1A4B-8FED-6331783B68F9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408B-1A4B-8FED-6331783B68F9}"/>
              </c:ext>
            </c:extLst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408B-1A4B-8FED-6331783B68F9}"/>
              </c:ext>
            </c:extLst>
          </c:dPt>
          <c:dPt>
            <c:idx val="4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408B-1A4B-8FED-6331783B68F9}"/>
              </c:ext>
            </c:extLst>
          </c:dPt>
          <c:dPt>
            <c:idx val="5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408B-1A4B-8FED-6331783B68F9}"/>
              </c:ext>
            </c:extLst>
          </c:dPt>
          <c:dPt>
            <c:idx val="6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408B-1A4B-8FED-6331783B68F9}"/>
              </c:ext>
            </c:extLst>
          </c:dPt>
          <c:dPt>
            <c:idx val="7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408B-1A4B-8FED-6331783B68F9}"/>
              </c:ext>
            </c:extLst>
          </c:dPt>
          <c:dPt>
            <c:idx val="8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408B-1A4B-8FED-6331783B68F9}"/>
              </c:ext>
            </c:extLst>
          </c:dPt>
          <c:dPt>
            <c:idx val="9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408B-1A4B-8FED-6331783B68F9}"/>
              </c:ext>
            </c:extLst>
          </c:dPt>
          <c:dPt>
            <c:idx val="10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408B-1A4B-8FED-6331783B68F9}"/>
              </c:ext>
            </c:extLst>
          </c:dPt>
          <c:dPt>
            <c:idx val="11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408B-1A4B-8FED-6331783B68F9}"/>
              </c:ext>
            </c:extLst>
          </c:dPt>
          <c:dPt>
            <c:idx val="12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408B-1A4B-8FED-6331783B68F9}"/>
              </c:ext>
            </c:extLst>
          </c:dPt>
          <c:dPt>
            <c:idx val="13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408B-1A4B-8FED-6331783B68F9}"/>
              </c:ext>
            </c:extLst>
          </c:dPt>
          <c:dPt>
            <c:idx val="14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408B-1A4B-8FED-6331783B68F9}"/>
              </c:ext>
            </c:extLst>
          </c:dPt>
          <c:dPt>
            <c:idx val="15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F-408B-1A4B-8FED-6331783B68F9}"/>
              </c:ext>
            </c:extLst>
          </c:dPt>
          <c:dPt>
            <c:idx val="16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408B-1A4B-8FED-6331783B68F9}"/>
              </c:ext>
            </c:extLst>
          </c:dPt>
          <c:dLbls>
            <c:numFmt formatCode="&quot;R&quot;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85000"/>
                        <a:lumOff val="15000"/>
                      </a:schemeClr>
                    </a:solidFill>
                    <a:latin typeface="Roboto Black" pitchFamily="2" charset="0"/>
                    <a:ea typeface="Roboto Black" pitchFamily="2" charset="0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'Categories | Subcategories'!$A$2</c:f>
              <c:strCache>
                <c:ptCount val="1"/>
                <c:pt idx="0">
                  <c:v>Grand Total</c:v>
                </c:pt>
              </c:strCache>
            </c:strRef>
          </c:cat>
          <c:val>
            <c:numRef>
              <c:f>'Categories | Subcategories'!$B$2</c:f>
              <c:numCache>
                <c:formatCode>"R"#\ ##0.00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22-408B-1A4B-8FED-6331783B68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85000"/>
                  <a:lumOff val="15000"/>
                </a:schemeClr>
              </a:solidFill>
              <a:latin typeface="Roboto" pitchFamily="2" charset="0"/>
              <a:ea typeface="Roboto" pitchFamily="2" charset="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b="0" i="0">
          <a:solidFill>
            <a:schemeClr val="tx1">
              <a:lumMod val="85000"/>
              <a:lumOff val="15000"/>
            </a:schemeClr>
          </a:solidFill>
          <a:latin typeface="Roboto" pitchFamily="2" charset="0"/>
          <a:ea typeface="Roboto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[Personal Finances.xlsx]Categories | Subcategories!PivotTable6</c:name>
    <c:fmtId val="5"/>
  </c:pivotSource>
  <c:chart>
    <c:autoTitleDeleted val="1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Fira Sans Light" panose="020B0403050000020004" pitchFamily="34" charset="0"/>
                  <a:ea typeface="Fira Sans Light" panose="020B0403050000020004" pitchFamily="34" charset="0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Fira Sans Light" panose="020B0403050000020004" pitchFamily="34" charset="0"/>
                  <a:ea typeface="Fira Sans Light" panose="020B0403050000020004" pitchFamily="34" charset="0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Fira Sans Light" panose="020B0403050000020004" pitchFamily="34" charset="0"/>
                  <a:ea typeface="Fira Sans Light" panose="020B0403050000020004" pitchFamily="34" charset="0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Fira Sans Light" panose="020B0403050000020004" pitchFamily="34" charset="0"/>
                  <a:ea typeface="Fira Sans Light" panose="020B0403050000020004" pitchFamily="34" charset="0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Fira Sans Light" panose="020B0403050000020004" pitchFamily="34" charset="0"/>
                  <a:ea typeface="Fira Sans Light" panose="020B0403050000020004" pitchFamily="34" charset="0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Fira Sans Light" panose="020B0403050000020004" pitchFamily="34" charset="0"/>
                  <a:ea typeface="Fira Sans Light" panose="020B0403050000020004" pitchFamily="34" charset="0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Fira Sans Light" panose="020B0403050000020004" pitchFamily="34" charset="0"/>
                  <a:ea typeface="Fira Sans Light" panose="020B0403050000020004" pitchFamily="34" charset="0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2"/>
          </a:solidFill>
          <a:ln w="28575" cap="rnd">
            <a:noFill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Fira Sans Light" panose="020B0403050000020004" pitchFamily="34" charset="0"/>
                  <a:ea typeface="Fira Sans Light" panose="020B0403050000020004" pitchFamily="34" charset="0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Fira Sans Light" panose="020B0403050000020004" pitchFamily="34" charset="0"/>
                  <a:ea typeface="Fira Sans Light" panose="020B0403050000020004" pitchFamily="34" charset="0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Fira Sans Light" panose="020B0403050000020004" pitchFamily="34" charset="0"/>
                  <a:ea typeface="Fira Sans Light" panose="020B0403050000020004" pitchFamily="34" charset="0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Fira Sans Light" panose="020B0403050000020004" pitchFamily="34" charset="0"/>
                  <a:ea typeface="Fira Sans Light" panose="020B0403050000020004" pitchFamily="34" charset="0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Fira Sans Light" panose="020B0403050000020004" pitchFamily="34" charset="0"/>
                  <a:ea typeface="Fira Sans Light" panose="020B0403050000020004" pitchFamily="34" charset="0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Fira Sans Light" panose="020B0403050000020004" pitchFamily="34" charset="0"/>
                  <a:ea typeface="Fira Sans Light" panose="020B0403050000020004" pitchFamily="34" charset="0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Fira Sans Light" panose="020B0403050000020004" pitchFamily="34" charset="0"/>
                  <a:ea typeface="Fira Sans Light" panose="020B0403050000020004" pitchFamily="34" charset="0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Fira Sans Light" panose="020B0403050000020004" pitchFamily="34" charset="0"/>
                  <a:ea typeface="Fira Sans Light" panose="020B0403050000020004" pitchFamily="34" charset="0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Fira Sans Light" panose="020B0403050000020004" pitchFamily="34" charset="0"/>
                  <a:ea typeface="Fira Sans Light" panose="020B0403050000020004" pitchFamily="34" charset="0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Fira Sans Light" panose="020B0403050000020004" pitchFamily="34" charset="0"/>
                  <a:ea typeface="Fira Sans Light" panose="020B0403050000020004" pitchFamily="34" charset="0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2"/>
          </a:solidFill>
          <a:ln w="28575" cap="rnd">
            <a:noFill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Fira Sans Light" panose="020B0403050000020004" pitchFamily="34" charset="0"/>
                  <a:ea typeface="Fira Sans Light" panose="020B0403050000020004" pitchFamily="34" charset="0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2"/>
          </a:solidFill>
          <a:ln w="31750" cap="rnd" cmpd="sng">
            <a:solidFill>
              <a:srgbClr val="FF4C41"/>
            </a:solidFill>
            <a:prstDash val="solid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Fira Sans Light" panose="020B0403050000020004" pitchFamily="34" charset="0"/>
                  <a:ea typeface="Fira Sans Light" panose="020B0403050000020004" pitchFamily="34" charset="0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9466479"/>
        <c:axId val="839467279"/>
      </c:lineChart>
      <c:catAx>
        <c:axId val="839466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 Medium" pitchFamily="2" charset="0"/>
                <a:ea typeface="Roboto Medium" pitchFamily="2" charset="0"/>
                <a:cs typeface="+mn-cs"/>
              </a:defRPr>
            </a:pPr>
            <a:endParaRPr lang="en-US"/>
          </a:p>
        </c:txPr>
        <c:crossAx val="839467279"/>
        <c:crosses val="autoZero"/>
        <c:auto val="1"/>
        <c:lblAlgn val="ctr"/>
        <c:lblOffset val="100"/>
        <c:noMultiLvlLbl val="0"/>
      </c:catAx>
      <c:valAx>
        <c:axId val="839467279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&quot;R&quot;#,##0" sourceLinked="0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 Light" pitchFamily="2" charset="0"/>
                <a:ea typeface="Roboto Light" pitchFamily="2" charset="0"/>
                <a:cs typeface="+mn-cs"/>
              </a:defRPr>
            </a:pPr>
            <a:endParaRPr lang="en-US"/>
          </a:p>
        </c:txPr>
        <c:crossAx val="8394664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b="0" i="0">
          <a:latin typeface="Fira Sans Light" panose="020B0403050000020004" pitchFamily="34" charset="0"/>
          <a:ea typeface="Fira Sans Light" panose="020B04030500000200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[Personal Finances.xlsx]Categories | Subcategories!PivotTable7</c:name>
    <c:fmtId val="6"/>
  </c:pivotSource>
  <c:chart>
    <c:autoTitleDeleted val="1"/>
    <c:pivotFmts>
      <c:pivotFmt>
        <c:idx val="0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</c:pivotFmt>
      <c:pivotFmt>
        <c:idx val="15"/>
      </c:pivotFmt>
      <c:pivotFmt>
        <c:idx val="16"/>
      </c:pivotFmt>
      <c:pivotFmt>
        <c:idx val="17"/>
        <c:spPr>
          <a:solidFill>
            <a:srgbClr val="FF4C4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&quot;R&quot;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Roboto Black" pitchFamily="2" charset="0"/>
                  <a:ea typeface="Roboto Black" pitchFamily="2" charset="0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</c:pivotFmt>
      <c:pivotFmt>
        <c:idx val="19"/>
      </c:pivotFmt>
      <c:pivotFmt>
        <c:idx val="20"/>
      </c:pivotFmt>
      <c:pivotFmt>
        <c:idx val="21"/>
      </c:pivotFmt>
      <c:pivotFmt>
        <c:idx val="22"/>
      </c:pivotFmt>
      <c:pivotFmt>
        <c:idx val="23"/>
      </c:pivotFmt>
      <c:pivotFmt>
        <c:idx val="24"/>
      </c:pivotFmt>
      <c:pivotFmt>
        <c:idx val="25"/>
      </c:pivotFmt>
      <c:pivotFmt>
        <c:idx val="26"/>
      </c:pivotFmt>
      <c:pivotFmt>
        <c:idx val="27"/>
      </c:pivotFmt>
      <c:pivotFmt>
        <c:idx val="28"/>
      </c:pivotFmt>
      <c:pivotFmt>
        <c:idx val="29"/>
      </c:pivotFmt>
      <c:pivotFmt>
        <c:idx val="30"/>
      </c:pivotFmt>
      <c:pivotFmt>
        <c:idx val="31"/>
      </c:pivotFmt>
      <c:pivotFmt>
        <c:idx val="32"/>
      </c:pivotFmt>
      <c:pivotFmt>
        <c:idx val="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Roboto" pitchFamily="2" charset="0"/>
                  <a:ea typeface="Roboto" pitchFamily="2" charset="0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'Categories | Subcategories'!$L$3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FF4C41"/>
            </a:solidFill>
            <a:ln>
              <a:noFill/>
            </a:ln>
            <a:effectLst/>
          </c:spPr>
          <c:invertIfNegative val="0"/>
          <c:dLbls>
            <c:numFmt formatCode="&quot;R&quot;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Roboto Black" pitchFamily="2" charset="0"/>
                    <a:ea typeface="Roboto Black" pitchFamily="2" charset="0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'Categories | Subcategories'!$K$4</c:f>
              <c:strCache>
                <c:ptCount val="1"/>
                <c:pt idx="0">
                  <c:v>Grand Total</c:v>
                </c:pt>
              </c:strCache>
            </c:strRef>
          </c:cat>
          <c:val>
            <c:numRef>
              <c:f>'Categories | Subcategories'!$L$4</c:f>
              <c:numCache>
                <c:formatCode>"R"#\ ##0.00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0824-3B40-B131-A74FAE5A84A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1967580544"/>
        <c:axId val="2007238144"/>
      </c:barChart>
      <c:valAx>
        <c:axId val="200723814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R&quot;#,##0" sourceLinked="0"/>
        <c:majorTickMark val="out"/>
        <c:minorTickMark val="none"/>
        <c:tickLblPos val="high"/>
        <c:crossAx val="1967580544"/>
        <c:crosses val="autoZero"/>
        <c:crossBetween val="between"/>
      </c:valAx>
      <c:catAx>
        <c:axId val="1967580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Roboto Light" pitchFamily="2" charset="0"/>
                <a:ea typeface="Roboto Light" pitchFamily="2" charset="0"/>
                <a:cs typeface="+mn-cs"/>
              </a:defRPr>
            </a:pPr>
            <a:endParaRPr lang="en-US"/>
          </a:p>
        </c:txPr>
        <c:crossAx val="20072381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Roboto" pitchFamily="2" charset="0"/>
          <a:ea typeface="Roboto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[Personal Finances.xlsx]Investment!Net Worth</c:name>
    <c:fmtId val="1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FF4C4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&quot;R&quot;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Roboto" pitchFamily="2" charset="0"/>
                  <a:ea typeface="Roboto" pitchFamily="2" charset="0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92D050"/>
          </a:solidFill>
          <a:ln>
            <a:noFill/>
          </a:ln>
          <a:effectLst/>
        </c:spPr>
        <c:marker>
          <c:symbol val="none"/>
        </c:marker>
        <c:dLbl>
          <c:idx val="0"/>
          <c:numFmt formatCode="&quot;R&quot;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Roboto" pitchFamily="2" charset="0"/>
                  <a:ea typeface="Roboto" pitchFamily="2" charset="0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Roboto" pitchFamily="2" charset="0"/>
                  <a:ea typeface="Roboto" pitchFamily="2" charset="0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Investment!$B$3</c:f>
              <c:strCache>
                <c:ptCount val="1"/>
                <c:pt idx="0">
                  <c:v>OUTFLOW </c:v>
                </c:pt>
              </c:strCache>
            </c:strRef>
          </c:tx>
          <c:spPr>
            <a:solidFill>
              <a:srgbClr val="FF4C41"/>
            </a:solidFill>
            <a:ln>
              <a:noFill/>
            </a:ln>
            <a:effectLst/>
          </c:spPr>
          <c:invertIfNegative val="0"/>
          <c:dLbls>
            <c:numFmt formatCode="&quot;R&quot;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Roboto" pitchFamily="2" charset="0"/>
                    <a:ea typeface="Roboto" pitchFamily="2" charset="0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Investment!$A$4</c:f>
              <c:strCache>
                <c:ptCount val="1"/>
                <c:pt idx="0">
                  <c:v>Grand Total</c:v>
                </c:pt>
              </c:strCache>
            </c:strRef>
          </c:cat>
          <c:val>
            <c:numRef>
              <c:f>Investment!$B$4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BD22-214A-9C99-D7300F4698D2}"/>
            </c:ext>
          </c:extLst>
        </c:ser>
        <c:ser>
          <c:idx val="1"/>
          <c:order val="1"/>
          <c:tx>
            <c:strRef>
              <c:f>Investment!$C$3</c:f>
              <c:strCache>
                <c:ptCount val="1"/>
                <c:pt idx="0">
                  <c:v>INFLOW 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dLbls>
            <c:numFmt formatCode="&quot;R&quot;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Roboto" pitchFamily="2" charset="0"/>
                    <a:ea typeface="Roboto" pitchFamily="2" charset="0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Investment!$A$4</c:f>
              <c:strCache>
                <c:ptCount val="1"/>
                <c:pt idx="0">
                  <c:v>Grand Total</c:v>
                </c:pt>
              </c:strCache>
            </c:strRef>
          </c:cat>
          <c:val>
            <c:numRef>
              <c:f>Investment!$C$4</c:f>
              <c:numCache>
                <c:formatCode>"R"#\ ##0.00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1-BD22-214A-9C99-D7300F4698D2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50"/>
        <c:axId val="581597968"/>
        <c:axId val="1973919935"/>
      </c:barChart>
      <c:catAx>
        <c:axId val="5815979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bg1">
                <a:lumMod val="9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" pitchFamily="2" charset="0"/>
                <a:ea typeface="Roboto" pitchFamily="2" charset="0"/>
                <a:cs typeface="+mn-cs"/>
              </a:defRPr>
            </a:pPr>
            <a:endParaRPr lang="en-US"/>
          </a:p>
        </c:txPr>
        <c:crossAx val="1973919935"/>
        <c:crosses val="autoZero"/>
        <c:auto val="1"/>
        <c:lblAlgn val="ctr"/>
        <c:lblOffset val="100"/>
        <c:noMultiLvlLbl val="0"/>
      </c:catAx>
      <c:valAx>
        <c:axId val="1973919935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81597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Roboto" pitchFamily="2" charset="0"/>
          <a:ea typeface="Roboto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[Personal Finances.xlsx]Investment!Asset Allocation</c:name>
    <c:fmtId val="1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</c:pivotFmt>
      <c:pivotFmt>
        <c:idx val="42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</c:pivotFmt>
      <c:pivotFmt>
        <c:idx val="44"/>
        <c:spPr>
          <a:noFill/>
          <a:ln>
            <a:noFill/>
          </a:ln>
          <a:effectLst/>
        </c:spPr>
      </c:pivotFmt>
      <c:pivotFmt>
        <c:idx val="45"/>
        <c:spPr>
          <a:noFill/>
          <a:ln>
            <a:noFill/>
          </a:ln>
          <a:effectLst/>
        </c:spPr>
      </c:pivotFmt>
      <c:pivotFmt>
        <c:idx val="46"/>
        <c:spPr>
          <a:noFill/>
          <a:ln>
            <a:noFill/>
          </a:ln>
          <a:effectLst/>
        </c:spPr>
      </c:pivotFmt>
      <c:pivotFmt>
        <c:idx val="47"/>
        <c:spPr>
          <a:noFill/>
          <a:ln>
            <a:noFill/>
          </a:ln>
          <a:effectLst/>
        </c:spPr>
      </c:pivotFmt>
      <c:pivotFmt>
        <c:idx val="48"/>
        <c:spPr>
          <a:noFill/>
          <a:ln>
            <a:noFill/>
          </a:ln>
          <a:effectLst/>
        </c:spPr>
      </c:pivotFmt>
      <c:pivotFmt>
        <c:idx val="49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General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Roboto Medium" pitchFamily="2" charset="0"/>
                  <a:ea typeface="Roboto Medium" pitchFamily="2" charset="0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</c:pivotFmt>
      <c:pivotFmt>
        <c:idx val="51"/>
        <c:spPr>
          <a:noFill/>
          <a:ln>
            <a:noFill/>
          </a:ln>
          <a:effectLst/>
        </c:spPr>
      </c:pivotFmt>
      <c:pivotFmt>
        <c:idx val="52"/>
        <c:spPr>
          <a:noFill/>
          <a:ln>
            <a:noFill/>
          </a:ln>
          <a:effectLst/>
        </c:spPr>
      </c:pivotFmt>
      <c:pivotFmt>
        <c:idx val="53"/>
        <c:spPr>
          <a:noFill/>
          <a:ln>
            <a:noFill/>
          </a:ln>
          <a:effectLst/>
        </c:spPr>
      </c:pivotFmt>
      <c:pivotFmt>
        <c:idx val="54"/>
        <c:spPr>
          <a:noFill/>
          <a:ln>
            <a:noFill/>
          </a:ln>
          <a:effectLst/>
        </c:spPr>
      </c:pivotFmt>
      <c:pivotFmt>
        <c:idx val="55"/>
        <c:spPr>
          <a:noFill/>
          <a:ln>
            <a:noFill/>
          </a:ln>
          <a:effectLst/>
        </c:spPr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&quot;R&quot;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Roboto" pitchFamily="2" charset="0"/>
                  <a:ea typeface="Roboto" pitchFamily="2" charset="0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</c:pivotFmt>
      <c:pivotFmt>
        <c:idx val="69"/>
        <c:spPr>
          <a:noFill/>
          <a:ln>
            <a:noFill/>
          </a:ln>
          <a:effectLst/>
        </c:spPr>
      </c:pivotFmt>
      <c:pivotFmt>
        <c:idx val="70"/>
        <c:spPr>
          <a:noFill/>
          <a:ln>
            <a:noFill/>
          </a:ln>
          <a:effectLst/>
        </c:spPr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5.986142389821314E-2"/>
          <c:y val="1.3404825737265416E-2"/>
          <c:w val="0.84968684759916491"/>
          <c:h val="0.98659517426273458"/>
        </c:manualLayout>
      </c:layout>
      <c:doughnutChart>
        <c:varyColors val="1"/>
        <c:ser>
          <c:idx val="0"/>
          <c:order val="0"/>
          <c:tx>
            <c:strRef>
              <c:f>Investment!$J$1</c:f>
              <c:strCache>
                <c:ptCount val="1"/>
                <c:pt idx="0">
                  <c:v>Sum of OUTFLOW</c:v>
                </c:pt>
              </c:strCache>
            </c:strRef>
          </c:tx>
          <c:spPr>
            <a:noFill/>
            <a:ln>
              <a:noFill/>
            </a:ln>
          </c:spPr>
          <c:dPt>
            <c:idx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DC5-0F45-8360-BE8F458B5D58}"/>
              </c:ext>
            </c:extLst>
          </c:dPt>
          <c:dPt>
            <c:idx val="1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DC5-0F45-8360-BE8F458B5D58}"/>
              </c:ext>
            </c:extLst>
          </c:dPt>
          <c:dPt>
            <c:idx val="2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5DC5-0F45-8360-BE8F458B5D58}"/>
              </c:ext>
            </c:extLst>
          </c:dPt>
          <c:dPt>
            <c:idx val="3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5DC5-0F45-8360-BE8F458B5D58}"/>
              </c:ext>
            </c:extLst>
          </c:dPt>
          <c:dPt>
            <c:idx val="4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5DC5-0F45-8360-BE8F458B5D58}"/>
              </c:ext>
            </c:extLst>
          </c:dPt>
          <c:dPt>
            <c:idx val="5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5DC5-0F45-8360-BE8F458B5D5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Investment!$I$2</c:f>
              <c:strCache>
                <c:ptCount val="1"/>
                <c:pt idx="0">
                  <c:v>Grand Total</c:v>
                </c:pt>
              </c:strCache>
            </c:strRef>
          </c:cat>
          <c:val>
            <c:numRef>
              <c:f>Investment!$J$2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C-5DC5-0F45-8360-BE8F458B5D58}"/>
            </c:ext>
          </c:extLst>
        </c:ser>
        <c:ser>
          <c:idx val="1"/>
          <c:order val="1"/>
          <c:tx>
            <c:strRef>
              <c:f>Investment!$K$1</c:f>
              <c:strCache>
                <c:ptCount val="1"/>
                <c:pt idx="0">
                  <c:v>Sum of INFLOW</c:v>
                </c:pt>
              </c:strCache>
            </c:strRef>
          </c:tx>
          <c:spPr>
            <a:noFill/>
            <a:ln>
              <a:noFill/>
            </a:ln>
          </c:spPr>
          <c:dPt>
            <c:idx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5DC5-0F45-8360-BE8F458B5D58}"/>
              </c:ext>
            </c:extLst>
          </c:dPt>
          <c:dPt>
            <c:idx val="1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5DC5-0F45-8360-BE8F458B5D58}"/>
              </c:ext>
            </c:extLst>
          </c:dPt>
          <c:dPt>
            <c:idx val="2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5DC5-0F45-8360-BE8F458B5D58}"/>
              </c:ext>
            </c:extLst>
          </c:dPt>
          <c:dPt>
            <c:idx val="3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5DC5-0F45-8360-BE8F458B5D58}"/>
              </c:ext>
            </c:extLst>
          </c:dPt>
          <c:dPt>
            <c:idx val="4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5DC5-0F45-8360-BE8F458B5D58}"/>
              </c:ext>
            </c:extLst>
          </c:dPt>
          <c:dPt>
            <c:idx val="5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8-5DC5-0F45-8360-BE8F458B5D58}"/>
              </c:ext>
            </c:extLst>
          </c:dPt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Roboto Medium" pitchFamily="2" charset="0"/>
                    <a:ea typeface="Roboto Medium" pitchFamily="2" charset="0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Investment!$I$2</c:f>
              <c:strCache>
                <c:ptCount val="1"/>
                <c:pt idx="0">
                  <c:v>Grand Total</c:v>
                </c:pt>
              </c:strCache>
            </c:strRef>
          </c:cat>
          <c:val>
            <c:numRef>
              <c:f>Investment!$K$2</c:f>
              <c:numCache>
                <c:formatCode>"R"#\ ##0.00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19-5DC5-0F45-8360-BE8F458B5D58}"/>
            </c:ext>
          </c:extLst>
        </c:ser>
        <c:ser>
          <c:idx val="2"/>
          <c:order val="2"/>
          <c:tx>
            <c:strRef>
              <c:f>Investment!$L$1</c:f>
              <c:strCache>
                <c:ptCount val="1"/>
                <c:pt idx="0">
                  <c:v>Sum of VALUE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B1B3-D047-A580-A0EC980C451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B1B3-D047-A580-A0EC980C451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B1B3-D047-A580-A0EC980C451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F-B1B3-D047-A580-A0EC980C451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B1B3-D047-A580-A0EC980C451F}"/>
              </c:ext>
            </c:extLst>
          </c:dPt>
          <c:dLbls>
            <c:numFmt formatCode="&quot;R&quot;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Roboto" pitchFamily="2" charset="0"/>
                    <a:ea typeface="Roboto" pitchFamily="2" charset="0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Investment!$I$2</c:f>
              <c:strCache>
                <c:ptCount val="1"/>
                <c:pt idx="0">
                  <c:v>Grand Total</c:v>
                </c:pt>
              </c:strCache>
            </c:strRef>
          </c:cat>
          <c:val>
            <c:numRef>
              <c:f>Investment!$L$2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A5CB-C642-8A17-372D0CEC841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[Personal Finances.xlsx]Investment!PivotTable2</c:name>
    <c:fmtId val="19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92D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Roboto" pitchFamily="2" charset="0"/>
                  <a:ea typeface="Roboto" pitchFamily="2" charset="0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347614159"/>
        <c:axId val="347615791"/>
      </c:areaChart>
      <c:catAx>
        <c:axId val="347614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" pitchFamily="2" charset="0"/>
                <a:ea typeface="Roboto" pitchFamily="2" charset="0"/>
                <a:cs typeface="+mn-cs"/>
              </a:defRPr>
            </a:pPr>
            <a:endParaRPr lang="en-US"/>
          </a:p>
        </c:txPr>
        <c:crossAx val="347615791"/>
        <c:crosses val="autoZero"/>
        <c:auto val="1"/>
        <c:lblAlgn val="ctr"/>
        <c:lblOffset val="100"/>
        <c:noMultiLvlLbl val="0"/>
      </c:catAx>
      <c:valAx>
        <c:axId val="347615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R&quot;#,##0" sourceLinked="0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" pitchFamily="2" charset="0"/>
                <a:ea typeface="Roboto" pitchFamily="2" charset="0"/>
                <a:cs typeface="+mn-cs"/>
              </a:defRPr>
            </a:pPr>
            <a:endParaRPr lang="en-US"/>
          </a:p>
        </c:txPr>
        <c:crossAx val="3476141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900">
          <a:latin typeface="Roboto" pitchFamily="2" charset="0"/>
          <a:ea typeface="Roboto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5.png"/><Relationship Id="rId18" Type="http://schemas.openxmlformats.org/officeDocument/2006/relationships/image" Target="../media/image9.png"/><Relationship Id="rId26" Type="http://schemas.openxmlformats.org/officeDocument/2006/relationships/image" Target="../media/image16.png"/><Relationship Id="rId39" Type="http://schemas.openxmlformats.org/officeDocument/2006/relationships/image" Target="../media/image26.png"/><Relationship Id="rId21" Type="http://schemas.openxmlformats.org/officeDocument/2006/relationships/image" Target="../media/image12.png"/><Relationship Id="rId34" Type="http://schemas.openxmlformats.org/officeDocument/2006/relationships/image" Target="../media/image24.png"/><Relationship Id="rId42" Type="http://schemas.openxmlformats.org/officeDocument/2006/relationships/image" Target="../media/image29.png"/><Relationship Id="rId47" Type="http://schemas.openxmlformats.org/officeDocument/2006/relationships/image" Target="../media/image34.png"/><Relationship Id="rId50" Type="http://schemas.openxmlformats.org/officeDocument/2006/relationships/image" Target="../media/image37.png"/><Relationship Id="rId7" Type="http://schemas.openxmlformats.org/officeDocument/2006/relationships/image" Target="../media/image4.png"/><Relationship Id="rId2" Type="http://schemas.openxmlformats.org/officeDocument/2006/relationships/image" Target="../media/image1.png"/><Relationship Id="rId16" Type="http://schemas.openxmlformats.org/officeDocument/2006/relationships/image" Target="../media/image7.png"/><Relationship Id="rId29" Type="http://schemas.openxmlformats.org/officeDocument/2006/relationships/image" Target="../media/image19.png"/><Relationship Id="rId11" Type="http://schemas.openxmlformats.org/officeDocument/2006/relationships/chart" Target="../charts/chart4.xml"/><Relationship Id="rId24" Type="http://schemas.openxmlformats.org/officeDocument/2006/relationships/image" Target="../media/image15.png"/><Relationship Id="rId32" Type="http://schemas.openxmlformats.org/officeDocument/2006/relationships/image" Target="../media/image22.png"/><Relationship Id="rId37" Type="http://schemas.openxmlformats.org/officeDocument/2006/relationships/chart" Target="../charts/chart7.xml"/><Relationship Id="rId40" Type="http://schemas.openxmlformats.org/officeDocument/2006/relationships/image" Target="../media/image27.png"/><Relationship Id="rId45" Type="http://schemas.openxmlformats.org/officeDocument/2006/relationships/image" Target="../media/image32.png"/><Relationship Id="rId5" Type="http://schemas.openxmlformats.org/officeDocument/2006/relationships/hyperlink" Target="#'&#10687; Dashboard'!A62"/><Relationship Id="rId15" Type="http://schemas.openxmlformats.org/officeDocument/2006/relationships/image" Target="../media/image6.png"/><Relationship Id="rId23" Type="http://schemas.openxmlformats.org/officeDocument/2006/relationships/image" Target="../media/image14.png"/><Relationship Id="rId28" Type="http://schemas.openxmlformats.org/officeDocument/2006/relationships/image" Target="../media/image18.png"/><Relationship Id="rId36" Type="http://schemas.openxmlformats.org/officeDocument/2006/relationships/chart" Target="../charts/chart6.xml"/><Relationship Id="rId49" Type="http://schemas.openxmlformats.org/officeDocument/2006/relationships/image" Target="../media/image36.png"/><Relationship Id="rId10" Type="http://schemas.openxmlformats.org/officeDocument/2006/relationships/chart" Target="../charts/chart3.xml"/><Relationship Id="rId19" Type="http://schemas.openxmlformats.org/officeDocument/2006/relationships/image" Target="../media/image10.png"/><Relationship Id="rId31" Type="http://schemas.openxmlformats.org/officeDocument/2006/relationships/image" Target="../media/image21.png"/><Relationship Id="rId44" Type="http://schemas.openxmlformats.org/officeDocument/2006/relationships/image" Target="../media/image31.png"/><Relationship Id="rId52" Type="http://schemas.openxmlformats.org/officeDocument/2006/relationships/image" Target="../media/image38.png"/><Relationship Id="rId4" Type="http://schemas.openxmlformats.org/officeDocument/2006/relationships/image" Target="../media/image2.png"/><Relationship Id="rId9" Type="http://schemas.openxmlformats.org/officeDocument/2006/relationships/chart" Target="../charts/chart2.xml"/><Relationship Id="rId14" Type="http://schemas.openxmlformats.org/officeDocument/2006/relationships/hyperlink" Target="#'&#10687; Dashboard'!A190"/><Relationship Id="rId22" Type="http://schemas.openxmlformats.org/officeDocument/2006/relationships/image" Target="../media/image13.png"/><Relationship Id="rId27" Type="http://schemas.openxmlformats.org/officeDocument/2006/relationships/image" Target="../media/image17.png"/><Relationship Id="rId30" Type="http://schemas.openxmlformats.org/officeDocument/2006/relationships/image" Target="../media/image20.png"/><Relationship Id="rId35" Type="http://schemas.openxmlformats.org/officeDocument/2006/relationships/image" Target="../media/image25.png"/><Relationship Id="rId43" Type="http://schemas.openxmlformats.org/officeDocument/2006/relationships/image" Target="../media/image30.png"/><Relationship Id="rId48" Type="http://schemas.openxmlformats.org/officeDocument/2006/relationships/image" Target="../media/image35.png"/><Relationship Id="rId8" Type="http://schemas.openxmlformats.org/officeDocument/2006/relationships/chart" Target="../charts/chart1.xml"/><Relationship Id="rId51" Type="http://schemas.openxmlformats.org/officeDocument/2006/relationships/hyperlink" Target="https://creativecommons.org/licenses/by-nc-sa/4.0/" TargetMode="External"/><Relationship Id="rId3" Type="http://schemas.openxmlformats.org/officeDocument/2006/relationships/hyperlink" Target="#'&#10687; Dashboard'!A101"/><Relationship Id="rId12" Type="http://schemas.openxmlformats.org/officeDocument/2006/relationships/hyperlink" Target="#'&#10687; Dashboard'!A11"/><Relationship Id="rId17" Type="http://schemas.openxmlformats.org/officeDocument/2006/relationships/image" Target="../media/image8.png"/><Relationship Id="rId25" Type="http://schemas.openxmlformats.org/officeDocument/2006/relationships/chart" Target="../charts/chart5.xml"/><Relationship Id="rId33" Type="http://schemas.openxmlformats.org/officeDocument/2006/relationships/image" Target="../media/image23.png"/><Relationship Id="rId38" Type="http://schemas.openxmlformats.org/officeDocument/2006/relationships/chart" Target="../charts/chart8.xml"/><Relationship Id="rId46" Type="http://schemas.openxmlformats.org/officeDocument/2006/relationships/image" Target="../media/image33.png"/><Relationship Id="rId20" Type="http://schemas.openxmlformats.org/officeDocument/2006/relationships/image" Target="../media/image11.png"/><Relationship Id="rId41" Type="http://schemas.openxmlformats.org/officeDocument/2006/relationships/image" Target="../media/image28.png"/><Relationship Id="rId1" Type="http://schemas.openxmlformats.org/officeDocument/2006/relationships/hyperlink" Target="#'&#10687; Dashboard'!A265"/><Relationship Id="rId6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42.png"/><Relationship Id="rId3" Type="http://schemas.openxmlformats.org/officeDocument/2006/relationships/hyperlink" Target="#Assets!A1"/><Relationship Id="rId7" Type="http://schemas.openxmlformats.org/officeDocument/2006/relationships/hyperlink" Target="#Definitions!A1"/><Relationship Id="rId2" Type="http://schemas.openxmlformats.org/officeDocument/2006/relationships/image" Target="../media/image39.png"/><Relationship Id="rId1" Type="http://schemas.openxmlformats.org/officeDocument/2006/relationships/hyperlink" Target="#Transactions!A1"/><Relationship Id="rId6" Type="http://schemas.openxmlformats.org/officeDocument/2006/relationships/image" Target="../media/image41.png"/><Relationship Id="rId5" Type="http://schemas.openxmlformats.org/officeDocument/2006/relationships/hyperlink" Target="#Dashboard!A1"/><Relationship Id="rId10" Type="http://schemas.openxmlformats.org/officeDocument/2006/relationships/image" Target="../media/image43.png"/><Relationship Id="rId4" Type="http://schemas.openxmlformats.org/officeDocument/2006/relationships/image" Target="../media/image40.png"/><Relationship Id="rId9" Type="http://schemas.openxmlformats.org/officeDocument/2006/relationships/hyperlink" Target="#Settings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6.png"/><Relationship Id="rId2" Type="http://schemas.openxmlformats.org/officeDocument/2006/relationships/image" Target="../media/image45.png"/><Relationship Id="rId1" Type="http://schemas.openxmlformats.org/officeDocument/2006/relationships/image" Target="../media/image44.png"/><Relationship Id="rId5" Type="http://schemas.openxmlformats.org/officeDocument/2006/relationships/image" Target="../media/image38.png"/><Relationship Id="rId4" Type="http://schemas.openxmlformats.org/officeDocument/2006/relationships/hyperlink" Target="https://creativecommons.org/licenses/by-nc-sa/4.0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50800</xdr:colOff>
      <xdr:row>5</xdr:row>
      <xdr:rowOff>76200</xdr:rowOff>
    </xdr:from>
    <xdr:to>
      <xdr:col>18</xdr:col>
      <xdr:colOff>698500</xdr:colOff>
      <xdr:row>8</xdr:row>
      <xdr:rowOff>38100</xdr:rowOff>
    </xdr:to>
    <xdr:pic>
      <xdr:nvPicPr>
        <xdr:cNvPr id="30" name="Picture 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AB613D-44EB-F64E-9DA6-9C8E460E8F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125700" y="1155700"/>
          <a:ext cx="647700" cy="647700"/>
        </a:xfrm>
        <a:prstGeom prst="rect">
          <a:avLst/>
        </a:prstGeom>
      </xdr:spPr>
    </xdr:pic>
    <xdr:clientData/>
  </xdr:twoCellAnchor>
  <xdr:twoCellAnchor editAs="oneCell">
    <xdr:from>
      <xdr:col>13</xdr:col>
      <xdr:colOff>533400</xdr:colOff>
      <xdr:row>5</xdr:row>
      <xdr:rowOff>152400</xdr:rowOff>
    </xdr:from>
    <xdr:to>
      <xdr:col>14</xdr:col>
      <xdr:colOff>379200</xdr:colOff>
      <xdr:row>8</xdr:row>
      <xdr:rowOff>76200</xdr:rowOff>
    </xdr:to>
    <xdr:pic>
      <xdr:nvPicPr>
        <xdr:cNvPr id="46" name="Picture 4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CB2D3BB-810D-404B-8A8F-8334AA057A1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11430000" y="1231900"/>
          <a:ext cx="684000" cy="609600"/>
        </a:xfrm>
        <a:prstGeom prst="rect">
          <a:avLst/>
        </a:prstGeom>
      </xdr:spPr>
    </xdr:pic>
    <xdr:clientData/>
  </xdr:twoCellAnchor>
  <xdr:twoCellAnchor editAs="oneCell">
    <xdr:from>
      <xdr:col>11</xdr:col>
      <xdr:colOff>271266</xdr:colOff>
      <xdr:row>5</xdr:row>
      <xdr:rowOff>169400</xdr:rowOff>
    </xdr:from>
    <xdr:to>
      <xdr:col>12</xdr:col>
      <xdr:colOff>108066</xdr:colOff>
      <xdr:row>8</xdr:row>
      <xdr:rowOff>23600</xdr:rowOff>
    </xdr:to>
    <xdr:pic>
      <xdr:nvPicPr>
        <xdr:cNvPr id="45" name="Picture 4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D1F65353-84FD-2749-AFFF-92648022E5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491466" y="1248900"/>
          <a:ext cx="675000" cy="540000"/>
        </a:xfrm>
        <a:prstGeom prst="rect">
          <a:avLst/>
        </a:prstGeom>
      </xdr:spPr>
    </xdr:pic>
    <xdr:clientData/>
  </xdr:twoCellAnchor>
  <xdr:twoCellAnchor editAs="oneCell">
    <xdr:from>
      <xdr:col>6</xdr:col>
      <xdr:colOff>698500</xdr:colOff>
      <xdr:row>19</xdr:row>
      <xdr:rowOff>241300</xdr:rowOff>
    </xdr:from>
    <xdr:to>
      <xdr:col>7</xdr:col>
      <xdr:colOff>685800</xdr:colOff>
      <xdr:row>23</xdr:row>
      <xdr:rowOff>139700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2D0DB1C3-28BA-2D4B-B201-9E7CE22AEF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791200" y="2997200"/>
          <a:ext cx="812800" cy="812800"/>
        </a:xfrm>
        <a:prstGeom prst="rect">
          <a:avLst/>
        </a:prstGeom>
      </xdr:spPr>
    </xdr:pic>
    <xdr:clientData/>
  </xdr:twoCellAnchor>
  <xdr:twoCellAnchor>
    <xdr:from>
      <xdr:col>1</xdr:col>
      <xdr:colOff>152400</xdr:colOff>
      <xdr:row>38</xdr:row>
      <xdr:rowOff>203200</xdr:rowOff>
    </xdr:from>
    <xdr:to>
      <xdr:col>22</xdr:col>
      <xdr:colOff>270800</xdr:colOff>
      <xdr:row>63</xdr:row>
      <xdr:rowOff>114600</xdr:rowOff>
    </xdr:to>
    <xdr:graphicFrame macro="">
      <xdr:nvGraphicFramePr>
        <xdr:cNvPr id="12" name="Balance Bar Chart">
          <a:extLst>
            <a:ext uri="{FF2B5EF4-FFF2-40B4-BE49-F238E27FC236}">
              <a16:creationId xmlns:a16="http://schemas.microsoft.com/office/drawing/2014/main" id="{F3FFEAD1-55C2-8B40-BABD-82A56D8F3E8A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22</xdr:col>
      <xdr:colOff>220518</xdr:colOff>
      <xdr:row>38</xdr:row>
      <xdr:rowOff>292100</xdr:rowOff>
    </xdr:from>
    <xdr:to>
      <xdr:col>27</xdr:col>
      <xdr:colOff>685800</xdr:colOff>
      <xdr:row>62</xdr:row>
      <xdr:rowOff>88900</xdr:rowOff>
    </xdr:to>
    <xdr:graphicFrame macro="">
      <xdr:nvGraphicFramePr>
        <xdr:cNvPr id="14" name="Income Pie Chart">
          <a:extLst>
            <a:ext uri="{FF2B5EF4-FFF2-40B4-BE49-F238E27FC236}">
              <a16:creationId xmlns:a16="http://schemas.microsoft.com/office/drawing/2014/main" id="{F9D2CA6D-4C43-F341-B500-79FEBBB5B682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</xdr:col>
      <xdr:colOff>241300</xdr:colOff>
      <xdr:row>72</xdr:row>
      <xdr:rowOff>12700</xdr:rowOff>
    </xdr:from>
    <xdr:to>
      <xdr:col>9</xdr:col>
      <xdr:colOff>291200</xdr:colOff>
      <xdr:row>101</xdr:row>
      <xdr:rowOff>176900</xdr:rowOff>
    </xdr:to>
    <xdr:graphicFrame macro="">
      <xdr:nvGraphicFramePr>
        <xdr:cNvPr id="15" name="Category Pie Chart">
          <a:extLst>
            <a:ext uri="{FF2B5EF4-FFF2-40B4-BE49-F238E27FC236}">
              <a16:creationId xmlns:a16="http://schemas.microsoft.com/office/drawing/2014/main" id="{8B0F5C62-AFDF-BA4E-84BD-D17B42B6C2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9</xdr:col>
      <xdr:colOff>292100</xdr:colOff>
      <xdr:row>75</xdr:row>
      <xdr:rowOff>12700</xdr:rowOff>
    </xdr:from>
    <xdr:to>
      <xdr:col>27</xdr:col>
      <xdr:colOff>254000</xdr:colOff>
      <xdr:row>100</xdr:row>
      <xdr:rowOff>12700</xdr:rowOff>
    </xdr:to>
    <xdr:graphicFrame macro="">
      <xdr:nvGraphicFramePr>
        <xdr:cNvPr id="16" name="Spending Line Chart">
          <a:extLst>
            <a:ext uri="{FF2B5EF4-FFF2-40B4-BE49-F238E27FC236}">
              <a16:creationId xmlns:a16="http://schemas.microsoft.com/office/drawing/2014/main" id="{3C9364D8-08A0-284F-A0BE-C91D6966CB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9</xdr:col>
      <xdr:colOff>76200</xdr:colOff>
      <xdr:row>5</xdr:row>
      <xdr:rowOff>194800</xdr:rowOff>
    </xdr:from>
    <xdr:to>
      <xdr:col>9</xdr:col>
      <xdr:colOff>616200</xdr:colOff>
      <xdr:row>8</xdr:row>
      <xdr:rowOff>49000</xdr:rowOff>
    </xdr:to>
    <xdr:pic>
      <xdr:nvPicPr>
        <xdr:cNvPr id="5" name="Picture 4" descr="Icon for the goals section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4AA59CD7-E024-724B-AA2D-CC9BA196522E}"/>
            </a:ext>
            <a:ext uri="{C183D7F6-B498-43B3-948B-1728B52AA6E4}">
              <adec:decorative xmlns:adec="http://schemas.microsoft.com/office/drawing/2017/decorative" val="0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7645400" y="1274300"/>
          <a:ext cx="540000" cy="540000"/>
        </a:xfrm>
        <a:prstGeom prst="rect">
          <a:avLst/>
        </a:prstGeom>
      </xdr:spPr>
    </xdr:pic>
    <xdr:clientData/>
  </xdr:twoCellAnchor>
  <xdr:twoCellAnchor editAs="oneCell">
    <xdr:from>
      <xdr:col>16</xdr:col>
      <xdr:colOff>76200</xdr:colOff>
      <xdr:row>5</xdr:row>
      <xdr:rowOff>123100</xdr:rowOff>
    </xdr:from>
    <xdr:to>
      <xdr:col>16</xdr:col>
      <xdr:colOff>724200</xdr:colOff>
      <xdr:row>8</xdr:row>
      <xdr:rowOff>49000</xdr:rowOff>
    </xdr:to>
    <xdr:pic>
      <xdr:nvPicPr>
        <xdr:cNvPr id="23" name="Picture 22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FE1CB941-5A9E-9849-A4E3-A27298CFED1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5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13487400" y="1202600"/>
          <a:ext cx="648000" cy="611700"/>
        </a:xfrm>
        <a:prstGeom prst="rect">
          <a:avLst/>
        </a:prstGeom>
      </xdr:spPr>
    </xdr:pic>
    <xdr:clientData/>
  </xdr:twoCellAnchor>
  <xdr:twoCellAnchor editAs="oneCell">
    <xdr:from>
      <xdr:col>3</xdr:col>
      <xdr:colOff>457200</xdr:colOff>
      <xdr:row>20</xdr:row>
      <xdr:rowOff>0</xdr:rowOff>
    </xdr:from>
    <xdr:to>
      <xdr:col>4</xdr:col>
      <xdr:colOff>406400</xdr:colOff>
      <xdr:row>23</xdr:row>
      <xdr:rowOff>152400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E8CF782-DAF8-1B40-8078-0095250DB5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035300" y="3009900"/>
          <a:ext cx="812800" cy="8128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</xdr:colOff>
      <xdr:row>19</xdr:row>
      <xdr:rowOff>241300</xdr:rowOff>
    </xdr:from>
    <xdr:to>
      <xdr:col>1</xdr:col>
      <xdr:colOff>965200</xdr:colOff>
      <xdr:row>24</xdr:row>
      <xdr:rowOff>50800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84315B00-29D3-314D-8807-E73CE73E28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431800" y="2438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19</xdr:row>
      <xdr:rowOff>304800</xdr:rowOff>
    </xdr:from>
    <xdr:to>
      <xdr:col>10</xdr:col>
      <xdr:colOff>812800</xdr:colOff>
      <xdr:row>23</xdr:row>
      <xdr:rowOff>152400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4DC40B14-BCDE-5047-B6D9-1EEE62008A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8394700" y="2501900"/>
          <a:ext cx="812800" cy="812800"/>
        </a:xfrm>
        <a:prstGeom prst="rect">
          <a:avLst/>
        </a:prstGeom>
      </xdr:spPr>
    </xdr:pic>
    <xdr:clientData/>
  </xdr:twoCellAnchor>
  <xdr:twoCellAnchor editAs="oneCell">
    <xdr:from>
      <xdr:col>19</xdr:col>
      <xdr:colOff>38100</xdr:colOff>
      <xdr:row>19</xdr:row>
      <xdr:rowOff>330200</xdr:rowOff>
    </xdr:from>
    <xdr:to>
      <xdr:col>20</xdr:col>
      <xdr:colOff>25400</xdr:colOff>
      <xdr:row>23</xdr:row>
      <xdr:rowOff>152400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5921A300-541B-BE41-A8B2-3AD9515398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5938500" y="2527300"/>
          <a:ext cx="812800" cy="812800"/>
        </a:xfrm>
        <a:prstGeom prst="rect">
          <a:avLst/>
        </a:prstGeom>
      </xdr:spPr>
    </xdr:pic>
    <xdr:clientData/>
  </xdr:twoCellAnchor>
  <xdr:twoCellAnchor editAs="oneCell">
    <xdr:from>
      <xdr:col>16</xdr:col>
      <xdr:colOff>127000</xdr:colOff>
      <xdr:row>19</xdr:row>
      <xdr:rowOff>241300</xdr:rowOff>
    </xdr:from>
    <xdr:to>
      <xdr:col>17</xdr:col>
      <xdr:colOff>101600</xdr:colOff>
      <xdr:row>23</xdr:row>
      <xdr:rowOff>139700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288F0C2F-79B5-4445-98E9-A9C9A96FC5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3538200" y="2997200"/>
          <a:ext cx="812800" cy="812800"/>
        </a:xfrm>
        <a:prstGeom prst="rect">
          <a:avLst/>
        </a:prstGeom>
      </xdr:spPr>
    </xdr:pic>
    <xdr:clientData/>
  </xdr:twoCellAnchor>
  <xdr:twoCellAnchor editAs="oneCell">
    <xdr:from>
      <xdr:col>13</xdr:col>
      <xdr:colOff>76200</xdr:colOff>
      <xdr:row>20</xdr:row>
      <xdr:rowOff>0</xdr:rowOff>
    </xdr:from>
    <xdr:to>
      <xdr:col>14</xdr:col>
      <xdr:colOff>50800</xdr:colOff>
      <xdr:row>23</xdr:row>
      <xdr:rowOff>152400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A8A96B32-9B4F-5E4D-9E42-A14809D663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0972800" y="3009900"/>
          <a:ext cx="812800" cy="812800"/>
        </a:xfrm>
        <a:prstGeom prst="rect">
          <a:avLst/>
        </a:prstGeom>
      </xdr:spPr>
    </xdr:pic>
    <xdr:clientData/>
  </xdr:twoCellAnchor>
  <xdr:twoCellAnchor editAs="oneCell">
    <xdr:from>
      <xdr:col>22</xdr:col>
      <xdr:colOff>63500</xdr:colOff>
      <xdr:row>19</xdr:row>
      <xdr:rowOff>228600</xdr:rowOff>
    </xdr:from>
    <xdr:to>
      <xdr:col>23</xdr:col>
      <xdr:colOff>50800</xdr:colOff>
      <xdr:row>23</xdr:row>
      <xdr:rowOff>127000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98FA9BAA-EB1F-2C46-B5ED-D36D7D7D04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8440400" y="2984500"/>
          <a:ext cx="812800" cy="812800"/>
        </a:xfrm>
        <a:prstGeom prst="rect">
          <a:avLst/>
        </a:prstGeom>
      </xdr:spPr>
    </xdr:pic>
    <xdr:clientData/>
  </xdr:twoCellAnchor>
  <xdr:twoCellAnchor editAs="oneCell">
    <xdr:from>
      <xdr:col>24</xdr:col>
      <xdr:colOff>800100</xdr:colOff>
      <xdr:row>19</xdr:row>
      <xdr:rowOff>177800</xdr:rowOff>
    </xdr:from>
    <xdr:to>
      <xdr:col>25</xdr:col>
      <xdr:colOff>787400</xdr:colOff>
      <xdr:row>23</xdr:row>
      <xdr:rowOff>76200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3B23CAB4-531C-A744-BEEE-4C9577BB49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0828000" y="2933700"/>
          <a:ext cx="812800" cy="812800"/>
        </a:xfrm>
        <a:prstGeom prst="rect">
          <a:avLst/>
        </a:prstGeom>
      </xdr:spPr>
    </xdr:pic>
    <xdr:clientData/>
  </xdr:twoCellAnchor>
  <xdr:twoCellAnchor editAs="oneCell">
    <xdr:from>
      <xdr:col>13</xdr:col>
      <xdr:colOff>461766</xdr:colOff>
      <xdr:row>29</xdr:row>
      <xdr:rowOff>93200</xdr:rowOff>
    </xdr:from>
    <xdr:to>
      <xdr:col>14</xdr:col>
      <xdr:colOff>298566</xdr:colOff>
      <xdr:row>32</xdr:row>
      <xdr:rowOff>23600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5C1413D9-D4C8-0749-8541-0DCC5C7BFE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358366" y="7903700"/>
          <a:ext cx="675000" cy="540000"/>
        </a:xfrm>
        <a:prstGeom prst="rect">
          <a:avLst/>
        </a:prstGeom>
      </xdr:spPr>
    </xdr:pic>
    <xdr:clientData/>
  </xdr:twoCellAnchor>
  <xdr:twoCellAnchor editAs="oneCell">
    <xdr:from>
      <xdr:col>2</xdr:col>
      <xdr:colOff>228600</xdr:colOff>
      <xdr:row>34</xdr:row>
      <xdr:rowOff>25400</xdr:rowOff>
    </xdr:from>
    <xdr:to>
      <xdr:col>26</xdr:col>
      <xdr:colOff>266700</xdr:colOff>
      <xdr:row>37</xdr:row>
      <xdr:rowOff>127000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52" name="DATE">
              <a:extLst>
                <a:ext uri="{FF2B5EF4-FFF2-40B4-BE49-F238E27FC236}">
                  <a16:creationId xmlns:a16="http://schemas.microsoft.com/office/drawing/2014/main" id="{551CFAA8-BA08-724B-A616-022CC935EC3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DA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81200" y="8166100"/>
              <a:ext cx="20040600" cy="711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Timeline: Works in Excel 2013 or higher. Do not move or resize.</a:t>
              </a:r>
            </a:p>
          </xdr:txBody>
        </xdr:sp>
      </mc:Fallback>
    </mc:AlternateContent>
    <xdr:clientData/>
  </xdr:twoCellAnchor>
  <xdr:twoCellAnchor editAs="oneCell">
    <xdr:from>
      <xdr:col>24</xdr:col>
      <xdr:colOff>419100</xdr:colOff>
      <xdr:row>29</xdr:row>
      <xdr:rowOff>0</xdr:rowOff>
    </xdr:from>
    <xdr:to>
      <xdr:col>25</xdr:col>
      <xdr:colOff>355600</xdr:colOff>
      <xdr:row>32</xdr:row>
      <xdr:rowOff>152400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4AD2A228-A865-AD40-882A-50E9513A6F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0447000" y="7810500"/>
          <a:ext cx="762000" cy="76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495300</xdr:colOff>
      <xdr:row>68</xdr:row>
      <xdr:rowOff>12700</xdr:rowOff>
    </xdr:from>
    <xdr:to>
      <xdr:col>14</xdr:col>
      <xdr:colOff>341100</xdr:colOff>
      <xdr:row>71</xdr:row>
      <xdr:rowOff>12700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9AD4889E-2611-CD44-9675-CC1AC9EC67A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11391900" y="15989300"/>
          <a:ext cx="684000" cy="6096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116</xdr:row>
      <xdr:rowOff>12700</xdr:rowOff>
    </xdr:from>
    <xdr:to>
      <xdr:col>27</xdr:col>
      <xdr:colOff>127000</xdr:colOff>
      <xdr:row>140</xdr:row>
      <xdr:rowOff>82550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08C86984-6AF7-724A-8AAA-AA72AC16A0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 editAs="oneCell">
    <xdr:from>
      <xdr:col>1</xdr:col>
      <xdr:colOff>749300</xdr:colOff>
      <xdr:row>102</xdr:row>
      <xdr:rowOff>190500</xdr:rowOff>
    </xdr:from>
    <xdr:to>
      <xdr:col>2</xdr:col>
      <xdr:colOff>135800</xdr:colOff>
      <xdr:row>106</xdr:row>
      <xdr:rowOff>97700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B47A398-9ACE-4741-A6E6-90F0926384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168400" y="23152100"/>
          <a:ext cx="720000" cy="720000"/>
        </a:xfrm>
        <a:prstGeom prst="rect">
          <a:avLst/>
        </a:prstGeom>
      </xdr:spPr>
    </xdr:pic>
    <xdr:clientData/>
  </xdr:twoCellAnchor>
  <xdr:twoCellAnchor editAs="oneCell">
    <xdr:from>
      <xdr:col>4</xdr:col>
      <xdr:colOff>558800</xdr:colOff>
      <xdr:row>103</xdr:row>
      <xdr:rowOff>110400</xdr:rowOff>
    </xdr:from>
    <xdr:to>
      <xdr:col>5</xdr:col>
      <xdr:colOff>330200</xdr:colOff>
      <xdr:row>106</xdr:row>
      <xdr:rowOff>97700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8DCF9E3-4ECF-AD48-B19F-94D11B1D70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000500" y="23275200"/>
          <a:ext cx="596900" cy="596900"/>
        </a:xfrm>
        <a:prstGeom prst="rect">
          <a:avLst/>
        </a:prstGeom>
      </xdr:spPr>
    </xdr:pic>
    <xdr:clientData/>
  </xdr:twoCellAnchor>
  <xdr:twoCellAnchor editAs="oneCell">
    <xdr:from>
      <xdr:col>7</xdr:col>
      <xdr:colOff>482600</xdr:colOff>
      <xdr:row>102</xdr:row>
      <xdr:rowOff>190500</xdr:rowOff>
    </xdr:from>
    <xdr:to>
      <xdr:col>8</xdr:col>
      <xdr:colOff>377100</xdr:colOff>
      <xdr:row>106</xdr:row>
      <xdr:rowOff>97700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8C01679-ECF7-7448-9962-B57B33364F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6400800" y="23152100"/>
          <a:ext cx="720000" cy="720000"/>
        </a:xfrm>
        <a:prstGeom prst="rect">
          <a:avLst/>
        </a:prstGeom>
      </xdr:spPr>
    </xdr:pic>
    <xdr:clientData/>
  </xdr:twoCellAnchor>
  <xdr:twoCellAnchor editAs="oneCell">
    <xdr:from>
      <xdr:col>10</xdr:col>
      <xdr:colOff>482600</xdr:colOff>
      <xdr:row>102</xdr:row>
      <xdr:rowOff>190500</xdr:rowOff>
    </xdr:from>
    <xdr:to>
      <xdr:col>11</xdr:col>
      <xdr:colOff>377100</xdr:colOff>
      <xdr:row>106</xdr:row>
      <xdr:rowOff>97700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08B15B0-A11C-8440-9387-FD004F86BC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8877300" y="23152100"/>
          <a:ext cx="720000" cy="720000"/>
        </a:xfrm>
        <a:prstGeom prst="rect">
          <a:avLst/>
        </a:prstGeom>
      </xdr:spPr>
    </xdr:pic>
    <xdr:clientData/>
  </xdr:twoCellAnchor>
  <xdr:twoCellAnchor editAs="oneCell">
    <xdr:from>
      <xdr:col>13</xdr:col>
      <xdr:colOff>482600</xdr:colOff>
      <xdr:row>102</xdr:row>
      <xdr:rowOff>190500</xdr:rowOff>
    </xdr:from>
    <xdr:to>
      <xdr:col>14</xdr:col>
      <xdr:colOff>364400</xdr:colOff>
      <xdr:row>106</xdr:row>
      <xdr:rowOff>97700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E8424EC3-89E6-7E4E-BD06-09F6AE64E1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1379200" y="23152100"/>
          <a:ext cx="720000" cy="720000"/>
        </a:xfrm>
        <a:prstGeom prst="rect">
          <a:avLst/>
        </a:prstGeom>
      </xdr:spPr>
    </xdr:pic>
    <xdr:clientData/>
  </xdr:twoCellAnchor>
  <xdr:twoCellAnchor editAs="oneCell">
    <xdr:from>
      <xdr:col>16</xdr:col>
      <xdr:colOff>571500</xdr:colOff>
      <xdr:row>102</xdr:row>
      <xdr:rowOff>190500</xdr:rowOff>
    </xdr:from>
    <xdr:to>
      <xdr:col>17</xdr:col>
      <xdr:colOff>453300</xdr:colOff>
      <xdr:row>106</xdr:row>
      <xdr:rowOff>97700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3ACCB5D-0B1D-A34C-A549-1ED8C880F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3982700" y="23152100"/>
          <a:ext cx="720000" cy="720000"/>
        </a:xfrm>
        <a:prstGeom prst="rect">
          <a:avLst/>
        </a:prstGeom>
      </xdr:spPr>
    </xdr:pic>
    <xdr:clientData/>
  </xdr:twoCellAnchor>
  <xdr:twoCellAnchor editAs="oneCell">
    <xdr:from>
      <xdr:col>19</xdr:col>
      <xdr:colOff>393700</xdr:colOff>
      <xdr:row>102</xdr:row>
      <xdr:rowOff>190500</xdr:rowOff>
    </xdr:from>
    <xdr:to>
      <xdr:col>20</xdr:col>
      <xdr:colOff>288200</xdr:colOff>
      <xdr:row>106</xdr:row>
      <xdr:rowOff>97700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DCD425E-E9CC-274A-9A1E-818390F3E5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6294100" y="23152100"/>
          <a:ext cx="720000" cy="720000"/>
        </a:xfrm>
        <a:prstGeom prst="rect">
          <a:avLst/>
        </a:prstGeom>
      </xdr:spPr>
    </xdr:pic>
    <xdr:clientData/>
  </xdr:twoCellAnchor>
  <xdr:twoCellAnchor editAs="oneCell">
    <xdr:from>
      <xdr:col>22</xdr:col>
      <xdr:colOff>469900</xdr:colOff>
      <xdr:row>102</xdr:row>
      <xdr:rowOff>190500</xdr:rowOff>
    </xdr:from>
    <xdr:to>
      <xdr:col>23</xdr:col>
      <xdr:colOff>364400</xdr:colOff>
      <xdr:row>106</xdr:row>
      <xdr:rowOff>97700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CA919076-1216-6A4B-B874-D9EA3731A4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8846800" y="23152100"/>
          <a:ext cx="720000" cy="720000"/>
        </a:xfrm>
        <a:prstGeom prst="rect">
          <a:avLst/>
        </a:prstGeom>
      </xdr:spPr>
    </xdr:pic>
    <xdr:clientData/>
  </xdr:twoCellAnchor>
  <xdr:twoCellAnchor editAs="oneCell">
    <xdr:from>
      <xdr:col>25</xdr:col>
      <xdr:colOff>355600</xdr:colOff>
      <xdr:row>102</xdr:row>
      <xdr:rowOff>190500</xdr:rowOff>
    </xdr:from>
    <xdr:to>
      <xdr:col>26</xdr:col>
      <xdr:colOff>250100</xdr:colOff>
      <xdr:row>106</xdr:row>
      <xdr:rowOff>97700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627C5C5B-81F2-9748-8E5F-0D85434C67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21209000" y="23152100"/>
          <a:ext cx="720000" cy="720000"/>
        </a:xfrm>
        <a:prstGeom prst="rect">
          <a:avLst/>
        </a:prstGeom>
      </xdr:spPr>
    </xdr:pic>
    <xdr:clientData/>
  </xdr:twoCellAnchor>
  <xdr:twoCellAnchor editAs="oneCell">
    <xdr:from>
      <xdr:col>13</xdr:col>
      <xdr:colOff>723900</xdr:colOff>
      <xdr:row>64</xdr:row>
      <xdr:rowOff>127000</xdr:rowOff>
    </xdr:from>
    <xdr:to>
      <xdr:col>14</xdr:col>
      <xdr:colOff>150406</xdr:colOff>
      <xdr:row>65</xdr:row>
      <xdr:rowOff>103800</xdr:rowOff>
    </xdr:to>
    <xdr:pic>
      <xdr:nvPicPr>
        <xdr:cNvPr id="32" name="Picture 31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2836BB7A-04F8-1842-A124-898C5FA5ECD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5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11620500" y="14884400"/>
          <a:ext cx="264706" cy="180000"/>
        </a:xfrm>
        <a:prstGeom prst="rect">
          <a:avLst/>
        </a:prstGeom>
      </xdr:spPr>
    </xdr:pic>
    <xdr:clientData/>
  </xdr:twoCellAnchor>
  <xdr:twoCellAnchor editAs="oneCell">
    <xdr:from>
      <xdr:col>13</xdr:col>
      <xdr:colOff>736600</xdr:colOff>
      <xdr:row>141</xdr:row>
      <xdr:rowOff>114300</xdr:rowOff>
    </xdr:from>
    <xdr:to>
      <xdr:col>14</xdr:col>
      <xdr:colOff>163106</xdr:colOff>
      <xdr:row>142</xdr:row>
      <xdr:rowOff>91100</xdr:rowOff>
    </xdr:to>
    <xdr:pic>
      <xdr:nvPicPr>
        <xdr:cNvPr id="49" name="Picture 48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133FECEC-2492-0D44-AFC2-6978979AA9C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5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11633200" y="31229300"/>
          <a:ext cx="264706" cy="180000"/>
        </a:xfrm>
        <a:prstGeom prst="rect">
          <a:avLst/>
        </a:prstGeom>
      </xdr:spPr>
    </xdr:pic>
    <xdr:clientData/>
  </xdr:twoCellAnchor>
  <xdr:twoCellAnchor editAs="oneCell">
    <xdr:from>
      <xdr:col>13</xdr:col>
      <xdr:colOff>558800</xdr:colOff>
      <xdr:row>147</xdr:row>
      <xdr:rowOff>88900</xdr:rowOff>
    </xdr:from>
    <xdr:to>
      <xdr:col>14</xdr:col>
      <xdr:colOff>368600</xdr:colOff>
      <xdr:row>150</xdr:row>
      <xdr:rowOff>91000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987E3CCD-63AD-064D-91EA-651334EC3B0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5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11455400" y="32423100"/>
          <a:ext cx="648000" cy="611700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200</xdr:row>
      <xdr:rowOff>50800</xdr:rowOff>
    </xdr:from>
    <xdr:to>
      <xdr:col>27</xdr:col>
      <xdr:colOff>215900</xdr:colOff>
      <xdr:row>239</xdr:row>
      <xdr:rowOff>12700</xdr:rowOff>
    </xdr:to>
    <xdr:graphicFrame macro="">
      <xdr:nvGraphicFramePr>
        <xdr:cNvPr id="42" name="Unit Trusts &amp; Shares">
          <a:extLst>
            <a:ext uri="{FF2B5EF4-FFF2-40B4-BE49-F238E27FC236}">
              <a16:creationId xmlns:a16="http://schemas.microsoft.com/office/drawing/2014/main" id="{ADD7CAF7-A7AB-CF4C-A963-767E031C7C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oneCellAnchor>
    <xdr:from>
      <xdr:col>13</xdr:col>
      <xdr:colOff>736600</xdr:colOff>
      <xdr:row>241</xdr:row>
      <xdr:rowOff>114300</xdr:rowOff>
    </xdr:from>
    <xdr:ext cx="264706" cy="180000"/>
    <xdr:pic>
      <xdr:nvPicPr>
        <xdr:cNvPr id="47" name="Picture 46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84C00530-AD28-394D-B237-80DF415DAF1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5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11633200" y="30949900"/>
          <a:ext cx="264706" cy="180000"/>
        </a:xfrm>
        <a:prstGeom prst="rect">
          <a:avLst/>
        </a:prstGeom>
      </xdr:spPr>
    </xdr:pic>
    <xdr:clientData/>
  </xdr:oneCellAnchor>
  <xdr:twoCellAnchor editAs="oneCell">
    <xdr:from>
      <xdr:col>13</xdr:col>
      <xdr:colOff>533400</xdr:colOff>
      <xdr:row>245</xdr:row>
      <xdr:rowOff>190500</xdr:rowOff>
    </xdr:from>
    <xdr:to>
      <xdr:col>14</xdr:col>
      <xdr:colOff>342900</xdr:colOff>
      <xdr:row>249</xdr:row>
      <xdr:rowOff>25400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B6653AF1-48C0-E342-8AB0-06E64A8651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30000" y="50126900"/>
          <a:ext cx="647700" cy="647700"/>
        </a:xfrm>
        <a:prstGeom prst="rect">
          <a:avLst/>
        </a:prstGeom>
      </xdr:spPr>
    </xdr:pic>
    <xdr:clientData/>
  </xdr:twoCellAnchor>
  <xdr:twoCellAnchor>
    <xdr:from>
      <xdr:col>1</xdr:col>
      <xdr:colOff>330200</xdr:colOff>
      <xdr:row>160</xdr:row>
      <xdr:rowOff>177800</xdr:rowOff>
    </xdr:from>
    <xdr:to>
      <xdr:col>8</xdr:col>
      <xdr:colOff>812800</xdr:colOff>
      <xdr:row>186</xdr:row>
      <xdr:rowOff>12700</xdr:rowOff>
    </xdr:to>
    <xdr:graphicFrame macro="">
      <xdr:nvGraphicFramePr>
        <xdr:cNvPr id="44" name="Chart 43">
          <a:extLst>
            <a:ext uri="{FF2B5EF4-FFF2-40B4-BE49-F238E27FC236}">
              <a16:creationId xmlns:a16="http://schemas.microsoft.com/office/drawing/2014/main" id="{2B0D381E-89EC-494A-BD10-2CDFE20D36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8</xdr:col>
      <xdr:colOff>444500</xdr:colOff>
      <xdr:row>160</xdr:row>
      <xdr:rowOff>152400</xdr:rowOff>
    </xdr:from>
    <xdr:to>
      <xdr:col>26</xdr:col>
      <xdr:colOff>647700</xdr:colOff>
      <xdr:row>185</xdr:row>
      <xdr:rowOff>190500</xdr:rowOff>
    </xdr:to>
    <xdr:graphicFrame macro="">
      <xdr:nvGraphicFramePr>
        <xdr:cNvPr id="56" name="Chart 55">
          <a:extLst>
            <a:ext uri="{FF2B5EF4-FFF2-40B4-BE49-F238E27FC236}">
              <a16:creationId xmlns:a16="http://schemas.microsoft.com/office/drawing/2014/main" id="{B1C5E129-640C-8D42-900C-B5A2DF6832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  <xdr:twoCellAnchor editAs="oneCell">
    <xdr:from>
      <xdr:col>1</xdr:col>
      <xdr:colOff>1193800</xdr:colOff>
      <xdr:row>154</xdr:row>
      <xdr:rowOff>127000</xdr:rowOff>
    </xdr:from>
    <xdr:to>
      <xdr:col>25</xdr:col>
      <xdr:colOff>762000</xdr:colOff>
      <xdr:row>158</xdr:row>
      <xdr:rowOff>25400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7" name="DATE 1">
              <a:extLst>
                <a:ext uri="{FF2B5EF4-FFF2-40B4-BE49-F238E27FC236}">
                  <a16:creationId xmlns:a16="http://schemas.microsoft.com/office/drawing/2014/main" id="{AE2D38DC-C930-8341-84A3-A47DFF5E6EB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DATE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12900" y="33604200"/>
              <a:ext cx="20078700" cy="711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Timeline: Works in Excel 2013 or higher. Do not move or resize.</a:t>
              </a:r>
            </a:p>
          </xdr:txBody>
        </xdr:sp>
      </mc:Fallback>
    </mc:AlternateContent>
    <xdr:clientData/>
  </xdr:twoCellAnchor>
  <xdr:twoCellAnchor editAs="oneCell">
    <xdr:from>
      <xdr:col>25</xdr:col>
      <xdr:colOff>444500</xdr:colOff>
      <xdr:row>190</xdr:row>
      <xdr:rowOff>88900</xdr:rowOff>
    </xdr:from>
    <xdr:to>
      <xdr:col>26</xdr:col>
      <xdr:colOff>339000</xdr:colOff>
      <xdr:row>193</xdr:row>
      <xdr:rowOff>199300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9170F93-4A7F-904C-B7B9-88C35C0537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21374100" y="40881300"/>
          <a:ext cx="720000" cy="720000"/>
        </a:xfrm>
        <a:prstGeom prst="rect">
          <a:avLst/>
        </a:prstGeom>
      </xdr:spPr>
    </xdr:pic>
    <xdr:clientData/>
  </xdr:twoCellAnchor>
  <xdr:twoCellAnchor editAs="oneCell">
    <xdr:from>
      <xdr:col>22</xdr:col>
      <xdr:colOff>457200</xdr:colOff>
      <xdr:row>190</xdr:row>
      <xdr:rowOff>114300</xdr:rowOff>
    </xdr:from>
    <xdr:to>
      <xdr:col>23</xdr:col>
      <xdr:colOff>351700</xdr:colOff>
      <xdr:row>194</xdr:row>
      <xdr:rowOff>21500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6D1F6EC-3F21-ED44-8D3C-A3065C0983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18910300" y="40906700"/>
          <a:ext cx="720000" cy="720000"/>
        </a:xfrm>
        <a:prstGeom prst="rect">
          <a:avLst/>
        </a:prstGeom>
      </xdr:spPr>
    </xdr:pic>
    <xdr:clientData/>
  </xdr:twoCellAnchor>
  <xdr:twoCellAnchor editAs="oneCell">
    <xdr:from>
      <xdr:col>16</xdr:col>
      <xdr:colOff>457200</xdr:colOff>
      <xdr:row>191</xdr:row>
      <xdr:rowOff>50800</xdr:rowOff>
    </xdr:from>
    <xdr:to>
      <xdr:col>17</xdr:col>
      <xdr:colOff>339000</xdr:colOff>
      <xdr:row>194</xdr:row>
      <xdr:rowOff>161200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3C34453-AC5D-5A47-83BA-5FDA75EBC4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3944600" y="41046400"/>
          <a:ext cx="720000" cy="720000"/>
        </a:xfrm>
        <a:prstGeom prst="rect">
          <a:avLst/>
        </a:prstGeom>
      </xdr:spPr>
    </xdr:pic>
    <xdr:clientData/>
  </xdr:twoCellAnchor>
  <xdr:twoCellAnchor editAs="oneCell">
    <xdr:from>
      <xdr:col>19</xdr:col>
      <xdr:colOff>355600</xdr:colOff>
      <xdr:row>190</xdr:row>
      <xdr:rowOff>190500</xdr:rowOff>
    </xdr:from>
    <xdr:to>
      <xdr:col>20</xdr:col>
      <xdr:colOff>342900</xdr:colOff>
      <xdr:row>194</xdr:row>
      <xdr:rowOff>190500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3CCF5588-8E67-3A41-B1FE-AF4F608EF3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6332200" y="40982900"/>
          <a:ext cx="812800" cy="812800"/>
        </a:xfrm>
        <a:prstGeom prst="rect">
          <a:avLst/>
        </a:prstGeom>
      </xdr:spPr>
    </xdr:pic>
    <xdr:clientData/>
  </xdr:twoCellAnchor>
  <xdr:twoCellAnchor editAs="oneCell">
    <xdr:from>
      <xdr:col>13</xdr:col>
      <xdr:colOff>457200</xdr:colOff>
      <xdr:row>191</xdr:row>
      <xdr:rowOff>50800</xdr:rowOff>
    </xdr:from>
    <xdr:to>
      <xdr:col>14</xdr:col>
      <xdr:colOff>339000</xdr:colOff>
      <xdr:row>194</xdr:row>
      <xdr:rowOff>161200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B6A722C-D801-1041-9A80-5BFEBAD8A2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1353800" y="41046400"/>
          <a:ext cx="720000" cy="720000"/>
        </a:xfrm>
        <a:prstGeom prst="rect">
          <a:avLst/>
        </a:prstGeom>
      </xdr:spPr>
    </xdr:pic>
    <xdr:clientData/>
  </xdr:twoCellAnchor>
  <xdr:twoCellAnchor editAs="oneCell">
    <xdr:from>
      <xdr:col>10</xdr:col>
      <xdr:colOff>469900</xdr:colOff>
      <xdr:row>191</xdr:row>
      <xdr:rowOff>50800</xdr:rowOff>
    </xdr:from>
    <xdr:to>
      <xdr:col>11</xdr:col>
      <xdr:colOff>364400</xdr:colOff>
      <xdr:row>194</xdr:row>
      <xdr:rowOff>161200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F4FB5875-C90F-D643-9729-4772C479CB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8864600" y="41046400"/>
          <a:ext cx="720000" cy="720000"/>
        </a:xfrm>
        <a:prstGeom prst="rect">
          <a:avLst/>
        </a:prstGeom>
      </xdr:spPr>
    </xdr:pic>
    <xdr:clientData/>
  </xdr:twoCellAnchor>
  <xdr:twoCellAnchor editAs="oneCell">
    <xdr:from>
      <xdr:col>7</xdr:col>
      <xdr:colOff>533400</xdr:colOff>
      <xdr:row>191</xdr:row>
      <xdr:rowOff>50800</xdr:rowOff>
    </xdr:from>
    <xdr:to>
      <xdr:col>8</xdr:col>
      <xdr:colOff>427900</xdr:colOff>
      <xdr:row>194</xdr:row>
      <xdr:rowOff>161200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649A9ADF-9A6A-E54E-B729-579BFEA586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451600" y="41046400"/>
          <a:ext cx="720000" cy="720000"/>
        </a:xfrm>
        <a:prstGeom prst="rect">
          <a:avLst/>
        </a:prstGeom>
      </xdr:spPr>
    </xdr:pic>
    <xdr:clientData/>
  </xdr:twoCellAnchor>
  <xdr:twoCellAnchor editAs="oneCell">
    <xdr:from>
      <xdr:col>4</xdr:col>
      <xdr:colOff>469900</xdr:colOff>
      <xdr:row>191</xdr:row>
      <xdr:rowOff>0</xdr:rowOff>
    </xdr:from>
    <xdr:to>
      <xdr:col>5</xdr:col>
      <xdr:colOff>364400</xdr:colOff>
      <xdr:row>194</xdr:row>
      <xdr:rowOff>110400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6E5A5985-305E-984C-87E7-2260136ED2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3911600" y="40995600"/>
          <a:ext cx="720000" cy="720000"/>
        </a:xfrm>
        <a:prstGeom prst="rect">
          <a:avLst/>
        </a:prstGeom>
      </xdr:spPr>
    </xdr:pic>
    <xdr:clientData/>
  </xdr:twoCellAnchor>
  <xdr:twoCellAnchor editAs="oneCell">
    <xdr:from>
      <xdr:col>1</xdr:col>
      <xdr:colOff>736600</xdr:colOff>
      <xdr:row>191</xdr:row>
      <xdr:rowOff>63500</xdr:rowOff>
    </xdr:from>
    <xdr:to>
      <xdr:col>2</xdr:col>
      <xdr:colOff>123100</xdr:colOff>
      <xdr:row>194</xdr:row>
      <xdr:rowOff>173900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D56CB215-0B33-DB42-9233-29A8D6C85F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155700" y="41059100"/>
          <a:ext cx="720000" cy="72000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778</xdr:row>
      <xdr:rowOff>25400</xdr:rowOff>
    </xdr:from>
    <xdr:to>
      <xdr:col>29</xdr:col>
      <xdr:colOff>0</xdr:colOff>
      <xdr:row>1048576</xdr:row>
      <xdr:rowOff>165100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4BD0EA0A-8F7A-9942-9FAB-B576AB5302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24231600" y="161163000"/>
          <a:ext cx="0" cy="81280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513</xdr:row>
      <xdr:rowOff>114300</xdr:rowOff>
    </xdr:from>
    <xdr:to>
      <xdr:col>29</xdr:col>
      <xdr:colOff>0</xdr:colOff>
      <xdr:row>1048576</xdr:row>
      <xdr:rowOff>165100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BA9DB279-4642-7347-B6A4-B89FAAFA5D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24231600" y="107403900"/>
          <a:ext cx="0" cy="812800"/>
        </a:xfrm>
        <a:prstGeom prst="rect">
          <a:avLst/>
        </a:prstGeom>
      </xdr:spPr>
    </xdr:pic>
    <xdr:clientData/>
  </xdr:twoCellAnchor>
  <xdr:twoCellAnchor editAs="oneCell">
    <xdr:from>
      <xdr:col>13</xdr:col>
      <xdr:colOff>533400</xdr:colOff>
      <xdr:row>252</xdr:row>
      <xdr:rowOff>177800</xdr:rowOff>
    </xdr:from>
    <xdr:to>
      <xdr:col>14</xdr:col>
      <xdr:colOff>381000</xdr:colOff>
      <xdr:row>256</xdr:row>
      <xdr:rowOff>50800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6C8870CA-6778-CD47-8065-20BED10702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11430000" y="53797200"/>
          <a:ext cx="685800" cy="685800"/>
        </a:xfrm>
        <a:prstGeom prst="rect">
          <a:avLst/>
        </a:prstGeom>
      </xdr:spPr>
    </xdr:pic>
    <xdr:clientData/>
  </xdr:twoCellAnchor>
  <xdr:twoCellAnchor editAs="oneCell">
    <xdr:from>
      <xdr:col>16</xdr:col>
      <xdr:colOff>444500</xdr:colOff>
      <xdr:row>252</xdr:row>
      <xdr:rowOff>101600</xdr:rowOff>
    </xdr:from>
    <xdr:to>
      <xdr:col>17</xdr:col>
      <xdr:colOff>419100</xdr:colOff>
      <xdr:row>256</xdr:row>
      <xdr:rowOff>101600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759DB5DC-7C46-0D4C-812A-5127A99563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13931900" y="53721000"/>
          <a:ext cx="812800" cy="812800"/>
        </a:xfrm>
        <a:prstGeom prst="rect">
          <a:avLst/>
        </a:prstGeom>
      </xdr:spPr>
    </xdr:pic>
    <xdr:clientData/>
  </xdr:twoCellAnchor>
  <xdr:twoCellAnchor editAs="oneCell">
    <xdr:from>
      <xdr:col>10</xdr:col>
      <xdr:colOff>431800</xdr:colOff>
      <xdr:row>252</xdr:row>
      <xdr:rowOff>101600</xdr:rowOff>
    </xdr:from>
    <xdr:to>
      <xdr:col>11</xdr:col>
      <xdr:colOff>419100</xdr:colOff>
      <xdr:row>256</xdr:row>
      <xdr:rowOff>101600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A81C58E2-66F0-3049-B522-BBBB8F75C7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8826500" y="53721000"/>
          <a:ext cx="812800" cy="812800"/>
        </a:xfrm>
        <a:prstGeom prst="rect">
          <a:avLst/>
        </a:prstGeom>
      </xdr:spPr>
    </xdr:pic>
    <xdr:clientData/>
  </xdr:twoCellAnchor>
  <xdr:oneCellAnchor>
    <xdr:from>
      <xdr:col>13</xdr:col>
      <xdr:colOff>736600</xdr:colOff>
      <xdr:row>263</xdr:row>
      <xdr:rowOff>114300</xdr:rowOff>
    </xdr:from>
    <xdr:ext cx="264706" cy="180000"/>
    <xdr:pic>
      <xdr:nvPicPr>
        <xdr:cNvPr id="60" name="Picture 59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7194EC8-A5AC-ED42-AF16-7A3CAE9B038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5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11633200" y="51498500"/>
          <a:ext cx="264706" cy="180000"/>
        </a:xfrm>
        <a:prstGeom prst="rect">
          <a:avLst/>
        </a:prstGeom>
      </xdr:spPr>
    </xdr:pic>
    <xdr:clientData/>
  </xdr:oneCellAnchor>
  <xdr:twoCellAnchor editAs="oneCell">
    <xdr:from>
      <xdr:col>13</xdr:col>
      <xdr:colOff>368300</xdr:colOff>
      <xdr:row>265</xdr:row>
      <xdr:rowOff>508000</xdr:rowOff>
    </xdr:from>
    <xdr:to>
      <xdr:col>14</xdr:col>
      <xdr:colOff>546100</xdr:colOff>
      <xdr:row>266</xdr:row>
      <xdr:rowOff>63500</xdr:rowOff>
    </xdr:to>
    <xdr:pic>
      <xdr:nvPicPr>
        <xdr:cNvPr id="40" name="Picture 39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43E690C9-B469-4E41-B87B-6F081DF0B8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11264900" y="56997600"/>
          <a:ext cx="1016000" cy="190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1955800</xdr:colOff>
      <xdr:row>3</xdr:row>
      <xdr:rowOff>215900</xdr:rowOff>
    </xdr:from>
    <xdr:to>
      <xdr:col>5</xdr:col>
      <xdr:colOff>1955800</xdr:colOff>
      <xdr:row>6</xdr:row>
      <xdr:rowOff>139700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08C7B3-DA06-1741-A6D6-3F439CBAF6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020300" y="977900"/>
          <a:ext cx="546100" cy="546100"/>
        </a:xfrm>
        <a:prstGeom prst="rect">
          <a:avLst/>
        </a:prstGeom>
      </xdr:spPr>
    </xdr:pic>
    <xdr:clientData/>
  </xdr:twoCellAnchor>
  <xdr:twoCellAnchor editAs="oneCell">
    <xdr:from>
      <xdr:col>5</xdr:col>
      <xdr:colOff>3220546</xdr:colOff>
      <xdr:row>4</xdr:row>
      <xdr:rowOff>0</xdr:rowOff>
    </xdr:from>
    <xdr:to>
      <xdr:col>5</xdr:col>
      <xdr:colOff>3220546</xdr:colOff>
      <xdr:row>6</xdr:row>
      <xdr:rowOff>38100</xdr:rowOff>
    </xdr:to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9A81BB7-327F-494A-8418-EE571F1B34D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 l="-1" r="-2083"/>
        <a:stretch/>
      </xdr:blipFill>
      <xdr:spPr>
        <a:xfrm>
          <a:off x="11285046" y="1049620"/>
          <a:ext cx="622300" cy="444500"/>
        </a:xfrm>
        <a:prstGeom prst="rect">
          <a:avLst/>
        </a:prstGeom>
      </xdr:spPr>
    </xdr:pic>
    <xdr:clientData/>
  </xdr:twoCellAnchor>
  <xdr:twoCellAnchor editAs="oneCell">
    <xdr:from>
      <xdr:col>5</xdr:col>
      <xdr:colOff>736600</xdr:colOff>
      <xdr:row>3</xdr:row>
      <xdr:rowOff>220940</xdr:rowOff>
    </xdr:from>
    <xdr:to>
      <xdr:col>5</xdr:col>
      <xdr:colOff>736600</xdr:colOff>
      <xdr:row>6</xdr:row>
      <xdr:rowOff>122520</xdr:rowOff>
    </xdr:to>
    <xdr:pic>
      <xdr:nvPicPr>
        <xdr:cNvPr id="4" name="Picture 3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DCA934A-CA20-7B4D-9F6F-4B750202A9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801100" y="982940"/>
          <a:ext cx="595318" cy="523880"/>
        </a:xfrm>
        <a:prstGeom prst="rect">
          <a:avLst/>
        </a:prstGeom>
      </xdr:spPr>
    </xdr:pic>
    <xdr:clientData/>
  </xdr:twoCellAnchor>
  <xdr:twoCellAnchor editAs="oneCell">
    <xdr:from>
      <xdr:col>7</xdr:col>
      <xdr:colOff>177902</xdr:colOff>
      <xdr:row>3</xdr:row>
      <xdr:rowOff>152400</xdr:rowOff>
    </xdr:from>
    <xdr:to>
      <xdr:col>7</xdr:col>
      <xdr:colOff>177902</xdr:colOff>
      <xdr:row>6</xdr:row>
      <xdr:rowOff>135220</xdr:rowOff>
    </xdr:to>
    <xdr:pic>
      <xdr:nvPicPr>
        <xdr:cNvPr id="5" name="Picture 4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C93098FF-9D41-1B41-88BE-8152C51087E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 t="-1"/>
        <a:stretch/>
      </xdr:blipFill>
      <xdr:spPr>
        <a:xfrm>
          <a:off x="12484202" y="914400"/>
          <a:ext cx="460771" cy="592420"/>
        </a:xfrm>
        <a:prstGeom prst="rect">
          <a:avLst/>
        </a:prstGeom>
      </xdr:spPr>
    </xdr:pic>
    <xdr:clientData/>
  </xdr:twoCellAnchor>
  <xdr:twoCellAnchor editAs="oneCell">
    <xdr:from>
      <xdr:col>8</xdr:col>
      <xdr:colOff>292100</xdr:colOff>
      <xdr:row>3</xdr:row>
      <xdr:rowOff>211420</xdr:rowOff>
    </xdr:from>
    <xdr:to>
      <xdr:col>8</xdr:col>
      <xdr:colOff>292100</xdr:colOff>
      <xdr:row>6</xdr:row>
      <xdr:rowOff>122520</xdr:rowOff>
    </xdr:to>
    <xdr:pic>
      <xdr:nvPicPr>
        <xdr:cNvPr id="6" name="Picture 5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73AF248D-9E4A-4E41-BDEC-0593E413B4A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 r="-4762"/>
        <a:stretch/>
      </xdr:blipFill>
      <xdr:spPr>
        <a:xfrm>
          <a:off x="13576300" y="973420"/>
          <a:ext cx="558800" cy="533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495300</xdr:colOff>
      <xdr:row>6</xdr:row>
      <xdr:rowOff>50800</xdr:rowOff>
    </xdr:from>
    <xdr:to>
      <xdr:col>5</xdr:col>
      <xdr:colOff>482600</xdr:colOff>
      <xdr:row>8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B89E358-9C9F-5B4B-AAC7-A2FF0F2A64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97300" y="1803400"/>
          <a:ext cx="812800" cy="812800"/>
        </a:xfrm>
        <a:prstGeom prst="rect">
          <a:avLst/>
        </a:prstGeom>
      </xdr:spPr>
    </xdr:pic>
    <xdr:clientData/>
  </xdr:twoCellAnchor>
  <xdr:twoCellAnchor editAs="oneCell">
    <xdr:from>
      <xdr:col>13</xdr:col>
      <xdr:colOff>800100</xdr:colOff>
      <xdr:row>5</xdr:row>
      <xdr:rowOff>330200</xdr:rowOff>
    </xdr:from>
    <xdr:to>
      <xdr:col>14</xdr:col>
      <xdr:colOff>787400</xdr:colOff>
      <xdr:row>7</xdr:row>
      <xdr:rowOff>304800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A6F06F9-3F0C-6440-9E52-196B3BD68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531600" y="1663700"/>
          <a:ext cx="812800" cy="812800"/>
        </a:xfrm>
        <a:prstGeom prst="rect">
          <a:avLst/>
        </a:prstGeom>
      </xdr:spPr>
    </xdr:pic>
    <xdr:clientData/>
  </xdr:twoCellAnchor>
  <xdr:twoCellAnchor editAs="oneCell">
    <xdr:from>
      <xdr:col>22</xdr:col>
      <xdr:colOff>800100</xdr:colOff>
      <xdr:row>5</xdr:row>
      <xdr:rowOff>406400</xdr:rowOff>
    </xdr:from>
    <xdr:to>
      <xdr:col>23</xdr:col>
      <xdr:colOff>787400</xdr:colOff>
      <xdr:row>7</xdr:row>
      <xdr:rowOff>381000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FC242CD-DD69-CF4D-887D-160E5F8A4B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961100" y="1739900"/>
          <a:ext cx="812800" cy="81280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27</xdr:row>
      <xdr:rowOff>0</xdr:rowOff>
    </xdr:from>
    <xdr:to>
      <xdr:col>24</xdr:col>
      <xdr:colOff>190500</xdr:colOff>
      <xdr:row>27</xdr:row>
      <xdr:rowOff>190500</xdr:rowOff>
    </xdr:to>
    <xdr:pic>
      <xdr:nvPicPr>
        <xdr:cNvPr id="5" name="Picture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6762B83-764D-8641-92A5-CA15B8F8EF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986500" y="7391400"/>
          <a:ext cx="1016000" cy="190500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ugulethu" refreshedDate="44133.768426504626" createdVersion="6" refreshedVersion="6" minRefreshableVersion="3" recordCount="78" xr:uid="{5A177AB9-B1C8-B043-96D7-152CEC3C34DA}">
  <cacheSource type="worksheet">
    <worksheetSource name="Debt"/>
  </cacheSource>
  <cacheFields count="15">
    <cacheField name="ACCOUNT" numFmtId="0">
      <sharedItems count="2">
        <s v="Student"/>
        <s v="Bond"/>
      </sharedItems>
    </cacheField>
    <cacheField name="DATE" numFmtId="14">
      <sharedItems containsSemiMixedTypes="0" containsNonDate="0" containsDate="1" containsString="0" minDate="2011-01-01T00:00:00" maxDate="2020-10-09T00:00:00" count="78">
        <d v="2011-01-01T00:00:00"/>
        <d v="2011-08-15T00:00:00"/>
        <d v="2011-12-15T00:00:00"/>
        <d v="2012-02-29T00:00:00"/>
        <d v="2012-03-31T00:00:00"/>
        <d v="2012-04-30T00:00:00"/>
        <d v="2012-05-31T00:00:00"/>
        <d v="2012-06-30T00:00:00"/>
        <d v="2012-07-31T00:00:00"/>
        <d v="2012-08-31T00:00:00"/>
        <d v="2012-09-30T00:00:00"/>
        <d v="2012-10-31T00:00:00"/>
        <d v="2012-11-30T00:00:00"/>
        <d v="2013-01-31T00:00:00"/>
        <d v="2013-04-30T00:00:00"/>
        <d v="2013-05-31T00:00:00"/>
        <d v="2013-07-31T00:00:00"/>
        <d v="2013-08-31T00:00:00"/>
        <d v="2016-09-01T00:00:00"/>
        <d v="2016-12-24T00:00:00"/>
        <d v="2017-01-28T00:00:00"/>
        <d v="2017-02-27T00:00:00"/>
        <d v="2017-03-27T00:00:00"/>
        <d v="2017-04-26T00:00:00"/>
        <d v="2017-05-26T00:00:00"/>
        <d v="2017-05-31T00:00:00"/>
        <d v="2017-06-27T00:00:00"/>
        <d v="2017-07-27T00:00:00"/>
        <d v="2017-08-21T00:00:00"/>
        <d v="2017-08-25T00:00:00"/>
        <d v="2017-09-27T00:00:00"/>
        <d v="2017-10-27T00:00:00"/>
        <d v="2017-11-21T00:00:00"/>
        <d v="2017-12-12T00:00:00"/>
        <d v="2017-12-21T00:00:00"/>
        <d v="2018-01-26T00:00:00"/>
        <d v="2018-02-15T00:00:00"/>
        <d v="2018-02-27T00:00:00"/>
        <d v="2018-03-27T00:00:00"/>
        <d v="2018-04-26T00:00:00"/>
        <d v="2018-05-21T00:00:00"/>
        <d v="2018-05-25T00:00:00"/>
        <d v="2018-06-27T00:00:00"/>
        <d v="2018-07-27T00:00:00"/>
        <d v="2018-08-21T00:00:00"/>
        <d v="2018-08-27T00:00:00"/>
        <d v="2018-09-27T00:00:00"/>
        <d v="2018-10-26T00:00:00"/>
        <d v="2018-11-15T00:00:00"/>
        <d v="2018-12-12T00:00:00"/>
        <d v="2019-01-25T00:00:00"/>
        <d v="2019-02-21T00:00:00"/>
        <d v="2019-02-25T00:00:00"/>
        <d v="2019-03-23T00:00:00"/>
        <d v="2019-04-25T00:00:00"/>
        <d v="2019-05-21T00:00:00"/>
        <d v="2019-05-24T00:00:00"/>
        <d v="2019-06-24T00:00:00"/>
        <d v="2019-07-25T00:00:00"/>
        <d v="2019-08-21T00:00:00"/>
        <d v="2019-08-23T00:00:00"/>
        <d v="2019-09-23T00:00:00"/>
        <d v="2019-10-24T00:00:00"/>
        <d v="2019-11-23T00:00:00"/>
        <d v="2019-11-25T00:00:00"/>
        <d v="2019-12-19T00:00:00"/>
        <d v="2019-12-23T00:00:00"/>
        <d v="2020-01-24T00:00:00"/>
        <d v="2020-01-25T00:00:00"/>
        <d v="2020-02-21T00:00:00"/>
        <d v="2020-03-26T00:00:00"/>
        <d v="2020-04-14T00:00:00"/>
        <d v="2020-05-04T00:00:00"/>
        <d v="2020-06-04T00:00:00"/>
        <d v="2020-06-30T00:00:00"/>
        <d v="2020-07-28T00:00:00"/>
        <d v="2020-08-21T00:00:00"/>
        <d v="2020-10-08T00:00:00"/>
      </sharedItems>
    </cacheField>
    <cacheField name="BRAND" numFmtId="0">
      <sharedItems/>
    </cacheField>
    <cacheField name="ITEM" numFmtId="0">
      <sharedItems/>
    </cacheField>
    <cacheField name="CATEGORY" numFmtId="0">
      <sharedItems containsBlank="1"/>
    </cacheField>
    <cacheField name="SUB-CATEGORY" numFmtId="0">
      <sharedItems containsBlank="1" count="4">
        <m/>
        <s v="NSFAS"/>
        <s v="Interest"/>
        <s v="Principal"/>
      </sharedItems>
    </cacheField>
    <cacheField name="OUTFLOW" numFmtId="0">
      <sharedItems containsString="0" containsBlank="1" containsNumber="1" minValue="4667.6499999999996" maxValue="508333.33"/>
    </cacheField>
    <cacheField name="INFLOW" numFmtId="0">
      <sharedItems containsString="0" containsBlank="1" containsNumber="1" containsInteger="1" minValue="850" maxValue="30000"/>
    </cacheField>
    <cacheField name="BOND" numFmtId="165">
      <sharedItems containsSemiMixedTypes="0" containsString="0" containsNumber="1" minValue="-508333.33" maxValue="0"/>
    </cacheField>
    <cacheField name="STUDENT" numFmtId="165">
      <sharedItems containsSemiMixedTypes="0" containsString="0" containsNumber="1" containsInteger="1" minValue="-17150" maxValue="0"/>
    </cacheField>
    <cacheField name="CREDIT" numFmtId="165">
      <sharedItems containsSemiMixedTypes="0" containsString="0" containsNumber="1" containsInteger="1" minValue="0" maxValue="0"/>
    </cacheField>
    <cacheField name="BALANCE" numFmtId="165">
      <sharedItems containsSemiMixedTypes="0" containsString="0" containsNumber="1" minValue="-508333.33" maxValue="0"/>
    </cacheField>
    <cacheField name="ERROR" numFmtId="0">
      <sharedItems/>
    </cacheField>
    <cacheField name="Field1" numFmtId="0" formula="OUTFLOW/BALANCE" databaseField="0"/>
    <cacheField name="Field2" numFmtId="0" formula="OUTFLOW/ABS(BALANCE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gugulethu" refreshedDate="44137.131071296295" missingItemsLimit="0" createdVersion="6" refreshedVersion="6" minRefreshableVersion="3" recordCount="2" xr:uid="{8BE470CC-507A-B54B-AFB1-A34AB7702099}">
  <cacheSource type="worksheet">
    <worksheetSource name="Investment"/>
  </cacheSource>
  <cacheFields count="21">
    <cacheField name="ACCOUNT" numFmtId="0">
      <sharedItems count="2">
        <s v="Deposit"/>
        <s v="Unit Trusts"/>
      </sharedItems>
    </cacheField>
    <cacheField name="DATE" numFmtId="14">
      <sharedItems containsSemiMixedTypes="0" containsNonDate="0" containsDate="1" containsString="0" minDate="2005-01-01T00:00:00" maxDate="2005-01-02T00:00:00" count="1">
        <d v="2005-01-01T00:00:00"/>
      </sharedItems>
    </cacheField>
    <cacheField name="BRAND" numFmtId="14">
      <sharedItems count="1">
        <s v="Starting"/>
      </sharedItems>
    </cacheField>
    <cacheField name="ITEM" numFmtId="0">
      <sharedItems count="1">
        <s v="Balance"/>
      </sharedItems>
    </cacheField>
    <cacheField name="CATEGORY" numFmtId="0">
      <sharedItems/>
    </cacheField>
    <cacheField name="SUB-CATEGORY" numFmtId="0">
      <sharedItems count="2">
        <s v="ABSA 12-Month"/>
        <s v="Stanlib High Equity Fund Of Funds"/>
      </sharedItems>
    </cacheField>
    <cacheField name="OUTFLOW" numFmtId="165">
      <sharedItems containsNonDate="0" containsString="0" containsBlank="1"/>
    </cacheField>
    <cacheField name="INFLOW" numFmtId="165">
      <sharedItems containsSemiMixedTypes="0" containsString="0" containsNumber="1" containsInteger="1" minValue="0" maxValue="0"/>
    </cacheField>
    <cacheField name="UNIT TRUSTS" numFmtId="165">
      <sharedItems containsSemiMixedTypes="0" containsString="0" containsNumber="1" containsInteger="1" minValue="0" maxValue="0"/>
    </cacheField>
    <cacheField name="TAX FREE" numFmtId="165">
      <sharedItems containsSemiMixedTypes="0" containsString="0" containsNumber="1" containsInteger="1" minValue="0" maxValue="0"/>
    </cacheField>
    <cacheField name="RETIREMENT" numFmtId="165">
      <sharedItems containsSemiMixedTypes="0" containsString="0" containsNumber="1" containsInteger="1" minValue="0" maxValue="0"/>
    </cacheField>
    <cacheField name="PROPERTY" numFmtId="165">
      <sharedItems containsSemiMixedTypes="0" containsString="0" containsNumber="1" containsInteger="1" minValue="0" maxValue="0"/>
    </cacheField>
    <cacheField name="SHARES" numFmtId="165">
      <sharedItems containsSemiMixedTypes="0" containsString="0" containsNumber="1" containsInteger="1" minValue="0" maxValue="0"/>
    </cacheField>
    <cacheField name="CRYPTO" numFmtId="165">
      <sharedItems containsSemiMixedTypes="0" containsString="0" containsNumber="1" containsInteger="1" minValue="0" maxValue="0"/>
    </cacheField>
    <cacheField name="DEPOSIT" numFmtId="165">
      <sharedItems containsSemiMixedTypes="0" containsString="0" containsNumber="1" containsInteger="1" minValue="0" maxValue="0"/>
    </cacheField>
    <cacheField name="BALANCE" numFmtId="165">
      <sharedItems containsSemiMixedTypes="0" containsString="0" containsNumber="1" containsInteger="1" minValue="0" maxValue="0"/>
    </cacheField>
    <cacheField name="ERROR" numFmtId="165">
      <sharedItems/>
    </cacheField>
    <cacheField name="Field1" numFmtId="0" formula="INFLOW-OUTFLOW" databaseField="0"/>
    <cacheField name="VALUE" numFmtId="0" formula=" MAX(INFLOW-OUTFLOW,0)" databaseField="0"/>
    <cacheField name="Field2" numFmtId="0" formula="INFLOW-OUTFLOW" databaseField="0"/>
    <cacheField name="Field3" numFmtId="0" formula="MAX(INFLOW-OUTFLOW,0)" databaseField="0"/>
  </cacheFields>
  <extLst>
    <ext xmlns:x14="http://schemas.microsoft.com/office/spreadsheetml/2009/9/main" uri="{725AE2AE-9491-48be-B2B4-4EB974FC3084}">
      <x14:pivotCacheDefinition pivotCacheId="737421175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gugulethu" refreshedDate="44137.131074189812" missingItemsLimit="0" createdVersion="6" refreshedVersion="6" minRefreshableVersion="3" recordCount="6" xr:uid="{3057F8A1-70B4-9941-9CF3-61F9C1AADD8E}">
  <cacheSource type="worksheet">
    <worksheetSource name="Transactions"/>
  </cacheSource>
  <cacheFields count="18">
    <cacheField name="ACCOUNT" numFmtId="49">
      <sharedItems/>
    </cacheField>
    <cacheField name="DATE" numFmtId="14">
      <sharedItems containsSemiMixedTypes="0" containsNonDate="0" containsDate="1" containsString="0" minDate="2005-01-01T00:00:00" maxDate="2005-01-02T00:00:00" count="1">
        <d v="2005-01-01T00:00:00"/>
      </sharedItems>
    </cacheField>
    <cacheField name="BRAND" numFmtId="0">
      <sharedItems containsNonDate="0" containsString="0" containsBlank="1"/>
    </cacheField>
    <cacheField name="ITEM" numFmtId="0">
      <sharedItems count="1">
        <s v="Starting Balance"/>
      </sharedItems>
    </cacheField>
    <cacheField name="QUANTITY" numFmtId="0">
      <sharedItems containsNonDate="0" containsString="0" containsBlank="1"/>
    </cacheField>
    <cacheField name="UNIT" numFmtId="0">
      <sharedItems containsNonDate="0" containsString="0" containsBlank="1" count="1">
        <m/>
      </sharedItems>
    </cacheField>
    <cacheField name="CATEGORY" numFmtId="0">
      <sharedItems containsNonDate="0" containsString="0" containsBlank="1" count="1">
        <m/>
      </sharedItems>
    </cacheField>
    <cacheField name="SUB-CATEGORY" numFmtId="0">
      <sharedItems containsNonDate="0" containsString="0" containsBlank="1" count="1">
        <m/>
      </sharedItems>
    </cacheField>
    <cacheField name="NOTE" numFmtId="0">
      <sharedItems containsNonDate="0" containsString="0" containsBlank="1"/>
    </cacheField>
    <cacheField name="OUTFLOW" numFmtId="165">
      <sharedItems containsNonDate="0" containsString="0" containsBlank="1"/>
    </cacheField>
    <cacheField name="INFLOW" numFmtId="165">
      <sharedItems containsSemiMixedTypes="0" containsString="0" containsNumber="1" containsInteger="1" minValue="0" maxValue="0"/>
    </cacheField>
    <cacheField name="DEBIT" numFmtId="165">
      <sharedItems containsSemiMixedTypes="0" containsString="0" containsNumber="1" containsInteger="1" minValue="0" maxValue="0"/>
    </cacheField>
    <cacheField name="CASH" numFmtId="165">
      <sharedItems containsSemiMixedTypes="0" containsString="0" containsNumber="1" containsInteger="1" minValue="0" maxValue="0"/>
    </cacheField>
    <cacheField name="SAVINGS" numFmtId="165">
      <sharedItems containsSemiMixedTypes="0" containsString="0" containsNumber="1" containsInteger="1" minValue="0" maxValue="0"/>
    </cacheField>
    <cacheField name="CREDIT" numFmtId="165">
      <sharedItems containsSemiMixedTypes="0" containsString="0" containsNumber="1" containsInteger="1" minValue="0" maxValue="0"/>
    </cacheField>
    <cacheField name="BALANCE" numFmtId="165">
      <sharedItems containsSemiMixedTypes="0" containsString="0" containsNumber="1" containsInteger="1" minValue="0" maxValue="0"/>
    </cacheField>
    <cacheField name="ERROR" numFmtId="165">
      <sharedItems/>
    </cacheField>
    <cacheField name="Net" numFmtId="0" formula="OUTFLOW-INFLOW" databaseField="0"/>
  </cacheFields>
  <extLst>
    <ext xmlns:x14="http://schemas.microsoft.com/office/spreadsheetml/2009/9/main" uri="{725AE2AE-9491-48be-B2B4-4EB974FC3084}">
      <x14:pivotCacheDefinition pivotCacheId="1388460348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8">
  <r>
    <x v="0"/>
    <x v="0"/>
    <s v="Starting"/>
    <s v="Balance"/>
    <m/>
    <x v="0"/>
    <n v="17150"/>
    <m/>
    <n v="0"/>
    <n v="-17150"/>
    <n v="0"/>
    <n v="-17150"/>
    <s v="●"/>
  </r>
  <r>
    <x v="0"/>
    <x v="1"/>
    <s v="Transfer"/>
    <s v="Debit"/>
    <s v="Loan"/>
    <x v="1"/>
    <m/>
    <n v="1000"/>
    <n v="0"/>
    <n v="-16150"/>
    <n v="0"/>
    <n v="-16150"/>
    <s v="⇠"/>
  </r>
  <r>
    <x v="0"/>
    <x v="2"/>
    <s v="Transfer"/>
    <s v="Debit"/>
    <s v="Loan"/>
    <x v="1"/>
    <m/>
    <n v="850"/>
    <n v="0"/>
    <n v="-15300"/>
    <n v="0"/>
    <n v="-15300"/>
    <s v="⇠"/>
  </r>
  <r>
    <x v="0"/>
    <x v="3"/>
    <s v="Transfer"/>
    <s v="Debit"/>
    <s v="Loan"/>
    <x v="1"/>
    <m/>
    <n v="1700"/>
    <n v="0"/>
    <n v="-13600"/>
    <n v="0"/>
    <n v="-13600"/>
    <s v="⇠"/>
  </r>
  <r>
    <x v="0"/>
    <x v="4"/>
    <s v="Transfer"/>
    <s v="Debit"/>
    <s v="Loan"/>
    <x v="1"/>
    <m/>
    <n v="850"/>
    <n v="0"/>
    <n v="-12750"/>
    <n v="0"/>
    <n v="-12750"/>
    <s v="⇠"/>
  </r>
  <r>
    <x v="0"/>
    <x v="5"/>
    <s v="Transfer"/>
    <s v="Debit"/>
    <s v="Loan"/>
    <x v="1"/>
    <m/>
    <n v="850"/>
    <n v="0"/>
    <n v="-11900"/>
    <n v="0"/>
    <n v="-11900"/>
    <s v="⇠"/>
  </r>
  <r>
    <x v="0"/>
    <x v="6"/>
    <s v="Transfer"/>
    <s v="Debit"/>
    <s v="Loan"/>
    <x v="1"/>
    <m/>
    <n v="850"/>
    <n v="0"/>
    <n v="-11050"/>
    <n v="0"/>
    <n v="-11050"/>
    <s v="⇠"/>
  </r>
  <r>
    <x v="0"/>
    <x v="7"/>
    <s v="Transfer"/>
    <s v="Debit"/>
    <s v="Loan"/>
    <x v="1"/>
    <m/>
    <n v="850"/>
    <n v="0"/>
    <n v="-10200"/>
    <n v="0"/>
    <n v="-10200"/>
    <s v="⇠"/>
  </r>
  <r>
    <x v="0"/>
    <x v="8"/>
    <s v="Transfer"/>
    <s v="Debit"/>
    <s v="Loan"/>
    <x v="1"/>
    <m/>
    <n v="850"/>
    <n v="0"/>
    <n v="-9350"/>
    <n v="0"/>
    <n v="-9350"/>
    <s v="⇠"/>
  </r>
  <r>
    <x v="0"/>
    <x v="9"/>
    <s v="Transfer"/>
    <s v="Debit"/>
    <s v="Loan"/>
    <x v="1"/>
    <m/>
    <n v="850"/>
    <n v="0"/>
    <n v="-8500"/>
    <n v="0"/>
    <n v="-8500"/>
    <s v="⇠"/>
  </r>
  <r>
    <x v="0"/>
    <x v="10"/>
    <s v="Transfer"/>
    <s v="Debit"/>
    <s v="Loan"/>
    <x v="1"/>
    <m/>
    <n v="850"/>
    <n v="0"/>
    <n v="-7650"/>
    <n v="0"/>
    <n v="-7650"/>
    <s v="⇠"/>
  </r>
  <r>
    <x v="0"/>
    <x v="11"/>
    <s v="Transfer"/>
    <s v="Debit"/>
    <s v="Loan"/>
    <x v="1"/>
    <m/>
    <n v="850"/>
    <n v="0"/>
    <n v="-6800"/>
    <n v="0"/>
    <n v="-6800"/>
    <s v="⇠"/>
  </r>
  <r>
    <x v="0"/>
    <x v="12"/>
    <s v="Transfer"/>
    <s v="Debit"/>
    <s v="Loan"/>
    <x v="1"/>
    <m/>
    <n v="850"/>
    <n v="0"/>
    <n v="-5950"/>
    <n v="0"/>
    <n v="-5950"/>
    <s v="⇠"/>
  </r>
  <r>
    <x v="0"/>
    <x v="13"/>
    <s v="Transfer"/>
    <s v="Debit"/>
    <s v="Loan"/>
    <x v="1"/>
    <m/>
    <n v="2250"/>
    <n v="0"/>
    <n v="-3700"/>
    <n v="0"/>
    <n v="-3700"/>
    <s v="⇠"/>
  </r>
  <r>
    <x v="0"/>
    <x v="14"/>
    <s v="Transfer"/>
    <s v="Debit"/>
    <s v="Loan"/>
    <x v="1"/>
    <m/>
    <n v="850"/>
    <n v="0"/>
    <n v="-2850"/>
    <n v="0"/>
    <n v="-2850"/>
    <s v="⇠"/>
  </r>
  <r>
    <x v="0"/>
    <x v="15"/>
    <s v="Transfer"/>
    <s v="Debit"/>
    <s v="Loan"/>
    <x v="1"/>
    <m/>
    <n v="850"/>
    <n v="0"/>
    <n v="-2000"/>
    <n v="0"/>
    <n v="-2000"/>
    <s v="⇠"/>
  </r>
  <r>
    <x v="0"/>
    <x v="16"/>
    <s v="Transfer"/>
    <s v="Debit"/>
    <s v="Loan"/>
    <x v="1"/>
    <m/>
    <n v="1000"/>
    <n v="0"/>
    <n v="-1000"/>
    <n v="0"/>
    <n v="-1000"/>
    <s v="⇠"/>
  </r>
  <r>
    <x v="0"/>
    <x v="17"/>
    <s v="Transfer"/>
    <s v="Debit"/>
    <s v="Loan"/>
    <x v="1"/>
    <m/>
    <n v="1000"/>
    <n v="0"/>
    <n v="0"/>
    <n v="0"/>
    <n v="0"/>
    <s v="⇠"/>
  </r>
  <r>
    <x v="1"/>
    <x v="18"/>
    <s v="Starting"/>
    <s v="Balance"/>
    <m/>
    <x v="0"/>
    <n v="508333.33"/>
    <m/>
    <n v="-508333.33"/>
    <n v="0"/>
    <n v="0"/>
    <n v="-508333.33"/>
    <s v="●"/>
  </r>
  <r>
    <x v="1"/>
    <x v="19"/>
    <s v="Transfer"/>
    <s v="Debit"/>
    <s v="Loan"/>
    <x v="2"/>
    <m/>
    <n v="5620"/>
    <n v="-502713.33"/>
    <n v="0"/>
    <n v="0"/>
    <n v="-502713.33"/>
    <s v="⇠"/>
  </r>
  <r>
    <x v="1"/>
    <x v="20"/>
    <s v="Transfer"/>
    <s v="Savings"/>
    <s v="Loan"/>
    <x v="2"/>
    <m/>
    <n v="5620"/>
    <n v="-497093.33"/>
    <n v="0"/>
    <n v="0"/>
    <n v="-497093.33"/>
    <s v="●"/>
  </r>
  <r>
    <x v="1"/>
    <x v="21"/>
    <s v="Transfer"/>
    <s v="Debit"/>
    <s v="Loan"/>
    <x v="2"/>
    <m/>
    <n v="5620"/>
    <n v="-491473.33"/>
    <n v="0"/>
    <n v="0"/>
    <n v="-491473.33"/>
    <s v="⇠"/>
  </r>
  <r>
    <x v="1"/>
    <x v="22"/>
    <s v="Transfer"/>
    <s v="Debit"/>
    <s v="Loan"/>
    <x v="2"/>
    <m/>
    <n v="6000"/>
    <n v="-485473.33"/>
    <n v="0"/>
    <n v="0"/>
    <n v="-485473.33"/>
    <s v="⇠"/>
  </r>
  <r>
    <x v="1"/>
    <x v="23"/>
    <s v="Transfer"/>
    <s v="Debit"/>
    <s v="Loan"/>
    <x v="2"/>
    <m/>
    <n v="7000"/>
    <n v="-478473.33"/>
    <n v="0"/>
    <n v="0"/>
    <n v="-478473.33"/>
    <s v="⇠"/>
  </r>
  <r>
    <x v="1"/>
    <x v="24"/>
    <s v="Transfer"/>
    <s v="Debit"/>
    <s v="Loan"/>
    <x v="2"/>
    <m/>
    <n v="6000"/>
    <n v="-472473.33"/>
    <n v="0"/>
    <n v="0"/>
    <n v="-472473.33"/>
    <s v="⇠"/>
  </r>
  <r>
    <x v="1"/>
    <x v="25"/>
    <s v="SA Home Loan"/>
    <s v="Bond Interest"/>
    <s v="Loan"/>
    <x v="2"/>
    <n v="14964.99"/>
    <m/>
    <n v="-487438.32"/>
    <n v="0"/>
    <n v="0"/>
    <n v="-487438.32"/>
    <s v="●"/>
  </r>
  <r>
    <x v="1"/>
    <x v="26"/>
    <s v="Transfer"/>
    <s v="Debit"/>
    <s v="Loan"/>
    <x v="2"/>
    <m/>
    <n v="6000"/>
    <n v="-481438.32"/>
    <n v="0"/>
    <n v="0"/>
    <n v="-481438.32"/>
    <s v="⇠"/>
  </r>
  <r>
    <x v="1"/>
    <x v="27"/>
    <s v="Transfer"/>
    <s v="Debit"/>
    <s v="Loan"/>
    <x v="2"/>
    <m/>
    <n v="6000"/>
    <n v="-475438.32"/>
    <n v="0"/>
    <n v="0"/>
    <n v="-475438.32"/>
    <s v="⇠"/>
  </r>
  <r>
    <x v="1"/>
    <x v="28"/>
    <s v="SA Home Loan"/>
    <s v="Bond Interest"/>
    <s v="Loan"/>
    <x v="2"/>
    <n v="4667.6499999999996"/>
    <m/>
    <n v="-480105.97000000003"/>
    <n v="0"/>
    <n v="0"/>
    <n v="-480105.97000000003"/>
    <s v="●"/>
  </r>
  <r>
    <x v="1"/>
    <x v="29"/>
    <s v="Transfer"/>
    <s v="Debit"/>
    <s v="Loan"/>
    <x v="2"/>
    <m/>
    <n v="6000"/>
    <n v="-474105.97000000003"/>
    <n v="0"/>
    <n v="0"/>
    <n v="-474105.97000000003"/>
    <s v="⇠"/>
  </r>
  <r>
    <x v="1"/>
    <x v="30"/>
    <s v="Transfer"/>
    <s v="Debit"/>
    <s v="Loan"/>
    <x v="2"/>
    <m/>
    <n v="6000"/>
    <n v="-468105.97000000003"/>
    <n v="0"/>
    <n v="0"/>
    <n v="-468105.97000000003"/>
    <s v="⇠"/>
  </r>
  <r>
    <x v="1"/>
    <x v="31"/>
    <s v="Transfer"/>
    <s v="Debit"/>
    <s v="Loan"/>
    <x v="2"/>
    <m/>
    <n v="6000"/>
    <n v="-462105.97000000003"/>
    <n v="0"/>
    <n v="0"/>
    <n v="-462105.97000000003"/>
    <s v="⇠"/>
  </r>
  <r>
    <x v="1"/>
    <x v="32"/>
    <s v="SA Home Loan"/>
    <s v="Bond Interest"/>
    <s v="Loan"/>
    <x v="2"/>
    <n v="12925.03"/>
    <m/>
    <n v="-475031.00000000006"/>
    <n v="0"/>
    <n v="0"/>
    <n v="-475031.00000000006"/>
    <s v="●"/>
  </r>
  <r>
    <x v="1"/>
    <x v="33"/>
    <s v="Transfer"/>
    <s v="Debit"/>
    <s v="Loan"/>
    <x v="2"/>
    <m/>
    <n v="10000"/>
    <n v="-465031.00000000006"/>
    <n v="0"/>
    <n v="0"/>
    <n v="-465031.00000000006"/>
    <s v="⇠"/>
  </r>
  <r>
    <x v="1"/>
    <x v="34"/>
    <s v="Transfer"/>
    <s v="Debit"/>
    <s v="Loan"/>
    <x v="2"/>
    <m/>
    <n v="2500"/>
    <n v="-462531.00000000006"/>
    <n v="0"/>
    <n v="0"/>
    <n v="-462531.00000000006"/>
    <s v="⇠"/>
  </r>
  <r>
    <x v="1"/>
    <x v="35"/>
    <s v="Transfer"/>
    <s v="Debit"/>
    <s v="Loan"/>
    <x v="2"/>
    <m/>
    <n v="6000"/>
    <n v="-456531.00000000006"/>
    <n v="0"/>
    <n v="0"/>
    <n v="-456531.00000000006"/>
    <s v="⇠"/>
  </r>
  <r>
    <x v="1"/>
    <x v="36"/>
    <s v="SA Home Loan"/>
    <s v="Bond Interest"/>
    <s v="Loan"/>
    <x v="2"/>
    <n v="12224.8"/>
    <m/>
    <n v="-468755.80000000005"/>
    <n v="0"/>
    <n v="0"/>
    <n v="-468755.80000000005"/>
    <s v="●"/>
  </r>
  <r>
    <x v="1"/>
    <x v="37"/>
    <s v="Transfer"/>
    <s v="Debit"/>
    <s v="Loan"/>
    <x v="2"/>
    <m/>
    <n v="6000"/>
    <n v="-462755.80000000005"/>
    <n v="0"/>
    <n v="0"/>
    <n v="-462755.80000000005"/>
    <s v="⇠"/>
  </r>
  <r>
    <x v="1"/>
    <x v="38"/>
    <s v="Transfer"/>
    <s v="Debit"/>
    <s v="Loan"/>
    <x v="2"/>
    <m/>
    <n v="6000"/>
    <n v="-456755.80000000005"/>
    <n v="0"/>
    <n v="0"/>
    <n v="-456755.80000000005"/>
    <s v="⇠"/>
  </r>
  <r>
    <x v="1"/>
    <x v="39"/>
    <s v="Transfer"/>
    <s v="Debit"/>
    <s v="Loan"/>
    <x v="2"/>
    <m/>
    <n v="6000"/>
    <n v="-450755.80000000005"/>
    <n v="0"/>
    <n v="0"/>
    <n v="-450755.80000000005"/>
    <s v="⇠"/>
  </r>
  <r>
    <x v="1"/>
    <x v="40"/>
    <s v="SA Home Loan"/>
    <s v="Bond Interest"/>
    <s v="Loan"/>
    <x v="2"/>
    <n v="6801.4"/>
    <m/>
    <n v="-457557.20000000007"/>
    <n v="0"/>
    <n v="0"/>
    <n v="-457557.20000000007"/>
    <s v="●"/>
  </r>
  <r>
    <x v="1"/>
    <x v="41"/>
    <s v="Transfer"/>
    <s v="Debit"/>
    <s v="Loan"/>
    <x v="3"/>
    <m/>
    <n v="6000"/>
    <n v="-451557.20000000007"/>
    <n v="0"/>
    <n v="0"/>
    <n v="-451557.20000000007"/>
    <s v="⇠"/>
  </r>
  <r>
    <x v="1"/>
    <x v="42"/>
    <s v="Transfer"/>
    <s v="Debit"/>
    <s v="Loan"/>
    <x v="3"/>
    <m/>
    <n v="6000"/>
    <n v="-445557.20000000007"/>
    <n v="0"/>
    <n v="0"/>
    <n v="-445557.20000000007"/>
    <s v="⇠"/>
  </r>
  <r>
    <x v="1"/>
    <x v="43"/>
    <s v="Transfer"/>
    <s v="Debit"/>
    <s v="Loan"/>
    <x v="3"/>
    <m/>
    <n v="6000"/>
    <n v="-439557.20000000007"/>
    <n v="0"/>
    <n v="0"/>
    <n v="-439557.20000000007"/>
    <s v="⇠"/>
  </r>
  <r>
    <x v="1"/>
    <x v="44"/>
    <s v="SA Home Loan"/>
    <s v="Bond Interest"/>
    <s v="Loan"/>
    <x v="2"/>
    <n v="12430.8"/>
    <m/>
    <n v="-451988.00000000006"/>
    <n v="0"/>
    <n v="0"/>
    <n v="-451988.00000000006"/>
    <s v="●"/>
  </r>
  <r>
    <x v="1"/>
    <x v="45"/>
    <s v="Transfer"/>
    <s v="Debit"/>
    <s v="Loan"/>
    <x v="3"/>
    <m/>
    <n v="6000"/>
    <n v="-445988.00000000006"/>
    <n v="0"/>
    <n v="0"/>
    <n v="-445988.00000000006"/>
    <s v="⇠"/>
  </r>
  <r>
    <x v="1"/>
    <x v="46"/>
    <s v="Transfer"/>
    <s v="Debit"/>
    <s v="Loan"/>
    <x v="3"/>
    <m/>
    <n v="6000"/>
    <n v="-439988.00000000006"/>
    <n v="0"/>
    <n v="0"/>
    <n v="-439988.00000000006"/>
    <s v="⇠"/>
  </r>
  <r>
    <x v="1"/>
    <x v="47"/>
    <s v="Transfer"/>
    <s v="Debit"/>
    <s v="Loan"/>
    <x v="3"/>
    <m/>
    <n v="6000"/>
    <n v="-433988.00000000006"/>
    <n v="0"/>
    <n v="0"/>
    <n v="-433988.00000000006"/>
    <s v="⇠"/>
  </r>
  <r>
    <x v="1"/>
    <x v="48"/>
    <s v="SA Home Loan"/>
    <s v="Bond Interest"/>
    <s v="Loan"/>
    <x v="2"/>
    <n v="12768.4"/>
    <m/>
    <n v="-446756.40000000008"/>
    <n v="0"/>
    <n v="0"/>
    <n v="-446756.40000000008"/>
    <s v="●"/>
  </r>
  <r>
    <x v="1"/>
    <x v="49"/>
    <s v="Transfer"/>
    <s v="Debit"/>
    <s v="Loan"/>
    <x v="3"/>
    <m/>
    <n v="30000"/>
    <n v="-416756.40000000008"/>
    <n v="0"/>
    <n v="0"/>
    <n v="-416756.40000000008"/>
    <s v="⇠"/>
  </r>
  <r>
    <x v="1"/>
    <x v="50"/>
    <s v="Transfer"/>
    <s v="Savings"/>
    <s v="Loan"/>
    <x v="3"/>
    <m/>
    <n v="7000"/>
    <n v="-409756.40000000008"/>
    <n v="0"/>
    <n v="0"/>
    <n v="-409756.40000000008"/>
    <s v="●"/>
  </r>
  <r>
    <x v="1"/>
    <x v="51"/>
    <s v="SA Home Loan"/>
    <s v="Bond Interest"/>
    <s v="Loan"/>
    <x v="2"/>
    <n v="20798.3"/>
    <m/>
    <n v="-430554.70000000007"/>
    <n v="0"/>
    <n v="0"/>
    <n v="-430554.70000000007"/>
    <s v="●"/>
  </r>
  <r>
    <x v="1"/>
    <x v="52"/>
    <s v="Transfer"/>
    <s v="Debit"/>
    <s v="Loan"/>
    <x v="3"/>
    <m/>
    <n v="7000"/>
    <n v="-423554.70000000007"/>
    <n v="0"/>
    <n v="0"/>
    <n v="-423554.70000000007"/>
    <s v="⇠"/>
  </r>
  <r>
    <x v="1"/>
    <x v="53"/>
    <s v="Transfer"/>
    <s v="Debit"/>
    <s v="Loan"/>
    <x v="3"/>
    <m/>
    <n v="7000"/>
    <n v="-416554.70000000007"/>
    <n v="0"/>
    <n v="0"/>
    <n v="-416554.70000000007"/>
    <s v="⇠"/>
  </r>
  <r>
    <x v="1"/>
    <x v="54"/>
    <s v="Transfer"/>
    <s v="Debit"/>
    <s v="Loan"/>
    <x v="3"/>
    <m/>
    <n v="7000"/>
    <n v="-409554.70000000007"/>
    <n v="0"/>
    <n v="0"/>
    <n v="-409554.70000000007"/>
    <s v="⇠"/>
  </r>
  <r>
    <x v="1"/>
    <x v="55"/>
    <s v="SA Home Loan"/>
    <s v="Bond Interest"/>
    <s v="Loan"/>
    <x v="2"/>
    <n v="11459.6"/>
    <m/>
    <n v="-421014.30000000005"/>
    <n v="0"/>
    <n v="0"/>
    <n v="-421014.30000000005"/>
    <s v="●"/>
  </r>
  <r>
    <x v="1"/>
    <x v="56"/>
    <s v="Transfer"/>
    <s v="Debit"/>
    <s v="Loan"/>
    <x v="3"/>
    <m/>
    <n v="10000"/>
    <n v="-411014.30000000005"/>
    <n v="0"/>
    <n v="0"/>
    <n v="-411014.30000000005"/>
    <s v="⇠"/>
  </r>
  <r>
    <x v="1"/>
    <x v="57"/>
    <s v="Transfer"/>
    <s v="Debit"/>
    <s v="Loan"/>
    <x v="3"/>
    <m/>
    <n v="7000"/>
    <n v="-404014.30000000005"/>
    <n v="0"/>
    <n v="0"/>
    <n v="-404014.30000000005"/>
    <s v="⇠"/>
  </r>
  <r>
    <x v="1"/>
    <x v="58"/>
    <s v="Transfer"/>
    <s v="Debit"/>
    <s v="Loan"/>
    <x v="3"/>
    <m/>
    <n v="7000"/>
    <n v="-397014.30000000005"/>
    <n v="0"/>
    <n v="0"/>
    <n v="-397014.30000000005"/>
    <s v="⇠"/>
  </r>
  <r>
    <x v="1"/>
    <x v="59"/>
    <s v="SA Home Loan"/>
    <s v="Bond Interest"/>
    <s v="Loan"/>
    <x v="2"/>
    <n v="16789.310000000001"/>
    <m/>
    <n v="-413803.61000000004"/>
    <n v="0"/>
    <n v="0"/>
    <n v="-413803.61000000004"/>
    <s v="●"/>
  </r>
  <r>
    <x v="1"/>
    <x v="60"/>
    <s v="Transfer"/>
    <s v="Debit"/>
    <s v="Loan"/>
    <x v="3"/>
    <m/>
    <n v="7000"/>
    <n v="-406803.61000000004"/>
    <n v="0"/>
    <n v="0"/>
    <n v="-406803.61000000004"/>
    <s v="⇠"/>
  </r>
  <r>
    <x v="1"/>
    <x v="61"/>
    <s v="Transfer"/>
    <s v="Debit"/>
    <s v="Loan"/>
    <x v="3"/>
    <m/>
    <n v="7000"/>
    <n v="-399803.61000000004"/>
    <n v="0"/>
    <n v="0"/>
    <n v="-399803.61000000004"/>
    <s v="⇠"/>
  </r>
  <r>
    <x v="1"/>
    <x v="62"/>
    <s v="Transfer"/>
    <s v="Debit"/>
    <s v="Loan"/>
    <x v="3"/>
    <m/>
    <n v="7100"/>
    <n v="-392703.61000000004"/>
    <n v="0"/>
    <n v="0"/>
    <n v="-392703.61000000004"/>
    <s v="⇠"/>
  </r>
  <r>
    <x v="1"/>
    <x v="63"/>
    <s v="Transfer"/>
    <s v="Debit"/>
    <s v="Loan"/>
    <x v="3"/>
    <m/>
    <n v="7000"/>
    <n v="-385703.61000000004"/>
    <n v="0"/>
    <n v="0"/>
    <n v="-385703.61000000004"/>
    <s v="⇠"/>
  </r>
  <r>
    <x v="1"/>
    <x v="64"/>
    <s v="Transfer"/>
    <s v="Debit"/>
    <s v="Loan"/>
    <x v="3"/>
    <m/>
    <n v="7000"/>
    <n v="-378703.61000000004"/>
    <n v="0"/>
    <n v="0"/>
    <n v="-378703.61000000004"/>
    <s v="⇠"/>
  </r>
  <r>
    <x v="1"/>
    <x v="65"/>
    <s v="Transfer"/>
    <s v="Debit"/>
    <s v="Loan"/>
    <x v="3"/>
    <m/>
    <n v="7000"/>
    <n v="-371703.61000000004"/>
    <n v="0"/>
    <n v="0"/>
    <n v="-371703.61000000004"/>
    <s v="⇠"/>
  </r>
  <r>
    <x v="1"/>
    <x v="66"/>
    <s v="Transfer"/>
    <s v="Debit"/>
    <s v="Loan"/>
    <x v="3"/>
    <m/>
    <n v="7000"/>
    <n v="-364703.61000000004"/>
    <n v="0"/>
    <n v="0"/>
    <n v="-364703.61000000004"/>
    <s v="⇠"/>
  </r>
  <r>
    <x v="1"/>
    <x v="67"/>
    <s v="Transfer"/>
    <s v="Debit"/>
    <s v="Loan"/>
    <x v="3"/>
    <m/>
    <n v="14000"/>
    <n v="-350703.61000000004"/>
    <n v="0"/>
    <n v="0"/>
    <n v="-350703.61000000004"/>
    <s v="⇠"/>
  </r>
  <r>
    <x v="1"/>
    <x v="68"/>
    <s v="Transfer"/>
    <s v="Debit"/>
    <s v="Loan"/>
    <x v="3"/>
    <m/>
    <n v="14000"/>
    <n v="-336703.61000000004"/>
    <n v="0"/>
    <n v="0"/>
    <n v="-336703.61000000004"/>
    <s v="⇠"/>
  </r>
  <r>
    <x v="1"/>
    <x v="69"/>
    <s v="SA Home Loan"/>
    <s v="Bond Interest"/>
    <s v="Loan"/>
    <x v="2"/>
    <n v="63148.083333333001"/>
    <m/>
    <n v="-399851.69333333307"/>
    <n v="0"/>
    <n v="0"/>
    <n v="-399851.69333333307"/>
    <s v="●"/>
  </r>
  <r>
    <x v="1"/>
    <x v="70"/>
    <s v="Transfer"/>
    <s v="Debit"/>
    <s v="Loan"/>
    <x v="3"/>
    <m/>
    <n v="3500"/>
    <n v="-396351.69333333307"/>
    <n v="0"/>
    <n v="0"/>
    <n v="-396351.69333333307"/>
    <s v="⇠"/>
  </r>
  <r>
    <x v="1"/>
    <x v="71"/>
    <s v="Transfer"/>
    <s v="Debit"/>
    <s v="Loan"/>
    <x v="3"/>
    <m/>
    <n v="3500"/>
    <n v="-392851.69333333307"/>
    <n v="0"/>
    <n v="0"/>
    <n v="-392851.69333333307"/>
    <s v="⇠"/>
  </r>
  <r>
    <x v="1"/>
    <x v="72"/>
    <s v="Transfer"/>
    <s v="Debit"/>
    <s v="Loan"/>
    <x v="3"/>
    <m/>
    <n v="7000"/>
    <n v="-385851.69333333307"/>
    <n v="0"/>
    <n v="0"/>
    <n v="-385851.69333333307"/>
    <s v="⇠"/>
  </r>
  <r>
    <x v="1"/>
    <x v="73"/>
    <s v="Transfer"/>
    <s v="Debit"/>
    <s v="Loan"/>
    <x v="3"/>
    <m/>
    <n v="7000"/>
    <n v="-378851.69333333307"/>
    <n v="0"/>
    <n v="0"/>
    <n v="-378851.69333333307"/>
    <s v="⇠"/>
  </r>
  <r>
    <x v="1"/>
    <x v="74"/>
    <s v="Transfer"/>
    <s v="Savings"/>
    <s v="Loan"/>
    <x v="3"/>
    <m/>
    <n v="7000"/>
    <n v="-371851.69333333307"/>
    <n v="0"/>
    <n v="0"/>
    <n v="-371851.69333333307"/>
    <s v="●"/>
  </r>
  <r>
    <x v="1"/>
    <x v="75"/>
    <s v="Transfer"/>
    <s v="Debit"/>
    <s v="Loan"/>
    <x v="3"/>
    <m/>
    <n v="7000"/>
    <n v="-364851.69333333307"/>
    <n v="0"/>
    <n v="0"/>
    <n v="-364851.69333333307"/>
    <s v="⇠"/>
  </r>
  <r>
    <x v="1"/>
    <x v="76"/>
    <s v="SA Home Loan"/>
    <s v="Bond Interest"/>
    <s v="Loan"/>
    <x v="2"/>
    <n v="13405.446666667005"/>
    <m/>
    <n v="-378257.14000000007"/>
    <n v="0"/>
    <n v="0"/>
    <n v="-378257.14000000007"/>
    <s v="●"/>
  </r>
  <r>
    <x v="1"/>
    <x v="77"/>
    <s v="Transfer"/>
    <s v="Debit"/>
    <s v="Loan"/>
    <x v="3"/>
    <m/>
    <n v="5000"/>
    <n v="-373257.14000000007"/>
    <n v="0"/>
    <n v="0"/>
    <n v="-373257.14000000007"/>
    <s v="⇠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">
  <r>
    <x v="0"/>
    <x v="0"/>
    <x v="0"/>
    <x v="0"/>
    <s v="Fixed Deposit"/>
    <x v="0"/>
    <m/>
    <n v="0"/>
    <n v="0"/>
    <n v="0"/>
    <n v="0"/>
    <n v="0"/>
    <n v="0"/>
    <n v="0"/>
    <n v="0"/>
    <n v="0"/>
    <s v="●"/>
  </r>
  <r>
    <x v="1"/>
    <x v="0"/>
    <x v="0"/>
    <x v="0"/>
    <s v="Investment"/>
    <x v="1"/>
    <m/>
    <n v="0"/>
    <n v="0"/>
    <n v="0"/>
    <n v="0"/>
    <n v="0"/>
    <n v="0"/>
    <n v="0"/>
    <n v="0"/>
    <n v="0"/>
    <s v="●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s v="Cash"/>
    <x v="0"/>
    <m/>
    <x v="0"/>
    <m/>
    <x v="0"/>
    <x v="0"/>
    <x v="0"/>
    <m/>
    <m/>
    <n v="0"/>
    <n v="0"/>
    <n v="0"/>
    <n v="0"/>
    <n v="0"/>
    <n v="0"/>
    <s v="●"/>
  </r>
  <r>
    <s v="Credit"/>
    <x v="0"/>
    <m/>
    <x v="0"/>
    <m/>
    <x v="0"/>
    <x v="0"/>
    <x v="0"/>
    <m/>
    <m/>
    <n v="0"/>
    <n v="0"/>
    <n v="0"/>
    <n v="0"/>
    <n v="0"/>
    <n v="0"/>
    <s v="●"/>
  </r>
  <r>
    <s v="Debit"/>
    <x v="0"/>
    <m/>
    <x v="0"/>
    <m/>
    <x v="0"/>
    <x v="0"/>
    <x v="0"/>
    <m/>
    <m/>
    <n v="0"/>
    <n v="0"/>
    <n v="0"/>
    <n v="0"/>
    <n v="0"/>
    <n v="0"/>
    <s v="●"/>
  </r>
  <r>
    <s v="Gift"/>
    <x v="0"/>
    <m/>
    <x v="0"/>
    <m/>
    <x v="0"/>
    <x v="0"/>
    <x v="0"/>
    <m/>
    <m/>
    <n v="0"/>
    <n v="0"/>
    <n v="0"/>
    <n v="0"/>
    <n v="0"/>
    <n v="0"/>
    <s v="●"/>
  </r>
  <r>
    <s v="Paypal"/>
    <x v="0"/>
    <m/>
    <x v="0"/>
    <m/>
    <x v="0"/>
    <x v="0"/>
    <x v="0"/>
    <m/>
    <m/>
    <n v="0"/>
    <n v="0"/>
    <n v="0"/>
    <n v="0"/>
    <n v="0"/>
    <n v="0"/>
    <s v="●"/>
  </r>
  <r>
    <s v="Savings"/>
    <x v="0"/>
    <m/>
    <x v="0"/>
    <m/>
    <x v="0"/>
    <x v="0"/>
    <x v="0"/>
    <m/>
    <m/>
    <n v="0"/>
    <n v="0"/>
    <n v="0"/>
    <n v="0"/>
    <n v="0"/>
    <n v="0"/>
    <s v="●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631065-8F6F-BD45-AD2C-95ABAFD5AD56}" name="Accounts" cacheId="16" applyNumberFormats="0" applyBorderFormats="0" applyFontFormats="0" applyPatternFormats="0" applyAlignmentFormats="0" applyWidthHeightFormats="1" dataCaption="Values" showMissing="0" updatedVersion="6" minRefreshableVersion="5" showDrill="0" showDataTips="0" enableDrill="0" useAutoFormatting="1" rowGrandTotals="0" colGrandTotals="0" createdVersion="6" indent="0" outline="1" outlineData="1" multipleFieldFilters="0" chartFormat="4">
  <location ref="A1:E1" firstHeaderRow="0" firstDataRow="1" firstDataCol="1"/>
  <pivotFields count="18">
    <pivotField showAll="0"/>
    <pivotField axis="axisRow" showAll="0" sortType="ascending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numFmtId="165" showAll="0"/>
    <pivotField showAll="0"/>
    <pivotField dragToRow="0" dragToCol="0" dragToPage="0" showAll="0" defaultSubtotal="0"/>
  </pivotFields>
  <rowFields count="1">
    <field x="1"/>
  </rowField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DEBIT " fld="11" subtotal="max" baseField="0" baseItem="0"/>
    <dataField name="CASH " fld="12" subtotal="max" baseField="0" baseItem="0"/>
    <dataField name="SAVINGS " fld="13" subtotal="max" baseField="0" baseItem="0"/>
    <dataField name="CREDIT " fld="14" subtotal="max" baseField="0" baseItem="0"/>
  </dataFields>
  <chartFormats count="4">
    <chartFormat chart="2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1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16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showRowHeaders="1" showColHeaders="1" showRowStripes="0" showColStripes="0" showLastColumn="1"/>
  <filters count="1">
    <filter fld="1" type="dateBetween" evalOrder="-1" id="1533" name="DATE">
      <autoFilter ref="A1">
        <filterColumn colId="0">
          <customFilters and="1">
            <customFilter operator="greaterThanOrEqual" val="44105"/>
            <customFilter operator="lessThanOrEqual" val="44196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364BE6-C0A8-9F4B-BD67-0C1E76166EC4}" name="Income" cacheId="16" applyNumberFormats="0" applyBorderFormats="0" applyFontFormats="0" applyPatternFormats="0" applyAlignmentFormats="0" applyWidthHeightFormats="1" dataCaption="Values" updatedVersion="6" minRefreshableVersion="5" useAutoFormatting="1" colGrandTotals="0" itemPrintTitles="1" createdVersion="6" indent="0" outline="1" outlineData="1" multipleFieldFilters="0" chartFormat="11">
  <location ref="H3:I4" firstHeaderRow="1" firstDataRow="1" firstDataCol="1" rowPageCount="1" colPageCount="1"/>
  <pivotFields count="18">
    <pivotField showAll="0"/>
    <pivotField showAll="0">
      <items count="2">
        <item x="0"/>
        <item t="default"/>
      </items>
    </pivotField>
    <pivotField showAll="0"/>
    <pivotField showAll="0"/>
    <pivotField showAll="0"/>
    <pivotField showAll="0"/>
    <pivotField axis="axisPage" multipleItemSelectionAllowed="1" showAll="0">
      <items count="2">
        <item x="0"/>
        <item t="default"/>
      </items>
    </pivotField>
    <pivotField axis="axisRow" showAll="0">
      <items count="2">
        <item x="0"/>
        <item t="default"/>
      </items>
    </pivotField>
    <pivotField showAll="0"/>
    <pivotField showAll="0"/>
    <pivotField dataField="1" multipleItemSelectionAllowed="1" showAll="0"/>
    <pivotField showAll="0"/>
    <pivotField showAll="0"/>
    <pivotField showAll="0"/>
    <pivotField showAll="0"/>
    <pivotField numFmtId="165" showAll="0"/>
    <pivotField showAll="0"/>
    <pivotField dragToRow="0" dragToCol="0" dragToPage="0" showAll="0" defaultSubtotal="0"/>
  </pivotFields>
  <rowFields count="1">
    <field x="7"/>
  </rowFields>
  <rowItems count="1">
    <i t="grand">
      <x/>
    </i>
  </rowItems>
  <colItems count="1">
    <i/>
  </colItems>
  <pageFields count="1">
    <pageField fld="6" hier="-1"/>
  </pageFields>
  <dataFields count="1">
    <dataField name="Sum of INFLOW" fld="10" showDataAs="percentOfCol" baseField="6" baseItem="7" numFmtId="9"/>
  </dataFields>
  <chartFormats count="2">
    <chartFormat chart="9" format="4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57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filters count="1">
    <filter fld="1" type="dateBetween" evalOrder="-1" id="1648" name="DATE">
      <autoFilter ref="A1">
        <filterColumn colId="0">
          <customFilters and="1">
            <customFilter operator="greaterThanOrEqual" val="44105"/>
            <customFilter operator="lessThanOrEqual" val="44196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90F253-8212-7C49-A927-49B79DDE78DC}" name="PivotTable4" cacheId="16" applyNumberFormats="0" applyBorderFormats="0" applyFontFormats="0" applyPatternFormats="0" applyAlignmentFormats="0" applyWidthHeightFormats="1" dataCaption="Values" updatedVersion="6" minRefreshableVersion="5" useAutoFormatting="1" itemPrintTitles="1" createdVersion="6" indent="0" outline="1" outlineData="1" multipleFieldFilters="0" chartFormat="3">
  <location ref="A1:B2" firstHeaderRow="1" firstDataRow="1" firstDataCol="1"/>
  <pivotFields count="18">
    <pivotField showAll="0"/>
    <pivotField showAll="0">
      <items count="2">
        <item x="0"/>
        <item t="default"/>
      </items>
    </pivotField>
    <pivotField showAll="0"/>
    <pivotField showAll="0"/>
    <pivotField showAll="0"/>
    <pivotField showAll="0"/>
    <pivotField axis="axisRow" showAll="0">
      <items count="2">
        <item x="0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numFmtId="165" showAll="0"/>
    <pivotField showAll="0"/>
    <pivotField dragToRow="0" dragToCol="0" dragToPage="0" showAll="0" defaultSubtotal="0"/>
  </pivotFields>
  <rowFields count="1">
    <field x="6"/>
  </rowFields>
  <rowItems count="1">
    <i t="grand">
      <x/>
    </i>
  </rowItems>
  <colItems count="1">
    <i/>
  </colItems>
  <dataFields count="1">
    <dataField name="Sum of Outflow" fld="9" baseField="0" baseItem="0" numFmtId="165"/>
  </dataFields>
  <chartFormats count="2">
    <chartFormat chart="2" format="1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7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filters count="1">
    <filter fld="1" type="dateBetween" evalOrder="-1" id="1648" name="DATE">
      <autoFilter ref="A1">
        <filterColumn colId="0">
          <customFilters and="1">
            <customFilter operator="greaterThanOrEqual" val="44105"/>
            <customFilter operator="lessThanOrEqual" val="44196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CBA312-09A5-AF4E-AB16-D51034061FF6}" name="PivotTable6" cacheId="16" applyNumberFormats="0" applyBorderFormats="0" applyFontFormats="0" applyPatternFormats="0" applyAlignmentFormats="0" applyWidthHeightFormats="1" dataCaption="Values" missingCaption="0" updatedVersion="6" minRefreshableVersion="5" useAutoFormatting="1" rowGrandTotals="0" colGrandTotals="0" itemPrintTitles="1" createdVersion="6" indent="0" outline="1" outlineData="1" multipleFieldFilters="0" chartFormat="6">
  <location ref="G3:H3" firstHeaderRow="1" firstDataRow="1" firstDataCol="1" rowPageCount="1" colPageCount="1"/>
  <pivotFields count="18">
    <pivotField showAll="0"/>
    <pivotField axis="axisRow" showAll="0" sortType="ascending">
      <items count="2">
        <item x="0"/>
        <item t="default"/>
      </items>
    </pivotField>
    <pivotField showAll="0"/>
    <pivotField showAll="0"/>
    <pivotField showAll="0"/>
    <pivotField showAll="0"/>
    <pivotField axis="axisPage" multipleItemSelectionAllowed="1" showAll="0">
      <items count="2">
        <item x="0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numFmtId="165" showAll="0"/>
    <pivotField showAll="0"/>
    <pivotField dragToRow="0" dragToCol="0" dragToPage="0" showAll="0" defaultSubtotal="0"/>
  </pivotFields>
  <rowFields count="1">
    <field x="1"/>
  </rowFields>
  <colItems count="1">
    <i/>
  </colItems>
  <pageFields count="1">
    <pageField fld="6" hier="-1"/>
  </pageFields>
  <dataFields count="1">
    <dataField name="Sum of Outflow" fld="9" baseField="0" baseItem="0" numFmtId="165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5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filters count="1">
    <filter fld="1" type="dateBetween" evalOrder="-1" id="1521" name="DATE">
      <autoFilter ref="A1">
        <filterColumn colId="0">
          <customFilters and="1">
            <customFilter operator="greaterThanOrEqual" val="44105"/>
            <customFilter operator="lessThanOrEqual" val="44196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AA3B62-1E53-4440-AAF9-27C2A2197D34}" name="PivotTable1" cacheId="16" applyNumberFormats="0" applyBorderFormats="0" applyFontFormats="0" applyPatternFormats="0" applyAlignmentFormats="0" applyWidthHeightFormats="1" dataCaption="Values" missingCaption="0" updatedVersion="6" minRefreshableVersion="5" useAutoFormatting="1" itemPrintTitles="1" createdVersion="6" indent="0" outline="1" outlineData="1" multipleFieldFilters="0" chartFormat="8">
  <location ref="O3:P5" firstHeaderRow="1" firstDataRow="2" firstDataCol="1" rowPageCount="1" colPageCount="1"/>
  <pivotFields count="18">
    <pivotField showAll="0"/>
    <pivotField showAll="0" sortType="ascending">
      <items count="2">
        <item x="0"/>
        <item t="default"/>
      </items>
    </pivotField>
    <pivotField showAll="0"/>
    <pivotField showAll="0"/>
    <pivotField dataField="1" showAll="0"/>
    <pivotField axis="axisCol" showAll="0">
      <items count="2">
        <item x="0"/>
        <item t="default"/>
      </items>
    </pivotField>
    <pivotField axis="axisPage" multipleItemSelectionAllowed="1" showAll="0">
      <items count="2">
        <item x="0"/>
        <item t="default"/>
      </items>
    </pivotField>
    <pivotField axis="axisRow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165" showAll="0"/>
    <pivotField showAll="0"/>
    <pivotField dragToRow="0" dragToCol="0" dragToPage="0" showAll="0" defaultSubtotal="0"/>
  </pivotFields>
  <rowFields count="1">
    <field x="7"/>
  </rowFields>
  <rowItems count="1">
    <i t="grand">
      <x/>
    </i>
  </rowItems>
  <colFields count="1">
    <field x="5"/>
  </colFields>
  <colItems count="1">
    <i t="grand">
      <x/>
    </i>
  </colItems>
  <pageFields count="1">
    <pageField fld="6" hier="-1"/>
  </pageFields>
  <dataFields count="1">
    <dataField name="Sum of QUANTITY" fld="4" baseField="0" baseItem="0" numFmtId="1"/>
  </dataFields>
  <pivotTableStyleInfo showRowHeaders="1" showColHeaders="1" showRowStripes="0" showColStripes="0" showLastColumn="1"/>
  <filters count="1">
    <filter fld="1" type="dateBetween" evalOrder="-1" id="1547" name="DATE">
      <autoFilter ref="A1">
        <filterColumn colId="0">
          <customFilters and="1">
            <customFilter operator="greaterThanOrEqual" val="44105"/>
            <customFilter operator="lessThanOrEqual" val="44196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FF6024C-BBAF-364E-B31A-C47A53E3AA07}" name="PivotTable2" cacheId="16" applyNumberFormats="0" applyBorderFormats="0" applyFontFormats="0" applyPatternFormats="0" applyAlignmentFormats="0" applyWidthHeightFormats="1" dataCaption="Values" updatedVersion="6" minRefreshableVersion="5" useAutoFormatting="1" itemPrintTitles="1" createdVersion="6" indent="0" outline="1" outlineData="1" multipleFieldFilters="0">
  <location ref="AB4:AE5" firstHeaderRow="0" firstDataRow="1" firstDataCol="1" rowPageCount="1" colPageCount="1"/>
  <pivotFields count="18">
    <pivotField showAll="0"/>
    <pivotField axis="axisRow" numFmtId="14" showAll="0">
      <items count="2">
        <item x="0"/>
        <item t="default"/>
      </items>
    </pivotField>
    <pivotField showAll="0"/>
    <pivotField axis="axisPage" multipleItemSelectionAllowed="1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dataField="1" showAll="0"/>
    <pivotField dataField="1" showAll="0"/>
    <pivotField numFmtId="165" showAll="0"/>
    <pivotField numFmtId="165" showAll="0"/>
    <pivotField numFmtId="165" showAll="0"/>
    <pivotField numFmtId="165" showAll="0"/>
    <pivotField numFmtId="165" showAll="0"/>
    <pivotField showAll="0"/>
    <pivotField dataField="1" dragToRow="0" dragToCol="0" dragToPage="0" showAll="0" defaultSubtotal="0"/>
  </pivotFields>
  <rowFields count="1">
    <field x="1"/>
  </rowFields>
  <rowItems count="1"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3" hier="-1"/>
  </pageFields>
  <dataFields count="3">
    <dataField name="Sum of OUTFLOW" fld="9" baseField="0" baseItem="0"/>
    <dataField name="Sum of INFLOW" fld="10" baseField="0" baseItem="0"/>
    <dataField name="Sum of Net" fld="17" baseField="0" baseItem="0"/>
  </dataFields>
  <pivotTableStyleInfo showRowHeaders="1" showColHeaders="1" showRowStripes="0" showColStripes="0" showLastColumn="1"/>
  <filters count="1">
    <filter fld="1" type="dateBetween" evalOrder="-1" id="341" name="DATE">
      <autoFilter ref="A1">
        <filterColumn colId="0">
          <customFilters and="1">
            <customFilter operator="greaterThanOrEqual" val="44105"/>
            <customFilter operator="lessThanOrEqual" val="44196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AAF7A1D-8C94-8947-B66F-C11F775F2E28}" name="PivotTable5" cacheId="16" applyNumberFormats="0" applyBorderFormats="0" applyFontFormats="0" applyPatternFormats="0" applyAlignmentFormats="0" applyWidthHeightFormats="1" dataCaption="Values" updatedVersion="6" minRefreshableVersion="5" useAutoFormatting="1" itemPrintTitles="1" createdVersion="6" indent="0" outline="1" outlineData="1" multipleFieldFilters="0" chartFormat="3">
  <location ref="D1:D2" firstHeaderRow="1" firstDataRow="1" firstDataCol="0"/>
  <pivotFields count="18">
    <pivotField showAll="0"/>
    <pivotField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numFmtId="165" showAll="0"/>
    <pivotField showAll="0"/>
    <pivotField dragToRow="0" dragToCol="0" dragToPage="0" showAll="0" defaultSubtotal="0"/>
  </pivotFields>
  <rowItems count="1">
    <i/>
  </rowItems>
  <colItems count="1">
    <i/>
  </colItems>
  <dataFields count="1">
    <dataField name="Sum of Outflow" fld="9" baseField="0" baseItem="0" numFmtId="165"/>
  </dataFields>
  <chartFormats count="2">
    <chartFormat chart="2" format="9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79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filters count="1">
    <filter fld="1" type="dateBetween" evalOrder="-1" id="1648" name="DATE">
      <autoFilter ref="A1">
        <filterColumn colId="0">
          <customFilters and="1">
            <customFilter operator="greaterThanOrEqual" val="44105"/>
            <customFilter operator="lessThanOrEqual" val="44196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1B91A8-7B97-5E46-823E-50B6C2D01E7B}" name="PivotTable3" cacheId="16" applyNumberFormats="0" applyBorderFormats="0" applyFontFormats="0" applyPatternFormats="0" applyAlignmentFormats="0" applyWidthHeightFormats="1" dataCaption="Values" updatedVersion="6" minRefreshableVersion="5" useAutoFormatting="1" itemPrintTitles="1" createdVersion="6" indent="0" outline="1" outlineData="1" multipleFieldFilters="0">
  <location ref="AG4:AJ5" firstHeaderRow="0" firstDataRow="1" firstDataCol="1" rowPageCount="1" colPageCount="1"/>
  <pivotFields count="18">
    <pivotField showAll="0"/>
    <pivotField axis="axisRow" numFmtId="14" showAll="0">
      <items count="2">
        <item x="0"/>
        <item t="default"/>
      </items>
    </pivotField>
    <pivotField showAll="0"/>
    <pivotField axis="axisPage" multipleItemSelectionAllowed="1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dataField="1" showAll="0"/>
    <pivotField dataField="1" showAll="0"/>
    <pivotField numFmtId="165" showAll="0"/>
    <pivotField numFmtId="165" showAll="0"/>
    <pivotField numFmtId="165" showAll="0"/>
    <pivotField numFmtId="165" showAll="0"/>
    <pivotField numFmtId="165" showAll="0"/>
    <pivotField showAll="0"/>
    <pivotField dataField="1" dragToRow="0" dragToCol="0" dragToPage="0" showAll="0" defaultSubtotal="0"/>
  </pivotFields>
  <rowFields count="1">
    <field x="1"/>
  </rowFields>
  <rowItems count="1"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3" hier="-1"/>
  </pageFields>
  <dataFields count="3">
    <dataField name="Sum of OUTFLOW" fld="9" baseField="0" baseItem="0"/>
    <dataField name="Sum of INFLOW" fld="10" baseField="0" baseItem="0"/>
    <dataField name="Sum of Net" fld="17" baseField="0" baseItem="0"/>
  </dataFields>
  <pivotTableStyleInfo showRowHeaders="1" showColHeaders="1" showRowStripes="0" showColStripes="0" showLastColumn="1"/>
  <filters count="1">
    <filter fld="1" type="dateBetween" evalOrder="-1" id="341" name="DATE">
      <autoFilter ref="A1">
        <filterColumn colId="0">
          <customFilters and="1">
            <customFilter operator="greaterThanOrEqual" val="44105"/>
            <customFilter operator="lessThanOrEqual" val="44196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3FE1E6-AB4D-8043-9AD1-7BAE537CFB7C}" name="PivotTable7" cacheId="16" applyNumberFormats="0" applyBorderFormats="0" applyFontFormats="0" applyPatternFormats="0" applyAlignmentFormats="0" applyWidthHeightFormats="1" dataCaption="Values" missingCaption="0" updatedVersion="6" minRefreshableVersion="5" useAutoFormatting="1" itemPrintTitles="1" createdVersion="6" indent="0" outline="1" outlineData="1" multipleFieldFilters="0" chartFormat="8">
  <location ref="K3:L4" firstHeaderRow="1" firstDataRow="1" firstDataCol="1" rowPageCount="1" colPageCount="1"/>
  <pivotFields count="18">
    <pivotField showAll="0"/>
    <pivotField showAll="0" sortType="ascending">
      <items count="2">
        <item x="0"/>
        <item t="default"/>
      </items>
    </pivotField>
    <pivotField showAll="0"/>
    <pivotField showAll="0"/>
    <pivotField showAll="0"/>
    <pivotField showAll="0"/>
    <pivotField axis="axisPage" multipleItemSelectionAllowed="1" showAll="0">
      <items count="2">
        <item x="0"/>
        <item t="default"/>
      </items>
    </pivotField>
    <pivotField axis="axisRow" showAll="0">
      <items count="2">
        <item x="0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numFmtId="165" showAll="0"/>
    <pivotField showAll="0"/>
    <pivotField dragToRow="0" dragToCol="0" dragToPage="0" showAll="0" defaultSubtotal="0"/>
  </pivotFields>
  <rowFields count="1">
    <field x="7"/>
  </rowFields>
  <rowItems count="1">
    <i t="grand">
      <x/>
    </i>
  </rowItems>
  <colItems count="1">
    <i/>
  </colItems>
  <pageFields count="1">
    <pageField fld="6" hier="-1"/>
  </pageFields>
  <dataFields count="1">
    <dataField name="Sum of Outflow" fld="9" baseField="0" baseItem="0" numFmtId="165"/>
  </dataFields>
  <chartFormats count="2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7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filters count="1">
    <filter fld="1" type="dateBetween" evalOrder="-1" id="1547" name="DATE">
      <autoFilter ref="A1">
        <filterColumn colId="0">
          <customFilters and="1">
            <customFilter operator="greaterThanOrEqual" val="44105"/>
            <customFilter operator="lessThanOrEqual" val="44196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F1766E-C9E6-8748-B281-E60B8928B596}" name="PivotTable7" cacheId="9" applyNumberFormats="0" applyBorderFormats="0" applyFontFormats="0" applyPatternFormats="0" applyAlignmentFormats="0" applyWidthHeightFormats="1" dataCaption="Values" updatedVersion="6" minRefreshableVersion="5" useAutoFormatting="1" itemPrintTitles="1" createdVersion="6" indent="0" outline="1" outlineData="1" multipleFieldFilters="0">
  <location ref="N3:P6" firstHeaderRow="1" firstDataRow="3" firstDataCol="1" rowPageCount="1" colPageCount="1"/>
  <pivotFields count="21">
    <pivotField showAll="0"/>
    <pivotField axis="axisPage" numFmtId="14" showAll="0">
      <items count="2">
        <item x="0"/>
        <item t="default"/>
      </items>
    </pivotField>
    <pivotField axis="axisRow" showAll="0">
      <items count="2">
        <item x="0"/>
        <item t="default"/>
      </items>
    </pivotField>
    <pivotField axis="axisCol" showAll="0">
      <items count="2">
        <item x="0"/>
        <item t="default"/>
      </items>
    </pivotField>
    <pivotField showAll="0"/>
    <pivotField showAll="0"/>
    <pivotField dataField="1" showAll="0"/>
    <pivotField dataField="1" showAll="0"/>
    <pivotField numFmtId="165" showAll="0"/>
    <pivotField numFmtId="165" showAll="0"/>
    <pivotField numFmtId="165" showAll="0"/>
    <pivotField numFmtId="165" showAll="0"/>
    <pivotField numFmtId="165" showAll="0"/>
    <pivotField numFmtId="165" showAll="0"/>
    <pivotField numFmtId="165" showAll="0"/>
    <pivotField numFmtId="165"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2"/>
  </rowFields>
  <rowItems count="1">
    <i t="grand">
      <x/>
    </i>
  </rowItems>
  <colFields count="2">
    <field x="3"/>
    <field x="-2"/>
  </colFields>
  <colItems count="2">
    <i t="grand">
      <x/>
    </i>
    <i t="grand" i="1">
      <x v="1"/>
    </i>
  </colItems>
  <pageFields count="1">
    <pageField fld="1" hier="-1"/>
  </pageFields>
  <dataFields count="2">
    <dataField name="Sum of INFLOW" fld="7" baseField="0" baseItem="0"/>
    <dataField name="Sum of OUTFLOW" fld="6" baseField="0" baseItem="0"/>
  </dataFields>
  <pivotTableStyleInfo showRowHeaders="1" showColHeaders="1" showRowStripes="0" showColStripes="0" showLastColumn="1"/>
  <filters count="1">
    <filter fld="1" type="dateBetween" evalOrder="-1" id="219" name="DATE">
      <autoFilter ref="A1">
        <filterColumn colId="0">
          <customFilters and="1">
            <customFilter operator="greaterThanOrEqual" val="42005"/>
            <customFilter operator="lessThanOrEqual" val="44196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AC897D-DCBB-0245-A11E-84DBD248DA5E}" name="PivotTable2" cacheId="9" applyNumberFormats="0" applyBorderFormats="0" applyFontFormats="0" applyPatternFormats="0" applyAlignmentFormats="0" applyWidthHeightFormats="1" dataCaption="Values" updatedVersion="6" minRefreshableVersion="5" useAutoFormatting="1" rowGrandTotals="0" colGrandTotals="0" itemPrintTitles="1" createdVersion="6" indent="0" outline="1" outlineData="1" multipleFieldFilters="0" chartFormat="20">
  <location ref="F1:G1" firstHeaderRow="1" firstDataRow="1" firstDataCol="1"/>
  <pivotFields count="21">
    <pivotField showAll="0"/>
    <pivotField axis="axisRow" numFmtId="14" showAll="0" sortType="ascending">
      <items count="2">
        <item x="0"/>
        <item t="default"/>
      </items>
    </pivotField>
    <pivotField showAll="0"/>
    <pivotField showAll="0" sortType="ascending"/>
    <pivotField showAll="0"/>
    <pivotField showAll="0" sortType="descending"/>
    <pivotField showAll="0"/>
    <pivotField showAll="0"/>
    <pivotField numFmtId="165" showAll="0"/>
    <pivotField numFmtId="165" showAll="0"/>
    <pivotField numFmtId="165" showAll="0"/>
    <pivotField numFmtId="165" showAll="0"/>
    <pivotField numFmtId="165" showAll="0"/>
    <pivotField numFmtId="165" showAll="0"/>
    <pivotField numFmtId="165" showAll="0"/>
    <pivotField dataField="1" numFmtId="165"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colItems count="1">
    <i/>
  </colItems>
  <dataFields count="1">
    <dataField name="BALANCE " fld="15" subtotal="max" baseField="0" baseItem="0"/>
  </dataFields>
  <chartFormats count="2">
    <chartFormat chart="18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filters count="1">
    <filter fld="1" type="dateBetween" evalOrder="-1" id="302" name="DATE">
      <autoFilter ref="A1">
        <filterColumn colId="0">
          <customFilters and="1">
            <customFilter operator="greaterThanOrEqual" val="42005"/>
            <customFilter operator="lessThanOrEqual" val="44196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B574EDC-E3D4-F047-815E-CC468D0F90C0}" name="Net Worth" cacheId="9" applyNumberFormats="0" applyBorderFormats="0" applyFontFormats="0" applyPatternFormats="0" applyAlignmentFormats="0" applyWidthHeightFormats="1" dataCaption="Values" updatedVersion="6" minRefreshableVersion="5" useAutoFormatting="1" itemPrintTitles="1" createdVersion="6" indent="0" outline="1" outlineData="1" multipleFieldFilters="0" chartFormat="13">
  <location ref="A3:C4" firstHeaderRow="0" firstDataRow="1" firstDataCol="1" rowPageCount="1" colPageCount="1"/>
  <pivotFields count="21">
    <pivotField showAll="0"/>
    <pivotField axis="axisPage" numFmtId="14" showAll="0" sortType="ascending">
      <items count="2">
        <item x="0"/>
        <item t="default"/>
      </items>
    </pivotField>
    <pivotField showAll="0"/>
    <pivotField axis="axisRow" showAll="0" sortType="ascending">
      <items count="2">
        <item x="0"/>
        <item t="default"/>
      </items>
    </pivotField>
    <pivotField showAll="0"/>
    <pivotField axis="axisRow" showAll="0" sortType="descending">
      <items count="3">
        <item x="1"/>
        <item x="0"/>
        <item t="default"/>
      </items>
    </pivotField>
    <pivotField dataField="1" showAll="0"/>
    <pivotField dataField="1" showAll="0"/>
    <pivotField numFmtId="165" showAll="0"/>
    <pivotField numFmtId="165" showAll="0"/>
    <pivotField numFmtId="165" showAll="0"/>
    <pivotField numFmtId="165" showAll="0"/>
    <pivotField numFmtId="165" showAll="0"/>
    <pivotField numFmtId="165" showAll="0"/>
    <pivotField numFmtId="165" showAll="0"/>
    <pivotField numFmtId="165"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2">
    <field x="5"/>
    <field x="3"/>
  </rowFields>
  <rowItems count="1">
    <i t="grand">
      <x/>
    </i>
  </rowItems>
  <colFields count="1">
    <field x="-2"/>
  </colFields>
  <colItems count="2">
    <i>
      <x/>
    </i>
    <i i="1">
      <x v="1"/>
    </i>
  </colItems>
  <pageFields count="1">
    <pageField fld="1" hier="-1"/>
  </pageFields>
  <dataFields count="2">
    <dataField name="OUTFLOW " fld="6" baseField="0" baseItem="0"/>
    <dataField name="INFLOW " fld="7" baseField="6" baseItem="0" numFmtId="165"/>
  </dataFields>
  <chartFormats count="2">
    <chartFormat chart="1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showRowHeaders="1" showColHeaders="1" showRowStripes="0" showColStripes="0" showLastColumn="1"/>
  <filters count="1">
    <filter fld="1" type="dateBetween" evalOrder="-1" id="302" name="DATE">
      <autoFilter ref="A1">
        <filterColumn colId="0">
          <customFilters and="1">
            <customFilter operator="greaterThanOrEqual" val="42005"/>
            <customFilter operator="lessThanOrEqual" val="44196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5A92F7-4E82-E146-8AD2-76E57B2303A5}" name="PivotTable1" cacheId="9" applyNumberFormats="0" applyBorderFormats="0" applyFontFormats="0" applyPatternFormats="0" applyAlignmentFormats="0" applyWidthHeightFormats="1" dataCaption="Values" updatedVersion="6" minRefreshableVersion="5" useAutoFormatting="1" itemPrintTitles="1" createdVersion="6" indent="0" outline="1" outlineData="1" multipleFieldFilters="0">
  <location ref="Z3:AC4" firstHeaderRow="0" firstDataRow="1" firstDataCol="1" rowPageCount="1" colPageCount="1"/>
  <pivotFields count="21">
    <pivotField showAll="0"/>
    <pivotField axis="axisPage" numFmtId="14" showAll="0">
      <items count="2">
        <item x="0"/>
        <item t="default"/>
      </items>
    </pivotField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dataField="1" showAll="0"/>
    <pivotField dataField="1" showAll="0"/>
    <pivotField numFmtId="165" showAll="0"/>
    <pivotField numFmtId="165" showAll="0"/>
    <pivotField numFmtId="165" showAll="0"/>
    <pivotField numFmtId="165" showAll="0"/>
    <pivotField numFmtId="165" showAll="0"/>
    <pivotField numFmtId="165" showAll="0"/>
    <pivotField numFmtId="165" showAll="0"/>
    <pivotField numFmtId="165"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</pivotFields>
  <rowFields count="1">
    <field x="5"/>
  </rowFields>
  <rowItems count="1"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1" hier="-1"/>
  </pageFields>
  <dataFields count="3">
    <dataField name="Sum of OUTFLOW" fld="6" baseField="0" baseItem="0"/>
    <dataField name="Sum of INFLOW" fld="7" baseField="0" baseItem="0"/>
    <dataField name="Sum of Field3" fld="20" baseField="0" baseItem="0"/>
  </dataFields>
  <pivotTableStyleInfo showRowHeaders="1" showColHeaders="1" showRowStripes="0" showColStripes="0" showLastColumn="1"/>
  <filters count="1">
    <filter fld="1" type="dateBetween" evalOrder="-1" id="219" name="DATE">
      <autoFilter ref="A1">
        <filterColumn colId="0">
          <customFilters and="1">
            <customFilter operator="greaterThanOrEqual" val="42005"/>
            <customFilter operator="lessThanOrEqual" val="44196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E62F7AD-AEF5-9F47-8A7E-4CCC0630E560}" name="Asset Allocation" cacheId="9" applyNumberFormats="0" applyBorderFormats="0" applyFontFormats="0" applyPatternFormats="0" applyAlignmentFormats="0" applyWidthHeightFormats="1" dataCaption="Values" updatedVersion="6" minRefreshableVersion="5" useAutoFormatting="1" itemPrintTitles="1" createdVersion="6" indent="0" outline="1" outlineData="1" multipleFieldFilters="0" chartFormat="11">
  <location ref="I1:L2" firstHeaderRow="0" firstDataRow="1" firstDataCol="1"/>
  <pivotFields count="21">
    <pivotField axis="axisRow" showAll="0">
      <items count="3">
        <item x="0"/>
        <item x="1"/>
        <item t="default"/>
      </items>
    </pivotField>
    <pivotField numFmtId="14" showAll="0" sortType="ascending">
      <items count="2">
        <item x="0"/>
        <item t="default"/>
      </items>
    </pivotField>
    <pivotField showAll="0"/>
    <pivotField showAll="0"/>
    <pivotField showAll="0"/>
    <pivotField showAll="0"/>
    <pivotField dataField="1" showAll="0"/>
    <pivotField dataField="1" showAll="0"/>
    <pivotField numFmtId="165" showAll="0"/>
    <pivotField numFmtId="165" showAll="0"/>
    <pivotField numFmtId="165" showAll="0"/>
    <pivotField numFmtId="165" showAll="0"/>
    <pivotField numFmtId="165" showAll="0"/>
    <pivotField numFmtId="165" showAll="0"/>
    <pivotField numFmtId="165" showAll="0"/>
    <pivotField numFmtId="165" showAll="0"/>
    <pivotField showAl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0"/>
  </rowFields>
  <rowItems count="1"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OUTFLOW" fld="6" baseField="0" baseItem="0"/>
    <dataField name="Sum of INFLOW" fld="7" baseField="6" baseItem="0" numFmtId="165"/>
    <dataField name="Sum of VALUE" fld="18" baseField="0" baseItem="0"/>
  </dataFields>
  <chartFormats count="31">
    <chartFormat chart="2" format="4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4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6" format="10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6" format="1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13">
      <pivotArea type="data" outline="0" fieldPosition="0">
        <references count="2">
          <reference field="4294967294" count="1" selected="0">
            <x v="1"/>
          </reference>
          <reference field="0" count="1" selected="0">
            <x v="0"/>
          </reference>
        </references>
      </pivotArea>
    </chartFormat>
    <chartFormat chart="6" format="18">
      <pivotArea type="data" outline="0" fieldPosition="0">
        <references count="2">
          <reference field="4294967294" count="1" selected="0">
            <x v="1"/>
          </reference>
          <reference field="0" count="1" selected="0">
            <x v="1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8" format="8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8" format="9">
      <pivotArea type="data" outline="0" fieldPosition="0">
        <references count="2">
          <reference field="4294967294" count="1" selected="0">
            <x v="1"/>
          </reference>
          <reference field="0" count="1" selected="0">
            <x v="0"/>
          </reference>
        </references>
      </pivotArea>
    </chartFormat>
    <chartFormat chart="8" format="14">
      <pivotArea type="data" outline="0" fieldPosition="0">
        <references count="2">
          <reference field="4294967294" count="1" selected="0">
            <x v="1"/>
          </reference>
          <reference field="0" count="1" selected="0">
            <x v="1"/>
          </reference>
        </references>
      </pivotArea>
    </chartFormat>
    <chartFormat chart="9" format="2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22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9" format="27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9" format="28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9" format="29">
      <pivotArea type="data" outline="0" fieldPosition="0">
        <references count="2">
          <reference field="4294967294" count="1" selected="0">
            <x v="1"/>
          </reference>
          <reference field="0" count="1" selected="0">
            <x v="0"/>
          </reference>
        </references>
      </pivotArea>
    </chartFormat>
    <chartFormat chart="9" format="34">
      <pivotArea type="data" outline="0" fieldPosition="0">
        <references count="2">
          <reference field="4294967294" count="1" selected="0">
            <x v="1"/>
          </reference>
          <reference field="0" count="1" selected="0">
            <x v="1"/>
          </reference>
        </references>
      </pivotArea>
    </chartFormat>
    <chartFormat chart="10" format="4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43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0" format="48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0" format="4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0" format="50">
      <pivotArea type="data" outline="0" fieldPosition="0">
        <references count="2">
          <reference field="4294967294" count="1" selected="0">
            <x v="1"/>
          </reference>
          <reference field="0" count="1" selected="0">
            <x v="0"/>
          </reference>
        </references>
      </pivotArea>
    </chartFormat>
    <chartFormat chart="10" format="55">
      <pivotArea type="data" outline="0" fieldPosition="0">
        <references count="2">
          <reference field="4294967294" count="1" selected="0">
            <x v="1"/>
          </reference>
          <reference field="0" count="1" selected="0">
            <x v="1"/>
          </reference>
        </references>
      </pivotArea>
    </chartFormat>
    <chartFormat chart="10" format="63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0" format="68">
      <pivotArea type="data" outline="0" fieldPosition="0">
        <references count="2">
          <reference field="4294967294" count="1" selected="0">
            <x v="2"/>
          </reference>
          <reference field="0" count="1" selected="0">
            <x v="1"/>
          </reference>
        </references>
      </pivotArea>
    </chartFormat>
    <chartFormat chart="10" format="69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70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0" format="7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showRowHeaders="1" showColHeaders="1" showRowStripes="0" showColStripes="0" showLastColumn="1"/>
  <filters count="1">
    <filter fld="1" type="dateBetween" evalOrder="-1" id="384" name="DATE">
      <autoFilter ref="A1">
        <filterColumn colId="0">
          <customFilters and="1">
            <customFilter operator="greaterThanOrEqual" val="42005"/>
            <customFilter operator="lessThanOrEqual" val="44196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3E2B25C-C883-9944-8E45-898BBD816FA7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:I6" firstHeaderRow="1" firstDataRow="3" firstDataCol="1"/>
  <pivotFields count="15">
    <pivotField axis="axisRow" showAll="0">
      <items count="3">
        <item x="1"/>
        <item x="0"/>
        <item t="default"/>
      </items>
    </pivotField>
    <pivotField numFmtId="14" showAll="0">
      <items count="7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t="default"/>
      </items>
    </pivotField>
    <pivotField showAll="0"/>
    <pivotField showAll="0"/>
    <pivotField showAll="0"/>
    <pivotField axis="axisCol" showAll="0">
      <items count="5">
        <item x="2"/>
        <item x="1"/>
        <item x="3"/>
        <item h="1" x="0"/>
        <item t="default"/>
      </items>
    </pivotField>
    <pivotField dataField="1" showAll="0"/>
    <pivotField dataField="1" showAll="0"/>
    <pivotField numFmtId="165" showAll="0"/>
    <pivotField numFmtId="165" showAll="0"/>
    <pivotField numFmtId="165" showAll="0"/>
    <pivotField numFmtId="165" showAll="0"/>
    <pivotField showAll="0"/>
    <pivotField dragToRow="0" dragToCol="0" dragToPage="0" showAll="0" defaultSubtotal="0"/>
    <pivotField dragToRow="0" dragToCol="0" dragToPage="0" showAll="0" defaultSubtotal="0"/>
  </pivotFields>
  <rowFields count="1">
    <field x="0"/>
  </rowFields>
  <rowItems count="3">
    <i>
      <x/>
    </i>
    <i>
      <x v="1"/>
    </i>
    <i t="grand">
      <x/>
    </i>
  </rowItems>
  <colFields count="2">
    <field x="5"/>
    <field x="-2"/>
  </colFields>
  <colItems count="8">
    <i>
      <x/>
      <x/>
    </i>
    <i r="1" i="1">
      <x v="1"/>
    </i>
    <i>
      <x v="1"/>
      <x/>
    </i>
    <i r="1" i="1">
      <x v="1"/>
    </i>
    <i>
      <x v="2"/>
      <x/>
    </i>
    <i r="1" i="1">
      <x v="1"/>
    </i>
    <i t="grand">
      <x/>
    </i>
    <i t="grand" i="1">
      <x/>
    </i>
  </colItems>
  <dataFields count="2">
    <dataField name="Sum of OUTFLOW" fld="6" baseField="0" baseItem="0"/>
    <dataField name="Sum of INFLOW" fld="7" baseField="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AB84EFF-2C28-E34E-A3D5-5F8A7AAB7AD1}" name="PivotTable2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K3:N34" firstHeaderRow="1" firstDataRow="3" firstDataCol="1" rowPageCount="1" colPageCount="1"/>
  <pivotFields count="15">
    <pivotField axis="axisPage" multipleItemSelectionAllowed="1" showAll="0">
      <items count="3">
        <item x="1"/>
        <item h="1" x="0"/>
        <item t="default"/>
      </items>
    </pivotField>
    <pivotField axis="axisRow" numFmtId="14" showAll="0">
      <items count="7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t="default"/>
      </items>
    </pivotField>
    <pivotField showAll="0"/>
    <pivotField showAll="0"/>
    <pivotField showAll="0"/>
    <pivotField axis="axisCol" showAll="0">
      <items count="5">
        <item x="2"/>
        <item h="1" x="1"/>
        <item h="1" x="3"/>
        <item h="1" x="0"/>
        <item t="default"/>
      </items>
    </pivotField>
    <pivotField dataField="1" showAll="0"/>
    <pivotField showAll="0"/>
    <pivotField numFmtId="165" showAll="0"/>
    <pivotField numFmtId="165" showAll="0"/>
    <pivotField numFmtId="165" showAll="0"/>
    <pivotField dataField="1" numFmtId="165" showAll="0"/>
    <pivotField showAll="0"/>
    <pivotField dragToRow="0" dragToCol="0" dragToPage="0" showAll="0" defaultSubtotal="0"/>
    <pivotField dataField="1" dragToRow="0" dragToCol="0" dragToPage="0" showAll="0" defaultSubtotal="0"/>
  </pivotFields>
  <rowFields count="1">
    <field x="1"/>
  </rowFields>
  <rowItems count="29"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4"/>
    </i>
    <i>
      <x v="48"/>
    </i>
    <i>
      <x v="51"/>
    </i>
    <i>
      <x v="55"/>
    </i>
    <i>
      <x v="59"/>
    </i>
    <i>
      <x v="69"/>
    </i>
    <i>
      <x v="76"/>
    </i>
  </rowItems>
  <colFields count="2">
    <field x="5"/>
    <field x="-2"/>
  </colFields>
  <colItems count="3">
    <i>
      <x/>
      <x/>
    </i>
    <i r="1" i="1">
      <x v="1"/>
    </i>
    <i r="1" i="2">
      <x v="2"/>
    </i>
  </colItems>
  <pageFields count="1">
    <pageField fld="0" hier="-1"/>
  </pageFields>
  <dataFields count="3">
    <dataField name="Max. of OUTFLOW" fld="6" subtotal="max" baseField="0" baseItem="0"/>
    <dataField name="Max. of BALANCE" fld="11" subtotal="max" baseField="0" baseItem="0"/>
    <dataField name="Interest rate" fld="14" baseField="0" baseItem="0"/>
  </dataFields>
  <formats count="4">
    <format dxfId="3">
      <pivotArea outline="0" collapsedLevelsAreSubtotals="1" fieldPosition="0">
        <references count="2">
          <reference field="4294967294" count="1" selected="0">
            <x v="2"/>
          </reference>
          <reference field="5" count="0" selected="0"/>
        </references>
      </pivotArea>
    </format>
    <format dxfId="2">
      <pivotArea type="topRight" dataOnly="0" labelOnly="1" outline="0" fieldPosition="0"/>
    </format>
    <format dxfId="1">
      <pivotArea dataOnly="0" labelOnly="1" fieldPosition="0">
        <references count="1">
          <reference field="5" count="0"/>
        </references>
      </pivotArea>
    </format>
    <format dxfId="0">
      <pivotArea dataOnly="0" labelOnly="1" outline="0" fieldPosition="0">
        <references count="2">
          <reference field="4294967294" count="1">
            <x v="2"/>
          </reference>
          <reference field="5" count="0" selected="0"/>
        </references>
      </pivotArea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224BF3-F367-2143-AB3D-C8546ED53373}" name="Transactions" displayName="Transactions" ref="A5:Q11" totalsRowShown="0" headerRowDxfId="104" dataDxfId="103">
  <autoFilter ref="A5:Q11" xr:uid="{2D9C635B-3FD1-3A42-986E-40BDB23B7F95}"/>
  <sortState xmlns:xlrd2="http://schemas.microsoft.com/office/spreadsheetml/2017/richdata2" ref="A6:Q11">
    <sortCondition ref="B5:B11"/>
  </sortState>
  <tableColumns count="17">
    <tableColumn id="1" xr3:uid="{244B2E07-340F-A044-9F57-239B277A1BF4}" name="ACCOUNT" dataDxfId="102" totalsRowDxfId="101"/>
    <tableColumn id="2" xr3:uid="{F1B7A761-2AF4-294C-9161-AC49AB870016}" name="DATE" dataDxfId="100" totalsRowDxfId="99"/>
    <tableColumn id="3" xr3:uid="{F0663F60-19E5-A941-9D83-7D61FF40ACA4}" name="BRAND" dataDxfId="98" totalsRowDxfId="97"/>
    <tableColumn id="4" xr3:uid="{344A2331-EE11-FC40-B6C3-3FB6083A5041}" name="ITEM" dataDxfId="96" totalsRowDxfId="95"/>
    <tableColumn id="5" xr3:uid="{CC818B4F-3479-FE41-9CE9-AA87274A3AC5}" name="QUANTITY" dataDxfId="94"/>
    <tableColumn id="6" xr3:uid="{02FA5C83-D28A-C741-839D-B442145DF9FD}" name="UNIT" dataDxfId="93" totalsRowDxfId="92"/>
    <tableColumn id="7" xr3:uid="{31C649A0-A17D-3844-BD9C-C8D3BA1FD73C}" name="CATEGORY" dataDxfId="91" totalsRowDxfId="90"/>
    <tableColumn id="8" xr3:uid="{D039A39E-131D-A643-B918-1D615720DDE5}" name="SUB-CATEGORY" dataDxfId="89" totalsRowDxfId="88"/>
    <tableColumn id="9" xr3:uid="{476A1A57-7961-BE4B-9180-4F71AC05A847}" name="NOTE" dataDxfId="87" totalsRowDxfId="86"/>
    <tableColumn id="10" xr3:uid="{78332EE5-42A3-EE43-813D-DDF3D0C3C423}" name="OUTFLOW" dataDxfId="85" totalsRowDxfId="84"/>
    <tableColumn id="11" xr3:uid="{7E9C94EA-E08F-0349-91A6-0A8A82D9B0D7}" name="INFLOW" dataDxfId="83" totalsRowDxfId="82"/>
    <tableColumn id="12" xr3:uid="{53A89D5E-9C77-9D4A-9854-B29D15F706F8}" name="DEBIT" dataDxfId="81" totalsRowDxfId="80">
      <calculatedColumnFormula>IFERROR(IF($A6="","",IF($A6=L$5,L5-$J6+$K6,L5)),"")</calculatedColumnFormula>
    </tableColumn>
    <tableColumn id="13" xr3:uid="{B77131F1-01D4-C541-8FAE-C276F56FB13A}" name="CASH" dataDxfId="79" totalsRowDxfId="78">
      <calculatedColumnFormula>IFERROR(IF($A6="","",IF($A6=M$5,M5-$J6+$K6,M5)),"")</calculatedColumnFormula>
    </tableColumn>
    <tableColumn id="14" xr3:uid="{5F97D670-A52E-B54B-AEC7-1B666824325F}" name="SAVINGS" dataDxfId="77" totalsRowDxfId="76">
      <calculatedColumnFormula>IFERROR(IF($A6="","",IF($A6=N$5,N5-$J6+$K6,N5)),"")</calculatedColumnFormula>
    </tableColumn>
    <tableColumn id="15" xr3:uid="{06B69CA1-E1FF-6447-B4E8-DDBED48485BF}" name="CREDIT" dataDxfId="75" totalsRowDxfId="74">
      <calculatedColumnFormula>IFERROR(IF($A6="","",IF($A6=O$5,O5-$J6+$K6,O5)),"")</calculatedColumnFormula>
    </tableColumn>
    <tableColumn id="16" xr3:uid="{24A59F74-2D5C-8C44-ABB7-05DBB429930B}" name="BALANCE" dataDxfId="73" totalsRowDxfId="72">
      <calculatedColumnFormula>SUM(L6:O6)</calculatedColumnFormula>
    </tableColumn>
    <tableColumn id="17" xr3:uid="{89893600-79E3-FA47-A0A0-84EA882417CF}" name="ERROR" dataDxfId="71">
      <calculatedColumnFormula array="1">_xlfn.IFS(NOT(ISNUMBER(MATCH(Transactions[[#This Row],[ACCOUNT]],'∷ Settings'!$B$16:$B$50,0))),"⚀",NOT(AND(Transactions[[#This Row],[DATE]] &gt; DATE(2004,12,31),Transactions[[#This Row],[DATE]] &lt; (TODAY()+1))),"⚁",NOT(OR(AND(ISNUMBER(Transactions[[#This Row],[QUANTITY]]),ISTEXT(Transactions[[#This Row],[UNIT]])),OR(ISBLANK(Transactions[[#This Row],[QUANTITY]]),ISBLANK(Transactions[[#This Row],[UNIT]])))),"⚂",NOT(OR(AND(EXACT(Transactions[[#This Row],[CATEGORY]],"Income"),Transactions[[#This Row],[OUTFLOW]] = 0),OR(ISNUMBER(MATCH(Transactions[[#This Row],[CATEGORY]],'∷ Settings'!$C$16:$C$50,0))),ISBLANK(Transactions[[#This Row],[CATEGORY]]))),"⚃",AND(ISNUMBER(Transactions[[#This Row],[OUTFLOW]]),ISNUMBER(Transactions[[#This Row],[INFLOW]])),"⥂",AND(EXACT(Transactions[[#This Row],[BRAND]],"Transfer"),ISNUMBER(Transactions[[#This Row],[OUTFLOW]]),OR(EXACT(Transactions[[#This Row],[ITEM]],"Investment"),EXACT(Transactions[[#This Row],[ITEM]],"Loan"))),"⇢",AND(EXACT(Transactions[[#This Row],[BRAND]],"Transfer"),ISNUMBER(Transactions[[#This Row],[INFLOW]]),OR(EXACT(Transactions[[#This Row],[ITEM]],"Investment"),EXACT(Transactions[[#This Row],[ITEM]],"Loan"))),"⇠",TRUE,"●")</calculatedColumnFormula>
    </tableColumn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4F21BF-4B2A-6F49-83BF-AE9AB4CF8309}" name="Investment" displayName="Investment" ref="A5:Q7" totalsRowShown="0" headerRowDxfId="70" dataDxfId="69">
  <autoFilter ref="A5:Q7" xr:uid="{EF11C384-B55C-5F4F-A7D3-BB3779C31FD5}"/>
  <sortState xmlns:xlrd2="http://schemas.microsoft.com/office/spreadsheetml/2017/richdata2" ref="A6:Q7">
    <sortCondition ref="B5:B7"/>
  </sortState>
  <tableColumns count="17">
    <tableColumn id="1" xr3:uid="{026CE8BA-9585-854B-BEF6-37E24D6C4E07}" name="ACCOUNT" dataDxfId="68" totalsRowDxfId="67"/>
    <tableColumn id="2" xr3:uid="{E34F4CC6-65C7-B64D-AE06-47BADCC35D14}" name="DATE" dataDxfId="66" totalsRowDxfId="65"/>
    <tableColumn id="3" xr3:uid="{9E7F6E7C-160B-394D-8715-9FF40FC58118}" name="BRAND" dataDxfId="64" totalsRowDxfId="63"/>
    <tableColumn id="4" xr3:uid="{9F6D6C39-FBEA-1A48-982F-FA5F71C01896}" name="ITEM" dataDxfId="62" totalsRowDxfId="61"/>
    <tableColumn id="5" xr3:uid="{0848C247-2362-9949-AEFE-A9FDA5A8A325}" name="CATEGORY" dataDxfId="60" totalsRowDxfId="59"/>
    <tableColumn id="6" xr3:uid="{3964DF0D-EDE3-3642-BE63-907056C20723}" name="SUB-CATEGORY" dataDxfId="58" totalsRowDxfId="57"/>
    <tableColumn id="7" xr3:uid="{6C491190-9C73-064D-8B6F-1936FD614CD8}" name="OUTFLOW" dataDxfId="56" totalsRowDxfId="55"/>
    <tableColumn id="8" xr3:uid="{5E0FF1CD-10B6-DA4A-9F47-9ABB6795B618}" name="INFLOW" dataDxfId="54"/>
    <tableColumn id="10" xr3:uid="{7D239BD5-8B9F-3843-B541-FD31B006C3ED}" name="UNIT TRUSTS" dataDxfId="53" totalsRowDxfId="52">
      <calculatedColumnFormula>IF(AND($A6=I$5,ISNUMBER(I5)),I5-$G6+$H6,IF(ISNUMBER(I5),I5,0))</calculatedColumnFormula>
    </tableColumn>
    <tableColumn id="11" xr3:uid="{F556F962-3F63-6045-B609-FDA03C647483}" name="TAX FREE" dataDxfId="51" totalsRowDxfId="50">
      <calculatedColumnFormula>IF(AND($A6=J$5,ISNUMBER(J5)),J5-$G6+$H6,IF(ISNUMBER(J5),J5,0))</calculatedColumnFormula>
    </tableColumn>
    <tableColumn id="12" xr3:uid="{82DE149D-7CA2-6E40-8812-677CCB694A57}" name="RETIREMENT" dataDxfId="49" totalsRowDxfId="48">
      <calculatedColumnFormula>IF(AND($A6=K$5,ISNUMBER(K5)),K5-$G6+$H6,IF(ISNUMBER(K5),K5,0))</calculatedColumnFormula>
    </tableColumn>
    <tableColumn id="13" xr3:uid="{D7F9A14B-677B-F548-A6A8-F6645B97041A}" name="PROPERTY" dataDxfId="47" totalsRowDxfId="46">
      <calculatedColumnFormula>IF(AND($A6=L$5,ISNUMBER(L5)),L5-$G6+$H6,IF(ISNUMBER(L5),L5,0))</calculatedColumnFormula>
    </tableColumn>
    <tableColumn id="14" xr3:uid="{FF392064-5AEE-F14A-9D55-D0D2218A67C4}" name="SHARES" dataDxfId="45" totalsRowDxfId="44">
      <calculatedColumnFormula>IF(AND($A6=M$5,ISNUMBER(M5)),M5-$G6+$H6,IF(ISNUMBER(M5),M5,0))</calculatedColumnFormula>
    </tableColumn>
    <tableColumn id="15" xr3:uid="{0C792AC3-8404-6A48-9007-2DC503CA9091}" name="CRYPTO" dataDxfId="43" totalsRowDxfId="42">
      <calculatedColumnFormula>IF(AND($A6="Wallet",ISNUMBER(N5)),N5-$G6+$H6,IF(ISNUMBER(N5),N5,0))</calculatedColumnFormula>
    </tableColumn>
    <tableColumn id="16" xr3:uid="{9140F324-85AE-8149-A501-493D17243AEA}" name="DEPOSIT" dataDxfId="41" totalsRowDxfId="40">
      <calculatedColumnFormula>IF(AND($A6=O$5,ISNUMBER(O5)),O5-$G6+$H6,IF(ISNUMBER(O5),O5,0))</calculatedColumnFormula>
    </tableColumn>
    <tableColumn id="16385" xr3:uid="{BB76E852-B1D3-854A-A10F-8743B75DB3C3}" name="BALANCE" dataDxfId="39" totalsRowDxfId="38">
      <calculatedColumnFormula>SUM(Investment[[#This Row],[UNIT TRUSTS]:[DEPOSIT]])</calculatedColumnFormula>
    </tableColumn>
    <tableColumn id="18" xr3:uid="{504F27B0-6526-254C-8EE9-8F9374A95533}" name="ERROR" dataDxfId="37" totalsRowDxfId="36">
      <calculatedColumnFormula array="1">_xlfn.IFS(NOT(ISNUMBER(MATCH(Investment[[#This Row],[ACCOUNT]],'∷ Settings'!$E$16:$E$50,0))),"⚀",NOT(AND(Investment[[#This Row],[DATE]] &gt; DATE(2004,12,31),Investment[[#This Row],[DATE]] &lt; (TODAY()+1))),"⚁",NOT(OR(ISNUMBER(MATCH(Investment[[#This Row],[CATEGORY]],'∷ Settings'!$F$16:$F$50,0)),ISBLANK(Investment[[#This Row],[CATEGORY]]))),"⚃",AND(ISNUMBER(Investment[[#This Row],[OUTFLOW]]),ISNUMBER(Investment[[#This Row],[INFLOW]])),"⥂",AND(EXACT(Investment[[#This Row],[BRAND]],"Transfer"),ISNUMBER(Investment[[#This Row],[OUTFLOW]])),"⇢",AND(EXACT(Investment[[#This Row],[BRAND]],"Transfer"),ISNUMBER(Investment[[#This Row],[INFLOW]])),"⇠",TRUE,"●")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A572C9C-F4E0-8145-9E73-826BEFCCF8DF}" name="Debt" displayName="Debt" ref="A5:M6" totalsRowShown="0" headerRowDxfId="35" dataDxfId="34">
  <autoFilter ref="A5:M6" xr:uid="{DCA88372-3F1E-EA46-8361-80B0A6874340}"/>
  <sortState xmlns:xlrd2="http://schemas.microsoft.com/office/spreadsheetml/2017/richdata2" ref="A6:M6">
    <sortCondition ref="B5:B6"/>
  </sortState>
  <tableColumns count="13">
    <tableColumn id="1" xr3:uid="{E044A61C-FF3D-7E42-A89A-DBE355FFDD77}" name="ACCOUNT" dataDxfId="33"/>
    <tableColumn id="2" xr3:uid="{D7F694D0-C9F9-A449-BD3B-4E098B6D72DA}" name="DATE" dataDxfId="32"/>
    <tableColumn id="3" xr3:uid="{8E6E44C1-35F5-DF43-8D43-5AA458835D11}" name="BRAND" dataDxfId="31"/>
    <tableColumn id="4" xr3:uid="{120DA587-F0BD-6144-B548-72B162D447BD}" name="ITEM" dataDxfId="30"/>
    <tableColumn id="5" xr3:uid="{48A81DD2-1C40-EE41-9BCB-88C2D2267738}" name="CATEGORY" dataDxfId="29"/>
    <tableColumn id="6" xr3:uid="{28CEFAB5-1C44-B847-BEBD-7D117D34E587}" name="SUB-CATEGORY" dataDxfId="28"/>
    <tableColumn id="7" xr3:uid="{650DE5A6-5148-2A45-ADCA-BF4B5AC01CF4}" name="OUTFLOW" dataDxfId="27"/>
    <tableColumn id="8" xr3:uid="{D05BFB0E-7D44-2B4E-A862-BA1E31B1DEBC}" name="INFLOW" dataDxfId="26"/>
    <tableColumn id="9" xr3:uid="{BA27ECAC-977A-5A49-A303-3827DF392E25}" name="BOND" dataDxfId="25">
      <calculatedColumnFormula>IF(AND(A6=Debt[[#Headers],[BOND]],ISNUMBER(I5)),I5+H6-G6,IF(ISNUMBER(I5),I5,0))</calculatedColumnFormula>
    </tableColumn>
    <tableColumn id="12" xr3:uid="{EF071D24-29A3-B644-98A8-175C816C6C32}" name="STUDENT" dataDxfId="24">
      <calculatedColumnFormula>IF(AND(A6=J$5,ISNUMBER(J5)),$J5+$H6-$G6,IF(ISNUMBER(J5),J5,0))</calculatedColumnFormula>
    </tableColumn>
    <tableColumn id="10" xr3:uid="{08FD0439-ED3A-0A43-8414-C69F4EA3A537}" name="CREDIT" dataDxfId="23">
      <calculatedColumnFormula>IF(AND(A6=K$5,ISNUMBER(K5)),K5-J6+I6,IF(ISNUMBER(K5),K5,0))</calculatedColumnFormula>
    </tableColumn>
    <tableColumn id="13" xr3:uid="{FA917F38-539A-1F43-8EBA-DAF5B0FAEA69}" name="BALANCE" dataDxfId="22">
      <calculatedColumnFormula>SUM(Debt[[#This Row],[BOND]:[CREDIT]])</calculatedColumnFormula>
    </tableColumn>
    <tableColumn id="18" xr3:uid="{D4C86017-5305-4646-AD0C-F25C4C99E29F}" name="ERROR" dataDxfId="21">
      <calculatedColumnFormula array="1">_xlfn.IFS(NOT(ISNUMBER(MATCH(Debt[[#This Row],[ACCOUNT]],'∷ Settings'!$H$16:$H$50,0))),"⚀",NOT(AND(Debt[[#This Row],[DATE]] &gt; DATE(2004,12,31),Debt[[#This Row],[DATE]] &lt; (TODAY()+1))),"⚁",NOT(OR(ISNUMBER(MATCH(Debt[[#This Row],[CATEGORY]],'∷ Settings'!$I$16:$I$50,0)),ISBLANK(Debt[[#This Row],[CATEGORY]]))),"⚃",AND(ISNUMBER(Debt[[#This Row],[OUTFLOW]]),ISNUMBER(Debt[[#This Row],[INFLOW]])),"⥂",AND(EXACT(Debt[[#This Row],[BRAND]],"Transfer"),ISNUMBER(Debt[[#This Row],[OUTFLOW]]),EXACT(Debt[[#This Row],[ITEM]],"Debit")),"⇢",AND(EXACT(Debt[[#This Row],[BRAND]],"Transfer"),ISNUMBER(Debt[[#This Row],[INFLOW]]),EXACT(Debt[[#This Row],[ITEM]],"Debit")),"⇠",TRUE,"●")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E5B0BCE-C347-CC4F-AA84-64EEAD738FA6}" name="Assets" displayName="Assets" ref="A5:N6" totalsRowShown="0" headerRowDxfId="20" dataDxfId="19" tableBorderDxfId="18">
  <autoFilter ref="A5:N6" xr:uid="{D76FFE27-6164-CE4D-94E8-160EA8AA91F3}"/>
  <tableColumns count="14">
    <tableColumn id="1" xr3:uid="{5849A363-1A3A-E04A-BED3-E01237F38597}" name="DATE" dataDxfId="17"/>
    <tableColumn id="2" xr3:uid="{AF5C75BF-9E6F-4B46-AD77-4151498686C9}" name="STATUS" dataDxfId="16"/>
    <tableColumn id="3" xr3:uid="{0E52E128-A32A-D642-9D52-184BA096B91F}" name="ITEM" dataDxfId="15"/>
    <tableColumn id="4" xr3:uid="{995AF25D-3CCD-484E-B4AC-C30CAB84BDFF}" name="BRAND" dataDxfId="14"/>
    <tableColumn id="5" xr3:uid="{D3A98FC1-2B2A-7B40-BB29-C7447CD03F36}" name="CATEGORY" dataDxfId="13"/>
    <tableColumn id="6" xr3:uid="{2CBD979C-2847-A545-B4D5-F9DF05CCB761}" name="SELLER" dataDxfId="12"/>
    <tableColumn id="7" xr3:uid="{3AA1C93A-DDA3-B648-974D-5EF7CC25FBFC}" name="SERIAL" dataDxfId="11"/>
    <tableColumn id="8" xr3:uid="{E47E0A25-453D-4347-BDDC-04383931066A}" name="COST" dataDxfId="10"/>
    <tableColumn id="1029" xr3:uid="{0AAEFDD5-851C-EE4A-810E-AB0EE4316CC9}" name="AGE" dataDxfId="9">
      <calculatedColumnFormula>IF(Assets[[#This Row],[STATUS]]="Active",_xlfn.DAYS(TODAY(),A6)/365,0)</calculatedColumnFormula>
    </tableColumn>
    <tableColumn id="9" xr3:uid="{BC79A35F-5A94-C846-8788-308D1D08DB34}" name="DEPRECIATION" dataDxfId="8" dataCellStyle="Per cent">
      <calculatedColumnFormula>IF(A6="","",IF($E6="Furniture",$H6/240,IF($E6="Appliances",$H6/120,IF($E6="Books",$H6/360,IF($E6="Tech",$H6/60,IF($E6="Miscellaneous",$H6/60,0))))))</calculatedColumnFormula>
    </tableColumn>
    <tableColumn id="10" xr3:uid="{5CB1AC14-1835-B74B-8F25-DB071777921F}" name="VALUE" dataDxfId="7">
      <calculatedColumnFormula>MAX(IF(A6="","",IF($B6="Active",$H6-(DATEDIF($A6,TODAY(),"m")*($J6)),0)),0)</calculatedColumnFormula>
    </tableColumn>
    <tableColumn id="11" xr3:uid="{8B9B46AF-BF53-A243-B764-758B547F3D72}" name="BALANCE" dataDxfId="6">
      <calculatedColumnFormula>IFERROR(IF(A5="","",IF(B6="Active",$L5+$K6,$L5-$K6)),"")</calculatedColumnFormula>
    </tableColumn>
    <tableColumn id="12" xr3:uid="{BDFE34EA-89CA-094B-836C-A8D1D7FAD0AB}" name="ERROR" dataDxfId="5">
      <calculatedColumnFormula array="1">_xlfn.IFS(NOT(OR(EXACT(Assets[[#This Row],[CATEGORY]],"Books"),EXACT(Assets[[#This Row],[CATEGORY]],"Miscellaneous"),EXACT(Assets[[#This Row],[CATEGORY]],"Art"),EXACT(Assets[[#This Row],[CATEGORY]],"Appliances"),EXACT(Assets[[#This Row],[CATEGORY]],"Tech"),EXACT(Assets[[#This Row],[CATEGORY]],"Furniture"))),"⚃",NOT(AND(Assets[[#This Row],[DATE]] &gt; DATE(2004,12,31),Assets[[#This Row],[DATE]] &lt; (TODAY()+1))),"⚀",AND(EXACT(Assets[[#This Row],[STATUS]],"Active"),Assets[[#This Row],[VALUE]]=0),"○",TRUE,"●")</calculatedColumnFormula>
    </tableColumn>
    <tableColumn id="13" xr3:uid="{99694203-694C-7041-8C26-753C12551F77}" name="Column1" dataDxfId="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Garamond">
      <a:majorFont>
        <a:latin typeface="Garamond" panose="02020404030301010803"/>
        <a:ea typeface=""/>
        <a:cs typeface=""/>
        <a:font script="Jpan" typeface="ＭＳ Ｐゴシック"/>
        <a:font script="Hang" typeface="돋움"/>
        <a:font script="Hans" typeface="方正舒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aramond" panose="02020404030301010803"/>
        <a:ea typeface=""/>
        <a:cs typeface=""/>
        <a:font script="Jpan" typeface="ＭＳ Ｐゴシック"/>
        <a:font script="Hang" typeface="돋움"/>
        <a:font script="Hans" typeface="方正舒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DATE" xr10:uid="{8FE6D33D-4AEA-3C47-95A0-85BE391B0B93}" sourceName="DATE">
  <pivotTables>
    <pivotTable tabId="28" name="Accounts"/>
    <pivotTable tabId="28" name="Income"/>
    <pivotTable tabId="30" name="PivotTable4"/>
    <pivotTable tabId="30" name="PivotTable5"/>
    <pivotTable tabId="30" name="PivotTable6"/>
    <pivotTable tabId="30" name="PivotTable7"/>
    <pivotTable tabId="30" name="PivotTable1"/>
    <pivotTable tabId="30" name="PivotTable2"/>
    <pivotTable tabId="30" name="PivotTable3"/>
  </pivotTables>
  <state minimalRefreshVersion="6" lastRefreshVersion="6" pivotCacheId="1388460348" filterType="dateBetween">
    <selection startDate="2020-10-01T00:00:00" endDate="2020-12-31T00:00:00"/>
    <bounds startDate="2005-01-01T00:00:00" endDate="2006-01-01T00:00:00"/>
  </state>
</timelineCacheDefinition>
</file>

<file path=xl/timelineCaches/timelineCache2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DATE1" xr10:uid="{0638FCDE-D623-E948-902B-4EE77BA47FE2}" sourceName="DATE">
  <pivotTables>
    <pivotTable tabId="31" name="PivotTable2"/>
    <pivotTable tabId="31" name="Net Worth"/>
    <pivotTable tabId="31" name="Asset Allocation"/>
    <pivotTable tabId="31" name="PivotTable7"/>
    <pivotTable tabId="31" name="PivotTable1"/>
  </pivotTables>
  <state minimalRefreshVersion="6" lastRefreshVersion="6" pivotCacheId="737421175" filterType="dateBetween">
    <selection startDate="2015-01-01T00:00:00" endDate="2020-12-31T00:00:00"/>
    <bounds startDate="2005-01-01T00:00:00" endDate="2006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DATE" xr10:uid="{F7103735-C84D-6D4B-907D-672EDB6CED42}" cache="NativeTimeline_DATE" caption="DATE" showHeader="0" showSelectionLabel="0" showTimeLevel="0" showHorizontalScrollbar="0" level="1" selectionLevel="1" scrollPosition="2005-01-01T00:00:00"/>
  <timeline name="DATE 1" xr10:uid="{9B8105E3-F905-4948-891C-2E358A9DC7A6}" cache="NativeTimeline_DATE1" caption="DATE" showHeader="0" showSelectionLabel="0" showTimeLevel="0" showHorizontalScrollbar="0" level="1" selectionLevel="0" scrollPosition="2005-01-01T00:00:00"/>
</timelines>
</file>

<file path=xl/worksheets/_rels/sheet1.xml.rels><?xml version="1.0" encoding="UTF-8" standalone="yes"?>
<Relationships xmlns="http://schemas.openxmlformats.org/package/2006/relationships"><Relationship Id="rId3" Type="http://schemas.microsoft.com/office/2011/relationships/timeline" Target="../timelines/timeline1.xml"/><Relationship Id="rId2" Type="http://schemas.openxmlformats.org/officeDocument/2006/relationships/drawing" Target="../drawings/drawing1.xml"/><Relationship Id="rId1" Type="http://schemas.openxmlformats.org/officeDocument/2006/relationships/hyperlink" Target="https://gugulet.hu/?src=finance-spreadshee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github.com/gugulet-hu/personal-finances/wiki/10-Error-Codes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s://github.com/gugulet-hu/personal-finances/wiki/10-Error-Code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hyperlink" Target="https://github.com/gugulet-hu/personal-finances/wiki/10-Error-Codes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hyperlink" Target="https://github.com/gugulet-hu/personal-finances/wiki/10-Error-Codes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gugulet-hu/personal-finances/wiki/10-Error-Codes" TargetMode="External"/><Relationship Id="rId3" Type="http://schemas.openxmlformats.org/officeDocument/2006/relationships/hyperlink" Target="https://github.com/gugulet-hu/personal-finances/wiki/02-Common-Tasks" TargetMode="External"/><Relationship Id="rId7" Type="http://schemas.openxmlformats.org/officeDocument/2006/relationships/hyperlink" Target="https://github.com/gugulet-hu/personal-finances/issues" TargetMode="External"/><Relationship Id="rId2" Type="http://schemas.openxmlformats.org/officeDocument/2006/relationships/hyperlink" Target="https://github.com/gugulet-hu/personal-finances/wiki/02-Common-Tasks" TargetMode="External"/><Relationship Id="rId1" Type="http://schemas.openxmlformats.org/officeDocument/2006/relationships/hyperlink" Target="https://github.com/gugulet-hu/personal-finances" TargetMode="External"/><Relationship Id="rId6" Type="http://schemas.openxmlformats.org/officeDocument/2006/relationships/hyperlink" Target="https://github.com/gugulet-hu/personal-finances/wiki/03-Dashboard" TargetMode="External"/><Relationship Id="rId5" Type="http://schemas.openxmlformats.org/officeDocument/2006/relationships/hyperlink" Target="https://github.com/gugulet-hu/personal-finances/wiki/02-Common-Tasks" TargetMode="External"/><Relationship Id="rId4" Type="http://schemas.openxmlformats.org/officeDocument/2006/relationships/hyperlink" Target="https://github.com/gugulet-hu/personal-finances/wiki/02-Common-Tasks" TargetMode="External"/><Relationship Id="rId9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.xml"/><Relationship Id="rId7" Type="http://schemas.openxmlformats.org/officeDocument/2006/relationships/pivotTable" Target="../pivotTables/pivotTable9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6" Type="http://schemas.openxmlformats.org/officeDocument/2006/relationships/pivotTable" Target="../pivotTables/pivotTable8.xml"/><Relationship Id="rId5" Type="http://schemas.openxmlformats.org/officeDocument/2006/relationships/pivotTable" Target="../pivotTables/pivotTable7.xml"/><Relationship Id="rId4" Type="http://schemas.openxmlformats.org/officeDocument/2006/relationships/pivotTable" Target="../pivotTables/pivotTable6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2.xml"/><Relationship Id="rId2" Type="http://schemas.openxmlformats.org/officeDocument/2006/relationships/pivotTable" Target="../pivotTables/pivotTable11.xml"/><Relationship Id="rId1" Type="http://schemas.openxmlformats.org/officeDocument/2006/relationships/pivotTable" Target="../pivotTables/pivotTable10.xml"/><Relationship Id="rId5" Type="http://schemas.openxmlformats.org/officeDocument/2006/relationships/pivotTable" Target="../pivotTables/pivotTable14.xml"/><Relationship Id="rId4" Type="http://schemas.openxmlformats.org/officeDocument/2006/relationships/pivotTable" Target="../pivotTables/pivotTable13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16.xml"/><Relationship Id="rId1" Type="http://schemas.openxmlformats.org/officeDocument/2006/relationships/pivotTable" Target="../pivotTables/pivot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A3DB1-D03B-7E4B-980E-6A22AC76DC2D}">
  <sheetPr>
    <tabColor theme="0"/>
  </sheetPr>
  <dimension ref="A1:DI267"/>
  <sheetViews>
    <sheetView showGridLines="0" showRowColHeaders="0" tabSelected="1" workbookViewId="0">
      <pane ySplit="10" topLeftCell="A11" activePane="bottomLeft" state="frozen"/>
      <selection pane="bottomLeft" activeCell="K2" sqref="K2:R4"/>
    </sheetView>
  </sheetViews>
  <sheetFormatPr baseColWidth="10" defaultColWidth="0" defaultRowHeight="16" zeroHeight="1"/>
  <cols>
    <col min="1" max="1" width="5.5" style="10" customWidth="1"/>
    <col min="2" max="2" width="17.5" style="10" customWidth="1"/>
    <col min="3" max="3" width="10.83203125" style="10" customWidth="1"/>
    <col min="4" max="4" width="11.33203125" style="10" bestFit="1" customWidth="1"/>
    <col min="5" max="11" width="10.83203125" style="10" customWidth="1"/>
    <col min="12" max="15" width="11" style="10" customWidth="1"/>
    <col min="16" max="16" width="12" style="10" customWidth="1"/>
    <col min="17" max="17" width="11" style="10" customWidth="1"/>
    <col min="18" max="27" width="10.83203125" style="10" customWidth="1"/>
    <col min="28" max="29" width="10.83203125" style="11" customWidth="1"/>
    <col min="30" max="30" width="10.83203125" style="12" hidden="1" customWidth="1"/>
    <col min="31" max="113" width="0" style="10" hidden="1" customWidth="1"/>
    <col min="114" max="16384" width="10.83203125" style="10" hidden="1"/>
  </cols>
  <sheetData>
    <row r="1" spans="1:113" s="34" customFormat="1" ht="13" customHeight="1">
      <c r="L1" s="276"/>
      <c r="M1" s="276"/>
      <c r="N1" s="276"/>
      <c r="O1" s="277"/>
      <c r="P1" s="277"/>
      <c r="Q1" s="277"/>
    </row>
    <row r="2" spans="1:113" s="34" customFormat="1" ht="18">
      <c r="K2" s="285" t="s">
        <v>92</v>
      </c>
      <c r="L2" s="285"/>
      <c r="M2" s="285"/>
      <c r="N2" s="285"/>
      <c r="O2" s="285"/>
      <c r="P2" s="285"/>
      <c r="Q2" s="285"/>
      <c r="R2" s="285"/>
    </row>
    <row r="3" spans="1:113" s="34" customFormat="1" ht="18">
      <c r="K3" s="285"/>
      <c r="L3" s="285"/>
      <c r="M3" s="285"/>
      <c r="N3" s="285"/>
      <c r="O3" s="285"/>
      <c r="P3" s="285"/>
      <c r="Q3" s="285"/>
      <c r="R3" s="285"/>
    </row>
    <row r="4" spans="1:113" s="34" customFormat="1" ht="18">
      <c r="K4" s="285"/>
      <c r="L4" s="285"/>
      <c r="M4" s="285"/>
      <c r="N4" s="285"/>
      <c r="O4" s="285"/>
      <c r="P4" s="285"/>
      <c r="Q4" s="285"/>
      <c r="R4" s="285"/>
    </row>
    <row r="5" spans="1:113" s="34" customFormat="1" ht="18">
      <c r="N5" s="278">
        <f ca="1">TODAY()</f>
        <v>44137</v>
      </c>
      <c r="O5" s="279"/>
    </row>
    <row r="6" spans="1:113" s="34" customFormat="1" ht="18">
      <c r="N6" s="40"/>
      <c r="O6" s="41"/>
    </row>
    <row r="7" spans="1:113" s="34" customFormat="1" ht="18">
      <c r="N7" s="40"/>
      <c r="O7" s="41"/>
    </row>
    <row r="8" spans="1:113" s="34" customFormat="1" ht="18">
      <c r="N8" s="40"/>
      <c r="O8" s="41"/>
    </row>
    <row r="9" spans="1:113" s="34" customFormat="1" ht="18">
      <c r="N9" s="40"/>
      <c r="O9" s="41"/>
    </row>
    <row r="10" spans="1:113" s="35" customFormat="1" ht="34" customHeight="1">
      <c r="K10" s="36"/>
      <c r="L10" s="37"/>
      <c r="M10" s="43" t="s">
        <v>68</v>
      </c>
      <c r="N10" s="60" cm="1">
        <f t="array" ref="N10">IFERROR(LOOKUP(2,1/('± Transactions'!P:P&lt;&gt;""),'± Transactions'!P:P),"NA")</f>
        <v>0</v>
      </c>
      <c r="O10" s="43" t="s">
        <v>67</v>
      </c>
      <c r="P10" s="287" cm="1">
        <f t="array" aca="1" ref="P10" ca="1">IFERROR(LOOKUP(2,1/('× Investment'!P:P&lt;&gt;""),'× Investment'!P:P)+LOOKUP(2,1/('− Debt'!L:L&lt;&gt;""),'− Debt'!L:L)+LOOKUP(2,1/('+ Assets'!L:L&lt;&gt;""),'+ Assets'!L:L)+N10,"NA")</f>
        <v>0</v>
      </c>
      <c r="Q10" s="287"/>
      <c r="R10" s="36"/>
    </row>
    <row r="11" spans="1:113" s="35" customFormat="1" ht="34" customHeight="1">
      <c r="K11" s="36"/>
      <c r="L11" s="37"/>
      <c r="M11" s="43"/>
      <c r="N11" s="42"/>
      <c r="O11" s="43"/>
      <c r="P11" s="42"/>
      <c r="Q11" s="37"/>
      <c r="R11" s="36"/>
    </row>
    <row r="12" spans="1:113" s="48" customFormat="1" ht="19" customHeight="1">
      <c r="A12" s="44"/>
      <c r="B12" s="272">
        <f>'∷ Settings'!L15</f>
        <v>0.4</v>
      </c>
      <c r="C12" s="273"/>
      <c r="D12" s="45"/>
      <c r="E12" s="45"/>
      <c r="F12" s="45"/>
      <c r="G12" s="44"/>
      <c r="H12" s="274" t="str">
        <f>'∷ Settings'!L17</f>
        <v>R30k</v>
      </c>
      <c r="I12" s="274"/>
      <c r="J12" s="45"/>
      <c r="K12" s="45"/>
      <c r="L12" s="45"/>
      <c r="M12" s="274" t="str">
        <f>'∷ Settings'!L19</f>
        <v>R400k</v>
      </c>
      <c r="N12" s="274"/>
      <c r="O12" s="274"/>
      <c r="P12" s="45"/>
      <c r="Q12" s="44"/>
      <c r="R12" s="44"/>
      <c r="S12" s="274" t="str">
        <f>'∷ Settings'!L21</f>
        <v>R25k</v>
      </c>
      <c r="T12" s="274"/>
      <c r="U12" s="274"/>
      <c r="V12" s="46"/>
      <c r="W12" s="46"/>
      <c r="X12" s="46"/>
      <c r="Y12" s="274" t="str">
        <f>'∷ Settings'!L23</f>
        <v>3.5 yrs</v>
      </c>
      <c r="Z12" s="274"/>
      <c r="AA12" s="46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Q12" s="47"/>
      <c r="AR12" s="47"/>
      <c r="AS12" s="47"/>
      <c r="AT12" s="47"/>
      <c r="AU12" s="47"/>
      <c r="AV12" s="47"/>
      <c r="AW12" s="49"/>
      <c r="AX12" s="49"/>
      <c r="AY12" s="49"/>
      <c r="AZ12" s="49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  <c r="BR12" s="47"/>
      <c r="BS12" s="47"/>
      <c r="BT12" s="47"/>
      <c r="BU12" s="47"/>
      <c r="BV12" s="47"/>
      <c r="BW12" s="47"/>
      <c r="BX12" s="47"/>
      <c r="BY12" s="47"/>
      <c r="BZ12" s="47"/>
      <c r="CA12" s="47"/>
      <c r="CB12" s="47"/>
      <c r="CC12" s="47"/>
      <c r="CD12" s="47"/>
      <c r="CE12" s="47"/>
      <c r="CF12" s="47"/>
      <c r="CG12" s="47"/>
      <c r="CH12" s="47"/>
      <c r="CI12" s="47"/>
      <c r="CJ12" s="47"/>
      <c r="CK12" s="47"/>
      <c r="CL12" s="47"/>
      <c r="CM12" s="47"/>
      <c r="CN12" s="47"/>
      <c r="CO12" s="47"/>
      <c r="CP12" s="47"/>
      <c r="CQ12" s="47"/>
      <c r="CR12" s="47"/>
      <c r="CS12" s="47"/>
      <c r="CT12" s="47"/>
      <c r="CU12" s="47"/>
      <c r="CV12" s="47"/>
      <c r="CW12" s="47"/>
      <c r="CX12" s="47"/>
      <c r="CY12" s="47"/>
      <c r="CZ12" s="47"/>
      <c r="DA12" s="47"/>
      <c r="DB12" s="47"/>
      <c r="DC12" s="47"/>
      <c r="DD12" s="47"/>
      <c r="DE12" s="47"/>
      <c r="DF12" s="47"/>
      <c r="DG12" s="47"/>
      <c r="DH12" s="47"/>
      <c r="DI12" s="47"/>
    </row>
    <row r="13" spans="1:113" s="48" customFormat="1" ht="19" customHeight="1">
      <c r="A13" s="44"/>
      <c r="B13" s="273"/>
      <c r="C13" s="273"/>
      <c r="D13" s="45"/>
      <c r="E13" s="45"/>
      <c r="F13" s="45"/>
      <c r="G13" s="44"/>
      <c r="H13" s="274"/>
      <c r="I13" s="274"/>
      <c r="J13" s="45"/>
      <c r="K13" s="45"/>
      <c r="L13" s="45"/>
      <c r="M13" s="274"/>
      <c r="N13" s="274"/>
      <c r="O13" s="274"/>
      <c r="P13" s="45"/>
      <c r="Q13" s="44"/>
      <c r="R13" s="44"/>
      <c r="S13" s="274"/>
      <c r="T13" s="274"/>
      <c r="U13" s="274"/>
      <c r="V13" s="46"/>
      <c r="W13" s="46"/>
      <c r="X13" s="46"/>
      <c r="Y13" s="274"/>
      <c r="Z13" s="274"/>
      <c r="AA13" s="46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Q13" s="47"/>
      <c r="AR13" s="47"/>
      <c r="AS13" s="47"/>
      <c r="AT13" s="47"/>
      <c r="AU13" s="47"/>
      <c r="AV13" s="47"/>
      <c r="AW13" s="49"/>
      <c r="AX13" s="49"/>
      <c r="AY13" s="49"/>
      <c r="AZ13" s="49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  <c r="BR13" s="47"/>
      <c r="BS13" s="47"/>
      <c r="BT13" s="47"/>
      <c r="BU13" s="47"/>
      <c r="BV13" s="47"/>
      <c r="BW13" s="47"/>
      <c r="BX13" s="47"/>
      <c r="BY13" s="47"/>
      <c r="BZ13" s="47"/>
      <c r="CA13" s="47"/>
      <c r="CB13" s="47"/>
      <c r="CC13" s="47"/>
      <c r="CD13" s="47"/>
      <c r="CE13" s="47"/>
      <c r="CF13" s="47"/>
      <c r="CG13" s="47"/>
      <c r="CH13" s="47"/>
      <c r="CI13" s="47"/>
      <c r="CJ13" s="47"/>
      <c r="CK13" s="47"/>
      <c r="CL13" s="47"/>
      <c r="CM13" s="47"/>
      <c r="CN13" s="47"/>
      <c r="CO13" s="47"/>
      <c r="CP13" s="47"/>
      <c r="CQ13" s="47"/>
      <c r="CR13" s="47"/>
      <c r="CS13" s="47"/>
      <c r="CT13" s="47"/>
      <c r="CU13" s="47"/>
      <c r="CV13" s="47"/>
      <c r="CW13" s="47"/>
      <c r="CX13" s="47"/>
      <c r="CY13" s="47"/>
      <c r="CZ13" s="47"/>
      <c r="DA13" s="47"/>
      <c r="DB13" s="47"/>
      <c r="DC13" s="47"/>
      <c r="DD13" s="47"/>
      <c r="DE13" s="47"/>
      <c r="DF13" s="47"/>
      <c r="DG13" s="47"/>
      <c r="DH13" s="47"/>
      <c r="DI13" s="47"/>
    </row>
    <row r="14" spans="1:113" s="48" customFormat="1" ht="19" customHeight="1">
      <c r="A14" s="44"/>
      <c r="B14" s="273"/>
      <c r="C14" s="273"/>
      <c r="D14" s="45"/>
      <c r="E14" s="45"/>
      <c r="F14" s="45"/>
      <c r="G14" s="44"/>
      <c r="H14" s="274"/>
      <c r="I14" s="274"/>
      <c r="J14" s="45"/>
      <c r="K14" s="45"/>
      <c r="L14" s="45"/>
      <c r="M14" s="274"/>
      <c r="N14" s="274"/>
      <c r="O14" s="274"/>
      <c r="P14" s="45"/>
      <c r="Q14" s="44"/>
      <c r="R14" s="44"/>
      <c r="S14" s="274"/>
      <c r="T14" s="274"/>
      <c r="U14" s="274"/>
      <c r="V14" s="46"/>
      <c r="W14" s="46"/>
      <c r="X14" s="46"/>
      <c r="Y14" s="274"/>
      <c r="Z14" s="274"/>
      <c r="AA14" s="46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Q14" s="47"/>
      <c r="AR14" s="47"/>
      <c r="AS14" s="47"/>
      <c r="AT14" s="47"/>
      <c r="AU14" s="47"/>
      <c r="AV14" s="47"/>
      <c r="AW14" s="49"/>
      <c r="AX14" s="49"/>
      <c r="AY14" s="49"/>
      <c r="AZ14" s="49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  <c r="BR14" s="47"/>
      <c r="BS14" s="47"/>
      <c r="BT14" s="47"/>
      <c r="BU14" s="47"/>
      <c r="BV14" s="47"/>
      <c r="BW14" s="47"/>
      <c r="BX14" s="47"/>
      <c r="BY14" s="47"/>
      <c r="BZ14" s="47"/>
      <c r="CA14" s="47"/>
      <c r="CB14" s="47"/>
      <c r="CC14" s="47"/>
      <c r="CD14" s="47"/>
      <c r="CE14" s="47"/>
      <c r="CF14" s="47"/>
      <c r="CG14" s="47"/>
      <c r="CH14" s="47"/>
      <c r="CI14" s="47"/>
      <c r="CJ14" s="47"/>
      <c r="CK14" s="47"/>
      <c r="CL14" s="47"/>
      <c r="CM14" s="47"/>
      <c r="CN14" s="47"/>
      <c r="CO14" s="47"/>
      <c r="CP14" s="47"/>
      <c r="CQ14" s="47"/>
      <c r="CR14" s="47"/>
      <c r="CS14" s="47"/>
      <c r="CT14" s="47"/>
      <c r="CU14" s="47"/>
      <c r="CV14" s="47"/>
      <c r="CW14" s="47"/>
      <c r="CX14" s="47"/>
      <c r="CY14" s="47"/>
      <c r="CZ14" s="47"/>
      <c r="DA14" s="47"/>
      <c r="DB14" s="47"/>
      <c r="DC14" s="47"/>
      <c r="DD14" s="47"/>
      <c r="DE14" s="47"/>
      <c r="DF14" s="47"/>
      <c r="DG14" s="47"/>
      <c r="DH14" s="47"/>
      <c r="DI14" s="47"/>
    </row>
    <row r="15" spans="1:113" s="51" customFormat="1" ht="18">
      <c r="A15" s="50"/>
      <c r="B15" s="284" t="str">
        <f>'∷ Settings'!M15</f>
        <v>non-salary income</v>
      </c>
      <c r="C15" s="284"/>
      <c r="G15" s="50"/>
      <c r="H15" s="275" t="str">
        <f>'∷ Settings'!M17</f>
        <v>emergency savings</v>
      </c>
      <c r="I15" s="275"/>
      <c r="M15" s="275" t="str">
        <f>'∷ Settings'!M19</f>
        <v>bond deposit</v>
      </c>
      <c r="N15" s="275"/>
      <c r="O15" s="275"/>
      <c r="Q15" s="275"/>
      <c r="R15" s="275"/>
      <c r="S15" s="275" t="str">
        <f>'∷ Settings'!M21</f>
        <v>annual travel allowance</v>
      </c>
      <c r="T15" s="275"/>
      <c r="U15" s="275"/>
      <c r="V15" s="52"/>
      <c r="W15" s="52"/>
      <c r="X15" s="52"/>
      <c r="Y15" s="275" t="str">
        <f>'∷ Settings'!M23</f>
        <v>average asset age</v>
      </c>
      <c r="Z15" s="275"/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2"/>
      <c r="AL15" s="52"/>
      <c r="AM15" s="52"/>
      <c r="AN15" s="52"/>
      <c r="AO15" s="52"/>
      <c r="AQ15" s="52"/>
      <c r="AR15" s="52"/>
      <c r="AS15" s="52"/>
      <c r="AT15" s="52"/>
      <c r="AU15" s="52"/>
      <c r="AV15" s="52"/>
      <c r="AW15" s="53"/>
      <c r="AX15" s="53"/>
      <c r="AY15" s="53"/>
      <c r="AZ15" s="53"/>
      <c r="BA15" s="52"/>
      <c r="BB15" s="52"/>
      <c r="BC15" s="52"/>
      <c r="BD15" s="52"/>
      <c r="BE15" s="52"/>
      <c r="BF15" s="52"/>
      <c r="BG15" s="52"/>
      <c r="BH15" s="52"/>
      <c r="BI15" s="52"/>
      <c r="BJ15" s="52"/>
      <c r="BK15" s="52"/>
      <c r="BL15" s="52"/>
      <c r="BM15" s="52"/>
      <c r="BN15" s="52"/>
      <c r="BO15" s="52"/>
      <c r="BP15" s="52"/>
      <c r="BQ15" s="52"/>
      <c r="BR15" s="52"/>
      <c r="BS15" s="52"/>
      <c r="BT15" s="52"/>
      <c r="BU15" s="52"/>
      <c r="BV15" s="52"/>
      <c r="BW15" s="52"/>
      <c r="BX15" s="52"/>
      <c r="BY15" s="52"/>
      <c r="BZ15" s="52"/>
      <c r="CA15" s="52"/>
      <c r="CB15" s="52"/>
      <c r="CC15" s="52"/>
      <c r="CD15" s="52"/>
      <c r="CE15" s="52"/>
      <c r="CF15" s="52"/>
      <c r="CG15" s="52"/>
      <c r="CH15" s="52"/>
      <c r="CI15" s="52"/>
      <c r="CJ15" s="52"/>
      <c r="CK15" s="52"/>
      <c r="CL15" s="52"/>
      <c r="CM15" s="52"/>
      <c r="CN15" s="52"/>
      <c r="CO15" s="52"/>
      <c r="CP15" s="52"/>
      <c r="CQ15" s="52"/>
      <c r="CR15" s="52"/>
      <c r="CS15" s="52"/>
      <c r="CT15" s="52"/>
      <c r="CU15" s="52"/>
      <c r="CV15" s="52"/>
      <c r="CW15" s="52"/>
      <c r="CX15" s="52"/>
      <c r="CY15" s="52"/>
      <c r="CZ15" s="52"/>
      <c r="DA15" s="52"/>
      <c r="DB15" s="52"/>
      <c r="DC15" s="52"/>
      <c r="DD15" s="52"/>
      <c r="DE15" s="52"/>
      <c r="DF15" s="52"/>
      <c r="DG15" s="52"/>
      <c r="DH15" s="52"/>
      <c r="DI15" s="52"/>
    </row>
    <row r="16" spans="1:113" s="55" customFormat="1" ht="19" customHeight="1">
      <c r="A16" s="54"/>
      <c r="B16" s="283">
        <f ca="1">'∷ Settings'!Q15</f>
        <v>0</v>
      </c>
      <c r="C16" s="283"/>
      <c r="D16" s="283"/>
      <c r="G16" s="56"/>
      <c r="H16" s="271">
        <f>'∷ Settings'!Q17</f>
        <v>-30000</v>
      </c>
      <c r="I16" s="271"/>
      <c r="J16" s="217"/>
      <c r="K16" s="217"/>
      <c r="L16" s="217"/>
      <c r="M16" s="271">
        <f>'∷ Settings'!Q19</f>
        <v>-400000</v>
      </c>
      <c r="N16" s="271"/>
      <c r="O16" s="271"/>
      <c r="P16" s="217"/>
      <c r="Q16" s="270"/>
      <c r="R16" s="270"/>
      <c r="S16" s="271">
        <f>'∷ Settings'!Q21</f>
        <v>-25000</v>
      </c>
      <c r="T16" s="271"/>
      <c r="U16" s="271"/>
      <c r="V16" s="57"/>
      <c r="W16" s="57"/>
      <c r="X16" s="57"/>
      <c r="Y16" s="269">
        <f ca="1">'∷ Settings'!Q23</f>
        <v>15.846575342465753</v>
      </c>
      <c r="Z16" s="269"/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Q16" s="57"/>
      <c r="AR16" s="57"/>
      <c r="AS16" s="57"/>
      <c r="AT16" s="57"/>
      <c r="AU16" s="57"/>
      <c r="AV16" s="57"/>
      <c r="AW16" s="58"/>
      <c r="AX16" s="58"/>
      <c r="AY16" s="58"/>
      <c r="AZ16" s="58"/>
      <c r="BA16" s="57"/>
      <c r="BB16" s="57"/>
      <c r="BC16" s="57"/>
      <c r="BD16" s="57"/>
      <c r="BE16" s="57"/>
      <c r="BF16" s="57"/>
      <c r="BG16" s="57"/>
      <c r="BH16" s="57"/>
      <c r="BI16" s="57"/>
      <c r="BJ16" s="57"/>
      <c r="BK16" s="57"/>
      <c r="BL16" s="57"/>
      <c r="BM16" s="57"/>
      <c r="BN16" s="57"/>
      <c r="BO16" s="57"/>
      <c r="BP16" s="57"/>
      <c r="BQ16" s="57"/>
      <c r="BR16" s="57"/>
      <c r="BS16" s="57"/>
      <c r="BT16" s="57"/>
      <c r="BU16" s="57"/>
      <c r="BV16" s="57"/>
      <c r="BW16" s="57"/>
      <c r="BX16" s="57"/>
      <c r="BY16" s="57"/>
      <c r="BZ16" s="57"/>
      <c r="CA16" s="57"/>
      <c r="CB16" s="57"/>
      <c r="CC16" s="57"/>
      <c r="CD16" s="57"/>
      <c r="CE16" s="57"/>
      <c r="CF16" s="57"/>
      <c r="CG16" s="57"/>
      <c r="CH16" s="57"/>
      <c r="CI16" s="57"/>
      <c r="CJ16" s="57"/>
      <c r="CK16" s="57"/>
      <c r="CL16" s="57"/>
      <c r="CM16" s="57"/>
      <c r="CN16" s="57"/>
      <c r="CO16" s="57"/>
      <c r="CP16" s="57"/>
      <c r="CQ16" s="57"/>
      <c r="CR16" s="57"/>
      <c r="CS16" s="57"/>
      <c r="CT16" s="57"/>
      <c r="CU16" s="57"/>
      <c r="CV16" s="57"/>
      <c r="CW16" s="57"/>
      <c r="CX16" s="57"/>
      <c r="CY16" s="57"/>
      <c r="CZ16" s="57"/>
      <c r="DA16" s="57"/>
      <c r="DB16" s="57"/>
      <c r="DC16" s="57"/>
      <c r="DD16" s="57"/>
      <c r="DE16" s="57"/>
      <c r="DF16" s="57"/>
      <c r="DG16" s="57"/>
      <c r="DH16" s="57"/>
      <c r="DI16" s="57"/>
    </row>
    <row r="17" spans="1:113" s="55" customFormat="1" ht="19" customHeight="1">
      <c r="A17" s="54"/>
      <c r="B17" s="283"/>
      <c r="C17" s="283"/>
      <c r="D17" s="283"/>
      <c r="G17" s="56"/>
      <c r="H17" s="271"/>
      <c r="I17" s="271"/>
      <c r="J17" s="217"/>
      <c r="K17" s="217"/>
      <c r="L17" s="217"/>
      <c r="M17" s="271"/>
      <c r="N17" s="271"/>
      <c r="O17" s="271"/>
      <c r="P17" s="217"/>
      <c r="Q17" s="270"/>
      <c r="R17" s="270"/>
      <c r="S17" s="271"/>
      <c r="T17" s="271"/>
      <c r="U17" s="271"/>
      <c r="V17" s="57"/>
      <c r="W17" s="57"/>
      <c r="X17" s="57"/>
      <c r="Y17" s="269"/>
      <c r="Z17" s="269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Q17" s="57"/>
      <c r="AR17" s="57"/>
      <c r="AS17" s="57"/>
      <c r="AT17" s="57"/>
      <c r="AU17" s="57"/>
      <c r="AV17" s="57"/>
      <c r="AW17" s="58"/>
      <c r="AX17" s="58"/>
      <c r="AY17" s="58"/>
      <c r="AZ17" s="58"/>
      <c r="BA17" s="57"/>
      <c r="BB17" s="57"/>
      <c r="BC17" s="57"/>
      <c r="BD17" s="57"/>
      <c r="BE17" s="57"/>
      <c r="BF17" s="57"/>
      <c r="BG17" s="57"/>
      <c r="BH17" s="57"/>
      <c r="BI17" s="57"/>
      <c r="BJ17" s="57"/>
      <c r="BK17" s="57"/>
      <c r="BL17" s="57"/>
      <c r="BM17" s="57"/>
      <c r="BN17" s="57"/>
      <c r="BO17" s="57"/>
      <c r="BP17" s="57"/>
      <c r="BQ17" s="57"/>
      <c r="BR17" s="57"/>
      <c r="BS17" s="57"/>
      <c r="BT17" s="57"/>
      <c r="BU17" s="57"/>
      <c r="BV17" s="57"/>
      <c r="BW17" s="57"/>
      <c r="BX17" s="57"/>
      <c r="BY17" s="57"/>
      <c r="BZ17" s="57"/>
      <c r="CA17" s="57"/>
      <c r="CB17" s="57"/>
      <c r="CC17" s="57"/>
      <c r="CD17" s="57"/>
      <c r="CE17" s="57"/>
      <c r="CF17" s="57"/>
      <c r="CG17" s="57"/>
      <c r="CH17" s="57"/>
      <c r="CI17" s="57"/>
      <c r="CJ17" s="57"/>
      <c r="CK17" s="57"/>
      <c r="CL17" s="57"/>
      <c r="CM17" s="57"/>
      <c r="CN17" s="57"/>
      <c r="CO17" s="57"/>
      <c r="CP17" s="57"/>
      <c r="CQ17" s="57"/>
      <c r="CR17" s="57"/>
      <c r="CS17" s="57"/>
      <c r="CT17" s="57"/>
      <c r="CU17" s="57"/>
      <c r="CV17" s="57"/>
      <c r="CW17" s="57"/>
      <c r="CX17" s="57"/>
      <c r="CY17" s="57"/>
      <c r="CZ17" s="57"/>
      <c r="DA17" s="57"/>
      <c r="DB17" s="57"/>
      <c r="DC17" s="57"/>
      <c r="DD17" s="57"/>
      <c r="DE17" s="57"/>
      <c r="DF17" s="57"/>
      <c r="DG17" s="57"/>
      <c r="DH17" s="57"/>
      <c r="DI17" s="57"/>
    </row>
    <row r="18" spans="1:113" s="55" customFormat="1" ht="19" customHeight="1">
      <c r="A18" s="54"/>
      <c r="B18" s="283"/>
      <c r="C18" s="283"/>
      <c r="D18" s="283"/>
      <c r="G18" s="56"/>
      <c r="H18" s="271"/>
      <c r="I18" s="271"/>
      <c r="J18" s="217"/>
      <c r="K18" s="217"/>
      <c r="L18" s="217"/>
      <c r="M18" s="271"/>
      <c r="N18" s="271"/>
      <c r="O18" s="271"/>
      <c r="P18" s="217"/>
      <c r="Q18" s="270"/>
      <c r="R18" s="270"/>
      <c r="S18" s="271"/>
      <c r="T18" s="271"/>
      <c r="U18" s="271"/>
      <c r="V18" s="57"/>
      <c r="W18" s="57"/>
      <c r="X18" s="57"/>
      <c r="Y18" s="269"/>
      <c r="Z18" s="269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Q18" s="57"/>
      <c r="AR18" s="57"/>
      <c r="AS18" s="57"/>
      <c r="AT18" s="57"/>
      <c r="AU18" s="57"/>
      <c r="AV18" s="57"/>
      <c r="AW18" s="58"/>
      <c r="AX18" s="58"/>
      <c r="AY18" s="58"/>
      <c r="AZ18" s="58"/>
      <c r="BA18" s="57"/>
      <c r="BB18" s="57"/>
      <c r="BC18" s="57"/>
      <c r="BD18" s="57"/>
      <c r="BE18" s="57"/>
      <c r="BF18" s="57"/>
      <c r="BG18" s="57"/>
      <c r="BH18" s="57"/>
      <c r="BI18" s="57"/>
      <c r="BJ18" s="57"/>
      <c r="BK18" s="57"/>
      <c r="BL18" s="57"/>
      <c r="BM18" s="57"/>
      <c r="BN18" s="57"/>
      <c r="BO18" s="57"/>
      <c r="BP18" s="57"/>
      <c r="BQ18" s="57"/>
      <c r="BR18" s="57"/>
      <c r="BS18" s="57"/>
      <c r="BT18" s="57"/>
      <c r="BU18" s="57"/>
      <c r="BV18" s="57"/>
      <c r="BW18" s="57"/>
      <c r="BX18" s="57"/>
      <c r="BY18" s="57"/>
      <c r="BZ18" s="57"/>
      <c r="CA18" s="57"/>
      <c r="CB18" s="57"/>
      <c r="CC18" s="57"/>
      <c r="CD18" s="57"/>
      <c r="CE18" s="57"/>
      <c r="CF18" s="57"/>
      <c r="CG18" s="57"/>
      <c r="CH18" s="57"/>
      <c r="CI18" s="57"/>
      <c r="CJ18" s="57"/>
      <c r="CK18" s="57"/>
      <c r="CL18" s="57"/>
      <c r="CM18" s="57"/>
      <c r="CN18" s="57"/>
      <c r="CO18" s="57"/>
      <c r="CP18" s="57"/>
      <c r="CQ18" s="57"/>
      <c r="CR18" s="57"/>
      <c r="CS18" s="57"/>
      <c r="CT18" s="57"/>
      <c r="CU18" s="57"/>
      <c r="CV18" s="57"/>
      <c r="CW18" s="57"/>
      <c r="CX18" s="57"/>
      <c r="CY18" s="57"/>
      <c r="CZ18" s="57"/>
      <c r="DA18" s="57"/>
      <c r="DB18" s="57"/>
      <c r="DC18" s="57"/>
      <c r="DD18" s="57"/>
      <c r="DE18" s="57"/>
      <c r="DF18" s="57"/>
      <c r="DG18" s="57"/>
      <c r="DH18" s="57"/>
      <c r="DI18" s="57"/>
    </row>
    <row r="19" spans="1:113" s="35" customFormat="1" ht="34" customHeight="1">
      <c r="K19" s="36"/>
      <c r="L19" s="37"/>
      <c r="M19" s="37"/>
      <c r="N19" s="37"/>
      <c r="O19" s="37"/>
      <c r="P19" s="37"/>
      <c r="Q19" s="37"/>
      <c r="R19" s="36"/>
    </row>
    <row r="20" spans="1:113" s="35" customFormat="1" ht="20" customHeight="1">
      <c r="K20" s="36"/>
      <c r="L20" s="37"/>
      <c r="M20" s="37"/>
      <c r="N20" s="37"/>
      <c r="O20" s="37"/>
      <c r="P20" s="37"/>
      <c r="Q20" s="37"/>
      <c r="R20" s="36"/>
    </row>
    <row r="21" spans="1:113" s="38" customFormat="1">
      <c r="C21" s="59">
        <f ca="1">Data!Z17-C22</f>
        <v>0</v>
      </c>
      <c r="F21" s="59">
        <f ca="1">Data!Z24-F22</f>
        <v>0</v>
      </c>
      <c r="I21" s="281">
        <f ca="1">Data!Z14-I22</f>
        <v>0</v>
      </c>
      <c r="J21" s="281"/>
      <c r="L21" s="282">
        <f ca="1">Data!Z18-L22</f>
        <v>0</v>
      </c>
      <c r="M21" s="282"/>
      <c r="O21" s="282">
        <f ca="1">Data!Z26-O22</f>
        <v>0</v>
      </c>
      <c r="P21" s="282"/>
      <c r="R21" s="282">
        <f ca="1">Data!Z31-R22</f>
        <v>0</v>
      </c>
      <c r="S21" s="282"/>
      <c r="U21" s="282">
        <f ca="1">Data!Z13-U22</f>
        <v>0</v>
      </c>
      <c r="V21" s="282"/>
      <c r="X21" s="281">
        <f ca="1">Data!Z27-X22</f>
        <v>0</v>
      </c>
      <c r="Y21" s="281"/>
      <c r="AA21" s="281">
        <f ca="1">Data!Z11-AA22</f>
        <v>0</v>
      </c>
      <c r="AB21" s="281"/>
    </row>
    <row r="22" spans="1:113" s="38" customFormat="1" ht="18" customHeight="1">
      <c r="A22" s="39"/>
      <c r="B22" s="39"/>
      <c r="C22" s="280">
        <f ca="1">Data!U17</f>
        <v>0</v>
      </c>
      <c r="D22" s="39"/>
      <c r="E22" s="39"/>
      <c r="F22" s="280">
        <f ca="1">Data!U24</f>
        <v>0</v>
      </c>
      <c r="G22" s="39"/>
      <c r="H22" s="39"/>
      <c r="I22" s="280">
        <f ca="1">Data!U14</f>
        <v>0</v>
      </c>
      <c r="J22" s="280"/>
      <c r="K22" s="39"/>
      <c r="L22" s="280">
        <f ca="1">Data!U18</f>
        <v>0</v>
      </c>
      <c r="M22" s="280"/>
      <c r="N22" s="39"/>
      <c r="O22" s="280">
        <f ca="1">Data!U26</f>
        <v>0</v>
      </c>
      <c r="P22" s="280"/>
      <c r="Q22" s="39"/>
      <c r="R22" s="286">
        <f ca="1">Data!U31</f>
        <v>0</v>
      </c>
      <c r="S22" s="286"/>
      <c r="T22" s="39"/>
      <c r="U22" s="280">
        <f ca="1">Data!U13</f>
        <v>0</v>
      </c>
      <c r="V22" s="280"/>
      <c r="W22" s="39"/>
      <c r="X22" s="280">
        <f ca="1">Data!U27</f>
        <v>0</v>
      </c>
      <c r="Y22" s="280"/>
      <c r="Z22" s="39"/>
      <c r="AA22" s="280">
        <f ca="1">Data!U11</f>
        <v>0</v>
      </c>
      <c r="AB22" s="280"/>
      <c r="AC22" s="39"/>
    </row>
    <row r="23" spans="1:113" s="38" customFormat="1" ht="18" customHeight="1">
      <c r="C23" s="280"/>
      <c r="F23" s="280"/>
      <c r="I23" s="280"/>
      <c r="J23" s="280"/>
      <c r="L23" s="280"/>
      <c r="M23" s="280"/>
      <c r="O23" s="280"/>
      <c r="P23" s="280"/>
      <c r="R23" s="286"/>
      <c r="S23" s="286"/>
      <c r="U23" s="280"/>
      <c r="V23" s="280"/>
      <c r="X23" s="280"/>
      <c r="Y23" s="280"/>
      <c r="AA23" s="280"/>
      <c r="AB23" s="280"/>
    </row>
    <row r="24" spans="1:113" s="38" customFormat="1" ht="18" customHeight="1">
      <c r="C24" s="280"/>
      <c r="F24" s="280"/>
      <c r="I24" s="280"/>
      <c r="J24" s="280"/>
      <c r="L24" s="280"/>
      <c r="M24" s="280"/>
      <c r="O24" s="280"/>
      <c r="P24" s="280"/>
      <c r="R24" s="286"/>
      <c r="S24" s="286"/>
      <c r="U24" s="288" t="s">
        <v>126</v>
      </c>
      <c r="V24" s="288"/>
      <c r="X24" s="288" t="s">
        <v>127</v>
      </c>
      <c r="Y24" s="288"/>
      <c r="AA24" s="288" t="s">
        <v>127</v>
      </c>
      <c r="AB24" s="288"/>
    </row>
    <row r="25" spans="1:113" s="38" customFormat="1"/>
    <row r="26" spans="1:113" s="38" customFormat="1"/>
    <row r="27" spans="1:113"/>
    <row r="28" spans="1:113"/>
    <row r="29" spans="1:113"/>
    <row r="30" spans="1:113"/>
    <row r="31" spans="1:113"/>
    <row r="32" spans="1:113">
      <c r="N32" s="251"/>
      <c r="O32" s="252"/>
    </row>
    <row r="33" spans="14:30"/>
    <row r="34" spans="14:30">
      <c r="N34" s="251" t="s">
        <v>68</v>
      </c>
      <c r="O34" s="252"/>
      <c r="Y34" s="251" t="s">
        <v>134</v>
      </c>
      <c r="Z34" s="252"/>
    </row>
    <row r="35" spans="14:30" s="7" customFormat="1">
      <c r="N35" s="80"/>
      <c r="O35" s="81"/>
      <c r="Y35" s="80"/>
      <c r="Z35" s="81"/>
      <c r="AB35" s="8"/>
      <c r="AC35" s="8"/>
      <c r="AD35" s="9"/>
    </row>
    <row r="36" spans="14:30" s="7" customFormat="1">
      <c r="N36" s="80"/>
      <c r="O36" s="81"/>
      <c r="Y36" s="80"/>
      <c r="Z36" s="81"/>
      <c r="AB36" s="8"/>
      <c r="AC36" s="8"/>
      <c r="AD36" s="9"/>
    </row>
    <row r="37" spans="14:30" s="7" customFormat="1">
      <c r="N37" s="80"/>
      <c r="O37" s="81"/>
      <c r="Y37" s="80"/>
      <c r="Z37" s="81"/>
      <c r="AB37" s="8"/>
      <c r="AC37" s="8"/>
      <c r="AD37" s="9"/>
    </row>
    <row r="38" spans="14:30" s="7" customFormat="1">
      <c r="N38" s="80"/>
      <c r="O38" s="81"/>
      <c r="Y38" s="80"/>
      <c r="Z38" s="81"/>
      <c r="AB38" s="8"/>
      <c r="AC38" s="8"/>
      <c r="AD38" s="9"/>
    </row>
    <row r="39" spans="14:30" s="7" customFormat="1" ht="58" customHeight="1">
      <c r="AB39" s="8"/>
      <c r="AC39" s="8"/>
      <c r="AD39" s="9"/>
    </row>
    <row r="40" spans="14:30" s="7" customFormat="1" ht="19" customHeight="1">
      <c r="AB40" s="8"/>
      <c r="AC40" s="8"/>
      <c r="AD40" s="9"/>
    </row>
    <row r="41" spans="14:30" s="7" customFormat="1" ht="19" customHeight="1">
      <c r="AB41" s="8"/>
      <c r="AC41" s="8"/>
      <c r="AD41" s="9"/>
    </row>
    <row r="42" spans="14:30" s="7" customFormat="1" ht="19" customHeight="1">
      <c r="AB42" s="8"/>
      <c r="AC42" s="8"/>
      <c r="AD42" s="9"/>
    </row>
    <row r="43" spans="14:30"/>
    <row r="44" spans="14:30"/>
    <row r="45" spans="14:30"/>
    <row r="46" spans="14:30"/>
    <row r="47" spans="14:30"/>
    <row r="48" spans="14:30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 spans="2:27"/>
    <row r="66" spans="2:27"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</row>
    <row r="67" spans="2:27">
      <c r="B67" s="78"/>
      <c r="C67" s="78"/>
      <c r="D67" s="78"/>
      <c r="E67" s="78"/>
      <c r="F67" s="78"/>
      <c r="G67" s="78"/>
      <c r="H67" s="78"/>
      <c r="I67" s="78"/>
      <c r="J67" s="78"/>
      <c r="K67" s="78"/>
      <c r="L67" s="78"/>
      <c r="M67" s="78"/>
      <c r="N67" s="78"/>
      <c r="O67" s="78"/>
      <c r="P67" s="78"/>
      <c r="Q67" s="78"/>
      <c r="R67" s="78"/>
      <c r="S67" s="78"/>
      <c r="T67" s="78"/>
      <c r="U67" s="78"/>
      <c r="V67" s="78"/>
      <c r="W67" s="78"/>
      <c r="X67" s="78"/>
      <c r="Y67" s="78"/>
      <c r="Z67" s="78"/>
      <c r="AA67" s="78"/>
    </row>
    <row r="68" spans="2:27"/>
    <row r="69" spans="2:27">
      <c r="N69" s="251"/>
      <c r="O69" s="252"/>
    </row>
    <row r="70" spans="2:27"/>
    <row r="71" spans="2:27"/>
    <row r="72" spans="2:27"/>
    <row r="73" spans="2:27">
      <c r="N73" s="251" t="s">
        <v>136</v>
      </c>
      <c r="O73" s="252"/>
    </row>
    <row r="74" spans="2:27"/>
    <row r="75" spans="2:27"/>
    <row r="76" spans="2:27"/>
    <row r="77" spans="2:27"/>
    <row r="78" spans="2:27"/>
    <row r="79" spans="2:27"/>
    <row r="80" spans="2:27"/>
    <row r="81"/>
    <row r="82"/>
    <row r="83"/>
    <row r="84"/>
    <row r="85"/>
    <row r="86"/>
    <row r="87"/>
    <row r="88"/>
    <row r="89"/>
    <row r="90"/>
    <row r="91"/>
    <row r="92"/>
    <row r="93"/>
    <row r="94" ht="19" customHeight="1"/>
    <row r="95" ht="19" customHeight="1"/>
    <row r="96"/>
    <row r="97" spans="2:41"/>
    <row r="98" spans="2:41"/>
    <row r="99" spans="2:41"/>
    <row r="100" spans="2:41"/>
    <row r="101" spans="2:41"/>
    <row r="102" spans="2:41"/>
    <row r="103" spans="2:41">
      <c r="AE103" s="11"/>
      <c r="AF103" s="11"/>
      <c r="AG103" s="12"/>
    </row>
    <row r="104" spans="2:41">
      <c r="AE104" s="11"/>
      <c r="AF104" s="11"/>
      <c r="AG104" s="12"/>
    </row>
    <row r="105" spans="2:41">
      <c r="AE105" s="11"/>
      <c r="AF105" s="11"/>
      <c r="AG105" s="12"/>
    </row>
    <row r="106" spans="2:41">
      <c r="AE106" s="11"/>
      <c r="AF106" s="11"/>
      <c r="AG106" s="12"/>
    </row>
    <row r="107" spans="2:41">
      <c r="AE107" s="11"/>
      <c r="AF107" s="11"/>
      <c r="AG107" s="12"/>
    </row>
    <row r="108" spans="2:41">
      <c r="AB108" s="10"/>
      <c r="AC108" s="10"/>
      <c r="AD108" s="10"/>
      <c r="AE108" s="11"/>
      <c r="AF108" s="11"/>
      <c r="AG108" s="12"/>
    </row>
    <row r="109" spans="2:41">
      <c r="B109" s="265" t="s">
        <v>147</v>
      </c>
      <c r="C109" s="266"/>
      <c r="E109" s="265" t="s">
        <v>43</v>
      </c>
      <c r="F109" s="266"/>
      <c r="H109" s="265" t="s">
        <v>76</v>
      </c>
      <c r="I109" s="266"/>
      <c r="K109" s="265" t="s">
        <v>143</v>
      </c>
      <c r="L109" s="266"/>
      <c r="N109" s="265" t="s">
        <v>5</v>
      </c>
      <c r="O109" s="266"/>
      <c r="P109" s="66"/>
      <c r="Q109" s="265" t="s">
        <v>40</v>
      </c>
      <c r="R109" s="266"/>
      <c r="T109" s="265" t="s">
        <v>137</v>
      </c>
      <c r="U109" s="266"/>
      <c r="W109" s="265" t="s">
        <v>24</v>
      </c>
      <c r="X109" s="266"/>
      <c r="Z109" s="265" t="s">
        <v>138</v>
      </c>
      <c r="AA109" s="266"/>
      <c r="AB109" s="10"/>
      <c r="AC109" s="10"/>
      <c r="AD109" s="10"/>
      <c r="AM109" s="11"/>
      <c r="AN109" s="11"/>
      <c r="AO109" s="12"/>
    </row>
    <row r="110" spans="2:41" s="67" customFormat="1" ht="23">
      <c r="B110" s="253" t="str" cm="1">
        <f t="array" ref="B110">IFERROR(GETPIVOTDATA("OUTFLOW",'Categories | Subcategories'!$A$1)/(_xlfn.DAYS(LOOKUP(2,1/('Categories | Subcategories'!G:G&lt;&gt;""),'Categories | Subcategories'!G:G),'Categories | Subcategories'!G4)+2),"NA")</f>
        <v>NA</v>
      </c>
      <c r="C110" s="254"/>
      <c r="E110" s="253" t="str" cm="1">
        <f t="array" ref="E110">IFERROR(GETPIVOTDATA("OUTFLOW",'Categories | Subcategories'!$A$1,"CATEGORY","Food")/((_xlfn.DAYS(LOOKUP(2,1/('Categories | Subcategories'!G:G&lt;&gt;""),'Categories | Subcategories'!G:G),'Categories | Subcategories'!G4)+2)*4),"NA")</f>
        <v>NA</v>
      </c>
      <c r="F110" s="254"/>
      <c r="G110" s="74"/>
      <c r="H110" s="253" t="str" cm="1">
        <f t="array" ref="H110">IFERROR(SUM(SUMIFS('Categories | Subcategories'!L:L,'Categories | Subcategories'!K:K,{"Beef","Chicken","Fish","Pork"}))/(SUM(SUMIFS('Categories | Subcategories'!P:P,'Categories | Subcategories'!O:O,{"Beef","Chicken","Fish","Pork"}))/1000+SUM(SUMIFS('Categories | Subcategories'!R:R,'Categories | Subcategories'!O:O,{"Beef","Chicken","Fish","Pork"}))),"NA")</f>
        <v>NA</v>
      </c>
      <c r="I110" s="254"/>
      <c r="J110" s="74"/>
      <c r="K110" s="253" t="str" cm="1">
        <f t="array" ref="K110">IFERROR(SUM(SUMIFS('Categories | Subcategories'!L:L,'Categories | Subcategories'!K:K,{"Fruit","Vegetables"}))/((GETPIVOTDATA("QUANTITY",'Categories | Subcategories'!$O$3,"UNIT","g","SUB-CATEGORY","Fruit")+GETPIVOTDATA("QUANTITY",'Categories | Subcategories'!$O$3,"UNIT","g","SUB-CATEGORY","Vegetables"))/1000+(GETPIVOTDATA("QUANTITY",'Categories | Subcategories'!$O$3,"UNIT","kg","SUB-CATEGORY","Fruit")+GETPIVOTDATA("QUANTITY",'Categories | Subcategories'!$O$3,"UNIT","kg","SUB-CATEGORY","Vegetables"))),"NA")</f>
        <v>NA</v>
      </c>
      <c r="L110" s="254"/>
      <c r="M110" s="74"/>
      <c r="N110" s="253" t="str">
        <f>IFERROR(SUMIF('Categories | Subcategories'!K:K,"Data",'Categories | Subcategories'!L:L)/GETPIVOTDATA("QUANTITY",'Categories | Subcategories'!$O$3,"SUB-CATEGORY","Data"),"NA")</f>
        <v>NA</v>
      </c>
      <c r="O110" s="254"/>
      <c r="P110" s="74"/>
      <c r="Q110" s="253" t="str">
        <f>IFERROR(SUMIF('Categories | Subcategories'!K:K,"Utilities",'Categories | Subcategories'!L:L)/GETPIVOTDATA("QUANTITY",'Categories | Subcategories'!$O$3,"SUB-CATEGORY","Utilities"),"NA")</f>
        <v>NA</v>
      </c>
      <c r="R110" s="254"/>
      <c r="T110" s="253" cm="1">
        <f t="array" ref="T110">SUM(SUMIFS('Categories | Subcategories'!B:B,'Categories | Subcategories'!A:A,{"Fees","Food","Health","Property","Tax"}))</f>
        <v>0</v>
      </c>
      <c r="U110" s="254"/>
      <c r="W110" s="253" cm="1">
        <f t="array" ref="W110">_xlfn.IFNA(MAX(LOOKUP(2,1/('Categories | Subcategories'!AE:AE&lt;&gt;""),'Categories | Subcategories'!AE:AE),0),0)</f>
        <v>0</v>
      </c>
      <c r="X110" s="254"/>
      <c r="Z110" s="253" cm="1">
        <f t="array" ref="Z110">IFERROR(LOOKUP(2,1/('Categories | Subcategories'!B:B&lt;&gt;""),'Categories | Subcategories'!B:B)-T110,0)</f>
        <v>0</v>
      </c>
      <c r="AA110" s="254"/>
      <c r="AM110" s="68"/>
      <c r="AN110" s="68"/>
      <c r="AO110" s="69"/>
    </row>
    <row r="111" spans="2:41" s="67" customFormat="1" ht="23">
      <c r="B111" s="255"/>
      <c r="C111" s="256"/>
      <c r="E111" s="255"/>
      <c r="F111" s="256"/>
      <c r="G111" s="75"/>
      <c r="H111" s="255"/>
      <c r="I111" s="256"/>
      <c r="J111" s="75"/>
      <c r="K111" s="255"/>
      <c r="L111" s="256"/>
      <c r="M111" s="77"/>
      <c r="N111" s="255"/>
      <c r="O111" s="256"/>
      <c r="P111" s="75"/>
      <c r="Q111" s="255"/>
      <c r="R111" s="256"/>
      <c r="T111" s="255"/>
      <c r="U111" s="256"/>
      <c r="W111" s="255"/>
      <c r="X111" s="256"/>
      <c r="Z111" s="255"/>
      <c r="AA111" s="256"/>
      <c r="AM111" s="68"/>
      <c r="AN111" s="68"/>
      <c r="AO111" s="69"/>
    </row>
    <row r="112" spans="2:41" s="67" customFormat="1" ht="23">
      <c r="B112" s="257"/>
      <c r="C112" s="258"/>
      <c r="E112" s="257"/>
      <c r="F112" s="258"/>
      <c r="G112" s="76"/>
      <c r="H112" s="257"/>
      <c r="I112" s="258"/>
      <c r="J112" s="76"/>
      <c r="K112" s="257"/>
      <c r="L112" s="258"/>
      <c r="M112" s="76"/>
      <c r="N112" s="257"/>
      <c r="O112" s="258"/>
      <c r="P112" s="76"/>
      <c r="Q112" s="257"/>
      <c r="R112" s="258"/>
      <c r="T112" s="257"/>
      <c r="U112" s="258"/>
      <c r="W112" s="257"/>
      <c r="X112" s="258"/>
      <c r="Z112" s="257"/>
      <c r="AA112" s="258"/>
      <c r="AM112" s="68"/>
      <c r="AN112" s="68"/>
      <c r="AO112" s="69"/>
    </row>
    <row r="113" spans="2:41" s="70" customFormat="1" ht="13">
      <c r="B113" s="235" t="s">
        <v>127</v>
      </c>
      <c r="C113" s="236"/>
      <c r="E113" s="235" t="s">
        <v>126</v>
      </c>
      <c r="F113" s="236"/>
      <c r="G113" s="73"/>
      <c r="H113" s="235" t="s">
        <v>141</v>
      </c>
      <c r="I113" s="236"/>
      <c r="J113" s="73"/>
      <c r="K113" s="235" t="s">
        <v>141</v>
      </c>
      <c r="L113" s="236"/>
      <c r="M113" s="73"/>
      <c r="N113" s="235" t="s">
        <v>145</v>
      </c>
      <c r="O113" s="236"/>
      <c r="P113" s="73"/>
      <c r="Q113" s="235" t="s">
        <v>146</v>
      </c>
      <c r="R113" s="236"/>
      <c r="T113" s="267" t="str" cm="1">
        <f t="array" ref="T113">IFERROR(T110/(LOOKUP(2,1/('Categories | Subcategories'!$B:$B&lt;&gt;""),'Categories | Subcategories'!$B:$B)+W110),"NA")</f>
        <v>NA</v>
      </c>
      <c r="U113" s="268"/>
      <c r="W113" s="267" t="str" cm="1">
        <f t="array" ref="W113">IFERROR(W110/(LOOKUP(2,1/('Categories | Subcategories'!$B:$B&lt;&gt;""),'Categories | Subcategories'!$B:$B)+W110),"NA")</f>
        <v>NA</v>
      </c>
      <c r="X113" s="268"/>
      <c r="Z113" s="267" t="str" cm="1">
        <f t="array" ref="Z113">IFERROR(Z110/(LOOKUP(2,1/('Categories | Subcategories'!$B:$B&lt;&gt;""),'Categories | Subcategories'!$B:$B)+W110),"NA")</f>
        <v>NA</v>
      </c>
      <c r="AA113" s="268"/>
      <c r="AM113" s="71"/>
      <c r="AN113" s="71"/>
      <c r="AO113" s="72"/>
    </row>
    <row r="114" spans="2:41">
      <c r="AA114" s="11"/>
      <c r="AC114" s="12"/>
      <c r="AD114" s="10"/>
    </row>
    <row r="115" spans="2:41">
      <c r="AA115" s="11"/>
      <c r="AC115" s="12"/>
      <c r="AD115" s="10"/>
    </row>
    <row r="116" spans="2:41"/>
    <row r="117" spans="2:41"/>
    <row r="118" spans="2:41"/>
    <row r="119" spans="2:41"/>
    <row r="120" spans="2:41"/>
    <row r="121" spans="2:41"/>
    <row r="122" spans="2:41"/>
    <row r="123" spans="2:41"/>
    <row r="124" spans="2:41"/>
    <row r="125" spans="2:41"/>
    <row r="126" spans="2:41"/>
    <row r="127" spans="2:41"/>
    <row r="128" spans="2:41"/>
    <row r="129" spans="2:27"/>
    <row r="130" spans="2:27"/>
    <row r="131" spans="2:27"/>
    <row r="132" spans="2:27"/>
    <row r="133" spans="2:27"/>
    <row r="134" spans="2:27"/>
    <row r="135" spans="2:27"/>
    <row r="136" spans="2:27"/>
    <row r="137" spans="2:27"/>
    <row r="138" spans="2:27"/>
    <row r="139" spans="2:27"/>
    <row r="140" spans="2:27"/>
    <row r="141" spans="2:27"/>
    <row r="142" spans="2:27"/>
    <row r="143" spans="2:27"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</row>
    <row r="144" spans="2:27">
      <c r="B144" s="79"/>
      <c r="C144" s="79"/>
      <c r="D144" s="79"/>
      <c r="E144" s="79"/>
      <c r="F144" s="79"/>
      <c r="G144" s="79"/>
      <c r="H144" s="79"/>
      <c r="I144" s="79"/>
      <c r="J144" s="79"/>
      <c r="K144" s="79"/>
      <c r="L144" s="79"/>
      <c r="M144" s="79"/>
      <c r="N144" s="79"/>
      <c r="O144" s="79"/>
      <c r="P144" s="79"/>
      <c r="Q144" s="79"/>
      <c r="R144" s="79"/>
      <c r="S144" s="79"/>
      <c r="T144" s="79"/>
      <c r="U144" s="79"/>
      <c r="V144" s="79"/>
      <c r="W144" s="79"/>
      <c r="X144" s="79"/>
      <c r="Y144" s="79"/>
      <c r="Z144" s="79"/>
      <c r="AA144" s="79"/>
    </row>
    <row r="145" spans="14:15"/>
    <row r="146" spans="14:15"/>
    <row r="147" spans="14:15"/>
    <row r="148" spans="14:15"/>
    <row r="149" spans="14:15"/>
    <row r="150" spans="14:15"/>
    <row r="151" spans="14:15"/>
    <row r="152" spans="14:15"/>
    <row r="153" spans="14:15">
      <c r="N153" s="251" t="s">
        <v>86</v>
      </c>
      <c r="O153" s="252"/>
    </row>
    <row r="154" spans="14:15"/>
    <row r="155" spans="14:15"/>
    <row r="156" spans="14:15"/>
    <row r="157" spans="14:15"/>
    <row r="158" spans="14:15"/>
    <row r="159" spans="14:15"/>
    <row r="160" spans="14:15"/>
    <row r="161" spans="28:53"/>
    <row r="162" spans="28:53"/>
    <row r="163" spans="28:53"/>
    <row r="164" spans="28:53"/>
    <row r="165" spans="28:53"/>
    <row r="166" spans="28:53"/>
    <row r="167" spans="28:53"/>
    <row r="168" spans="28:53"/>
    <row r="169" spans="28:53"/>
    <row r="170" spans="28:53" s="13" customFormat="1">
      <c r="AB170" s="14"/>
      <c r="AC170" s="14"/>
      <c r="AD170" s="15"/>
    </row>
    <row r="171" spans="28:53" s="65" customFormat="1"/>
    <row r="172" spans="28:53" s="7" customFormat="1">
      <c r="AB172" s="8"/>
      <c r="AC172" s="8"/>
      <c r="AD172" s="9"/>
    </row>
    <row r="173" spans="28:53">
      <c r="AB173" s="16"/>
      <c r="AC173" s="17"/>
      <c r="AD173" s="18"/>
      <c r="AE173" s="19"/>
      <c r="AF173" s="19"/>
      <c r="AG173" s="18"/>
      <c r="AH173" s="19"/>
      <c r="AI173" s="19"/>
      <c r="AJ173" s="18"/>
      <c r="AK173" s="19"/>
      <c r="AL173" s="19"/>
      <c r="AM173" s="18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20"/>
      <c r="AY173" s="20"/>
      <c r="AZ173" s="20"/>
      <c r="BA173" s="20"/>
    </row>
    <row r="174" spans="28:53">
      <c r="AB174" s="21"/>
      <c r="AC174" s="22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23"/>
      <c r="AR174" s="18"/>
      <c r="AS174" s="18"/>
      <c r="AT174" s="18"/>
      <c r="AU174" s="24"/>
      <c r="AV174" s="18"/>
      <c r="AW174" s="18"/>
      <c r="AX174" s="20"/>
      <c r="AY174" s="20"/>
      <c r="AZ174" s="20"/>
      <c r="BA174" s="20"/>
    </row>
    <row r="175" spans="28:53">
      <c r="AB175" s="25"/>
      <c r="AC175" s="26"/>
      <c r="AD175" s="27"/>
      <c r="AE175" s="27"/>
      <c r="AF175" s="27"/>
      <c r="AG175" s="27"/>
      <c r="AH175" s="27"/>
      <c r="AI175" s="27"/>
      <c r="AJ175" s="27"/>
      <c r="AK175" s="27"/>
      <c r="AL175" s="27"/>
      <c r="AM175" s="27"/>
      <c r="AN175" s="27"/>
      <c r="AO175" s="27"/>
      <c r="AP175" s="28"/>
      <c r="AQ175" s="29"/>
      <c r="AR175" s="28"/>
      <c r="AS175" s="28"/>
      <c r="AT175" s="28"/>
      <c r="AU175" s="28"/>
      <c r="AV175" s="28"/>
      <c r="AW175" s="28"/>
      <c r="AX175" s="30"/>
      <c r="AY175" s="30"/>
      <c r="AZ175" s="30"/>
      <c r="BA175" s="30"/>
    </row>
    <row r="176" spans="28:53">
      <c r="AB176" s="25"/>
      <c r="AC176" s="26"/>
      <c r="AD176" s="27"/>
      <c r="AE176" s="27"/>
      <c r="AF176" s="27"/>
      <c r="AG176" s="27"/>
      <c r="AH176" s="27"/>
      <c r="AI176" s="27"/>
      <c r="AJ176" s="27"/>
      <c r="AK176" s="27"/>
      <c r="AL176" s="27"/>
      <c r="AM176" s="27"/>
      <c r="AN176" s="27"/>
      <c r="AO176" s="27"/>
      <c r="AP176" s="28"/>
      <c r="AQ176" s="29"/>
      <c r="AR176" s="28"/>
      <c r="AS176" s="28"/>
      <c r="AT176" s="28"/>
      <c r="AU176" s="28"/>
      <c r="AV176" s="28"/>
      <c r="AW176" s="28"/>
      <c r="AX176" s="30"/>
      <c r="AY176" s="30"/>
      <c r="AZ176" s="30"/>
      <c r="BA176" s="30"/>
    </row>
    <row r="177" spans="28:53">
      <c r="AB177" s="25"/>
      <c r="AC177" s="26"/>
      <c r="AD177" s="27"/>
      <c r="AE177" s="27"/>
      <c r="AF177" s="27"/>
      <c r="AG177" s="27"/>
      <c r="AH177" s="27"/>
      <c r="AI177" s="27"/>
      <c r="AJ177" s="27"/>
      <c r="AK177" s="27"/>
      <c r="AL177" s="27"/>
      <c r="AM177" s="27"/>
      <c r="AN177" s="27"/>
      <c r="AO177" s="27"/>
      <c r="AP177" s="28"/>
      <c r="AQ177" s="29"/>
      <c r="AR177" s="28"/>
      <c r="AS177" s="28"/>
      <c r="AT177" s="28"/>
      <c r="AU177" s="28"/>
      <c r="AV177" s="28"/>
      <c r="AW177" s="28"/>
      <c r="AX177" s="30"/>
      <c r="AY177" s="30"/>
      <c r="AZ177" s="30"/>
      <c r="BA177" s="30"/>
    </row>
    <row r="178" spans="28:53">
      <c r="AB178" s="25"/>
      <c r="AC178" s="26"/>
      <c r="AD178" s="27"/>
      <c r="AE178" s="27"/>
      <c r="AF178" s="27"/>
      <c r="AG178" s="27"/>
      <c r="AH178" s="27"/>
      <c r="AI178" s="27"/>
      <c r="AJ178" s="27"/>
      <c r="AK178" s="27"/>
      <c r="AL178" s="27"/>
      <c r="AM178" s="27"/>
      <c r="AN178" s="27"/>
      <c r="AO178" s="27"/>
      <c r="AP178" s="28"/>
      <c r="AQ178" s="29"/>
      <c r="AR178" s="28"/>
      <c r="AS178" s="28"/>
      <c r="AT178" s="28"/>
      <c r="AU178" s="28"/>
      <c r="AV178" s="28"/>
      <c r="AW178" s="28"/>
      <c r="AX178" s="30"/>
      <c r="AY178" s="30"/>
      <c r="AZ178" s="30"/>
      <c r="BA178" s="30"/>
    </row>
    <row r="179" spans="28:53">
      <c r="AB179" s="31"/>
      <c r="AC179" s="32"/>
      <c r="AD179" s="28"/>
      <c r="AE179" s="28"/>
      <c r="AF179" s="28"/>
      <c r="AG179" s="28"/>
      <c r="AH179" s="28"/>
      <c r="AI179" s="28"/>
      <c r="AJ179" s="28"/>
      <c r="AK179" s="28"/>
      <c r="AL179" s="28"/>
      <c r="AM179" s="28"/>
      <c r="AN179" s="28"/>
      <c r="AO179" s="28"/>
      <c r="AP179" s="28"/>
      <c r="AQ179" s="29"/>
      <c r="AR179" s="28"/>
      <c r="AS179" s="28"/>
      <c r="AT179" s="28"/>
      <c r="AU179" s="28"/>
      <c r="AV179" s="28"/>
      <c r="AW179" s="28"/>
      <c r="AX179" s="30"/>
      <c r="AY179" s="30"/>
      <c r="AZ179" s="30"/>
      <c r="BA179" s="30"/>
    </row>
    <row r="180" spans="28:53">
      <c r="AB180" s="31"/>
      <c r="AC180" s="32"/>
      <c r="AD180" s="28"/>
      <c r="AE180" s="28"/>
      <c r="AF180" s="28"/>
      <c r="AG180" s="28"/>
      <c r="AH180" s="28"/>
      <c r="AI180" s="28"/>
      <c r="AJ180" s="28"/>
      <c r="AK180" s="28"/>
      <c r="AL180" s="28"/>
      <c r="AM180" s="28"/>
      <c r="AN180" s="28"/>
      <c r="AO180" s="28"/>
      <c r="AP180" s="28"/>
      <c r="AQ180" s="29"/>
      <c r="AR180" s="28"/>
      <c r="AS180" s="28"/>
      <c r="AT180" s="28"/>
      <c r="AU180" s="28"/>
      <c r="AV180" s="28"/>
      <c r="AW180" s="28"/>
      <c r="AX180" s="30"/>
      <c r="AY180" s="30"/>
      <c r="AZ180" s="30"/>
      <c r="BA180" s="30"/>
    </row>
    <row r="181" spans="28:53">
      <c r="AB181" s="31"/>
      <c r="AC181" s="32"/>
      <c r="AD181" s="28"/>
      <c r="AE181" s="28"/>
      <c r="AF181" s="28"/>
      <c r="AG181" s="28"/>
      <c r="AH181" s="28"/>
      <c r="AI181" s="28"/>
      <c r="AJ181" s="28"/>
      <c r="AK181" s="28"/>
      <c r="AL181" s="28"/>
      <c r="AM181" s="28"/>
      <c r="AN181" s="28"/>
      <c r="AO181" s="28"/>
      <c r="AP181" s="28"/>
      <c r="AQ181" s="29"/>
      <c r="AR181" s="28"/>
      <c r="AS181" s="28"/>
      <c r="AT181" s="28"/>
      <c r="AU181" s="28"/>
      <c r="AV181" s="28"/>
      <c r="AW181" s="28"/>
      <c r="AX181" s="30"/>
      <c r="AY181" s="30"/>
      <c r="AZ181" s="30"/>
      <c r="BA181" s="30"/>
    </row>
    <row r="182" spans="28:53">
      <c r="AB182" s="31"/>
      <c r="AC182" s="32"/>
      <c r="AD182" s="28"/>
      <c r="AE182" s="28"/>
      <c r="AF182" s="28"/>
      <c r="AG182" s="28"/>
      <c r="AH182" s="28"/>
      <c r="AI182" s="28"/>
      <c r="AJ182" s="28"/>
      <c r="AK182" s="28"/>
      <c r="AL182" s="28"/>
      <c r="AM182" s="28"/>
      <c r="AN182" s="28"/>
      <c r="AO182" s="28"/>
      <c r="AP182" s="28"/>
      <c r="AQ182" s="29"/>
      <c r="AR182" s="28"/>
      <c r="AS182" s="28"/>
      <c r="AT182" s="28"/>
      <c r="AU182" s="28"/>
      <c r="AV182" s="28"/>
      <c r="AW182" s="28"/>
      <c r="AX182" s="30"/>
      <c r="AY182" s="30"/>
      <c r="AZ182" s="30"/>
      <c r="BA182" s="30"/>
    </row>
    <row r="183" spans="28:53">
      <c r="AB183" s="31"/>
      <c r="AC183" s="32"/>
      <c r="AD183" s="28"/>
      <c r="AE183" s="28"/>
      <c r="AF183" s="28"/>
      <c r="AG183" s="28"/>
      <c r="AH183" s="28"/>
      <c r="AI183" s="28"/>
      <c r="AJ183" s="28"/>
      <c r="AK183" s="28"/>
      <c r="AL183" s="28"/>
      <c r="AM183" s="28"/>
      <c r="AN183" s="28"/>
      <c r="AO183" s="28"/>
      <c r="AP183" s="28"/>
      <c r="AQ183" s="29"/>
      <c r="AR183" s="28"/>
      <c r="AS183" s="28"/>
      <c r="AT183" s="28"/>
      <c r="AU183" s="28"/>
      <c r="AV183" s="28"/>
      <c r="AW183" s="28"/>
      <c r="AX183" s="30"/>
      <c r="AY183" s="30"/>
      <c r="AZ183" s="30"/>
      <c r="BA183" s="30"/>
    </row>
    <row r="184" spans="28:53">
      <c r="AB184" s="31"/>
      <c r="AC184" s="32"/>
      <c r="AD184" s="28"/>
      <c r="AE184" s="28"/>
      <c r="AF184" s="28"/>
      <c r="AG184" s="28"/>
      <c r="AH184" s="28"/>
      <c r="AI184" s="28"/>
      <c r="AJ184" s="28"/>
      <c r="AK184" s="28"/>
      <c r="AL184" s="28"/>
      <c r="AM184" s="28"/>
      <c r="AN184" s="28"/>
      <c r="AO184" s="28"/>
      <c r="AP184" s="28"/>
      <c r="AQ184" s="29"/>
      <c r="AR184" s="28"/>
      <c r="AS184" s="28"/>
      <c r="AT184" s="28"/>
      <c r="AU184" s="28"/>
      <c r="AV184" s="28"/>
      <c r="AW184" s="28"/>
      <c r="AX184" s="30"/>
      <c r="AY184" s="30"/>
      <c r="AZ184" s="30"/>
      <c r="BA184" s="30"/>
    </row>
    <row r="185" spans="28:53">
      <c r="AB185" s="31"/>
      <c r="AC185" s="32"/>
      <c r="AD185" s="28"/>
      <c r="AE185" s="28"/>
      <c r="AF185" s="28"/>
      <c r="AG185" s="28"/>
      <c r="AH185" s="28"/>
      <c r="AI185" s="28"/>
      <c r="AJ185" s="28"/>
      <c r="AK185" s="28"/>
      <c r="AL185" s="28"/>
      <c r="AM185" s="28"/>
      <c r="AN185" s="28"/>
      <c r="AO185" s="28"/>
      <c r="AP185" s="28"/>
      <c r="AQ185" s="29"/>
      <c r="AR185" s="28"/>
      <c r="AS185" s="28"/>
      <c r="AT185" s="28"/>
      <c r="AU185" s="28"/>
      <c r="AV185" s="28"/>
      <c r="AW185" s="28"/>
      <c r="AX185" s="30"/>
      <c r="AY185" s="30"/>
      <c r="AZ185" s="30"/>
      <c r="BA185" s="30"/>
    </row>
    <row r="186" spans="28:53">
      <c r="AB186" s="31"/>
      <c r="AC186" s="32"/>
      <c r="AD186" s="28"/>
      <c r="AE186" s="28"/>
      <c r="AF186" s="28"/>
      <c r="AG186" s="28"/>
      <c r="AH186" s="28"/>
      <c r="AI186" s="28"/>
      <c r="AJ186" s="28"/>
      <c r="AK186" s="28"/>
      <c r="AL186" s="28"/>
      <c r="AM186" s="28"/>
      <c r="AN186" s="28"/>
      <c r="AO186" s="28"/>
      <c r="AP186" s="28"/>
      <c r="AQ186" s="29"/>
      <c r="AR186" s="28"/>
      <c r="AS186" s="28"/>
      <c r="AT186" s="28"/>
      <c r="AU186" s="28"/>
      <c r="AV186" s="28"/>
      <c r="AW186" s="28"/>
      <c r="AX186" s="30"/>
      <c r="AY186" s="30"/>
      <c r="AZ186" s="30"/>
      <c r="BA186" s="30"/>
    </row>
    <row r="187" spans="28:53">
      <c r="AB187" s="31"/>
      <c r="AC187" s="32"/>
      <c r="AD187" s="28"/>
      <c r="AE187" s="28"/>
      <c r="AF187" s="28"/>
      <c r="AG187" s="28"/>
      <c r="AH187" s="28"/>
      <c r="AI187" s="28"/>
      <c r="AJ187" s="28"/>
      <c r="AK187" s="28"/>
      <c r="AL187" s="28"/>
      <c r="AM187" s="28"/>
      <c r="AN187" s="28"/>
      <c r="AO187" s="28"/>
      <c r="AP187" s="28"/>
      <c r="AQ187" s="29"/>
      <c r="AR187" s="28"/>
      <c r="AS187" s="28"/>
      <c r="AT187" s="28"/>
      <c r="AU187" s="28"/>
      <c r="AV187" s="28"/>
      <c r="AW187" s="28"/>
      <c r="AX187" s="30"/>
      <c r="AY187" s="30"/>
      <c r="AZ187" s="30"/>
      <c r="BA187" s="30"/>
    </row>
    <row r="188" spans="28:53">
      <c r="AB188" s="31"/>
      <c r="AC188" s="32"/>
      <c r="AD188" s="28"/>
      <c r="AE188" s="28"/>
      <c r="AF188" s="28"/>
      <c r="AG188" s="28"/>
      <c r="AH188" s="28"/>
      <c r="AI188" s="28"/>
      <c r="AJ188" s="28"/>
      <c r="AK188" s="28"/>
      <c r="AL188" s="28"/>
      <c r="AM188" s="28"/>
      <c r="AN188" s="28"/>
      <c r="AO188" s="28"/>
      <c r="AP188" s="28"/>
      <c r="AQ188" s="29"/>
      <c r="AR188" s="28"/>
      <c r="AS188" s="28"/>
      <c r="AT188" s="28"/>
      <c r="AU188" s="28"/>
      <c r="AV188" s="28"/>
      <c r="AW188" s="28"/>
      <c r="AX188" s="30"/>
      <c r="AY188" s="30"/>
      <c r="AZ188" s="30"/>
      <c r="BA188" s="30"/>
    </row>
    <row r="189" spans="28:53">
      <c r="AB189" s="31"/>
      <c r="AC189" s="32"/>
      <c r="AD189" s="28"/>
      <c r="AE189" s="28"/>
      <c r="AF189" s="28"/>
      <c r="AG189" s="28"/>
      <c r="AH189" s="28"/>
      <c r="AI189" s="28"/>
      <c r="AJ189" s="28"/>
      <c r="AK189" s="28"/>
      <c r="AL189" s="28"/>
      <c r="AM189" s="28"/>
      <c r="AN189" s="28"/>
      <c r="AO189" s="28"/>
      <c r="AP189" s="28"/>
      <c r="AQ189" s="29"/>
      <c r="AR189" s="28"/>
      <c r="AS189" s="28"/>
      <c r="AT189" s="28"/>
      <c r="AU189" s="28"/>
      <c r="AV189" s="28"/>
      <c r="AW189" s="28"/>
      <c r="AX189" s="30"/>
      <c r="AY189" s="30"/>
      <c r="AZ189" s="30"/>
      <c r="BA189" s="30"/>
    </row>
    <row r="190" spans="28:53">
      <c r="AB190" s="31"/>
      <c r="AC190" s="32"/>
      <c r="AD190" s="28"/>
      <c r="AE190" s="28"/>
      <c r="AF190" s="28"/>
      <c r="AG190" s="28"/>
      <c r="AH190" s="28"/>
      <c r="AI190" s="28"/>
      <c r="AJ190" s="28"/>
      <c r="AK190" s="28"/>
      <c r="AL190" s="28"/>
      <c r="AM190" s="28"/>
      <c r="AN190" s="28"/>
      <c r="AO190" s="28"/>
      <c r="AP190" s="28"/>
      <c r="AQ190" s="29"/>
      <c r="AR190" s="28"/>
      <c r="AS190" s="28"/>
      <c r="AT190" s="28"/>
      <c r="AU190" s="28"/>
      <c r="AV190" s="28"/>
      <c r="AW190" s="28"/>
      <c r="AX190" s="30"/>
      <c r="AY190" s="30"/>
      <c r="AZ190" s="30"/>
      <c r="BA190" s="30"/>
    </row>
    <row r="191" spans="28:53">
      <c r="AB191" s="31"/>
      <c r="AC191" s="32"/>
      <c r="AD191" s="28"/>
      <c r="AE191" s="28"/>
      <c r="AF191" s="28"/>
      <c r="AG191" s="28"/>
      <c r="AH191" s="28"/>
      <c r="AI191" s="28"/>
      <c r="AJ191" s="28"/>
      <c r="AK191" s="28"/>
      <c r="AL191" s="28"/>
      <c r="AM191" s="28"/>
      <c r="AN191" s="28"/>
      <c r="AO191" s="28"/>
      <c r="AP191" s="28"/>
      <c r="AQ191" s="29"/>
      <c r="AR191" s="28"/>
      <c r="AS191" s="28"/>
      <c r="AT191" s="28"/>
      <c r="AU191" s="28"/>
      <c r="AV191" s="28"/>
      <c r="AW191" s="28"/>
      <c r="AX191" s="30"/>
      <c r="AY191" s="30"/>
      <c r="AZ191" s="30"/>
      <c r="BA191" s="30"/>
    </row>
    <row r="192" spans="28:53">
      <c r="AB192" s="31"/>
      <c r="AC192" s="32"/>
      <c r="AD192" s="28"/>
      <c r="AE192" s="28"/>
      <c r="AF192" s="28"/>
      <c r="AG192" s="28"/>
      <c r="AH192" s="28"/>
      <c r="AI192" s="28"/>
      <c r="AJ192" s="28"/>
      <c r="AK192" s="28"/>
      <c r="AL192" s="28"/>
      <c r="AM192" s="28"/>
      <c r="AN192" s="28"/>
      <c r="AO192" s="28"/>
      <c r="AP192" s="28"/>
      <c r="AQ192" s="29"/>
      <c r="AR192" s="28"/>
      <c r="AS192" s="28"/>
      <c r="AT192" s="28"/>
      <c r="AU192" s="28"/>
      <c r="AV192" s="28"/>
      <c r="AW192" s="28"/>
      <c r="AX192" s="30"/>
      <c r="AY192" s="30"/>
      <c r="AZ192" s="30"/>
      <c r="BA192" s="30"/>
    </row>
    <row r="193" spans="2:53">
      <c r="AB193" s="31"/>
      <c r="AC193" s="32"/>
      <c r="AD193" s="28"/>
      <c r="AE193" s="28"/>
      <c r="AF193" s="28"/>
      <c r="AG193" s="28"/>
      <c r="AH193" s="28"/>
      <c r="AI193" s="28"/>
      <c r="AJ193" s="28"/>
      <c r="AK193" s="28"/>
      <c r="AL193" s="28"/>
      <c r="AM193" s="28"/>
      <c r="AN193" s="28"/>
      <c r="AO193" s="28"/>
      <c r="AP193" s="28"/>
      <c r="AQ193" s="29"/>
      <c r="AR193" s="28"/>
      <c r="AS193" s="28"/>
      <c r="AT193" s="28"/>
      <c r="AU193" s="28"/>
      <c r="AV193" s="28"/>
      <c r="AW193" s="28"/>
      <c r="AX193" s="30"/>
      <c r="AY193" s="30"/>
      <c r="AZ193" s="30"/>
      <c r="BA193" s="30"/>
    </row>
    <row r="194" spans="2:53">
      <c r="AB194" s="31"/>
      <c r="AC194" s="32"/>
      <c r="AD194" s="28"/>
      <c r="AE194" s="28"/>
      <c r="AF194" s="28"/>
      <c r="AG194" s="28"/>
      <c r="AH194" s="28"/>
      <c r="AI194" s="28"/>
      <c r="AJ194" s="28"/>
      <c r="AK194" s="28"/>
      <c r="AL194" s="28"/>
      <c r="AM194" s="28"/>
      <c r="AN194" s="28"/>
      <c r="AO194" s="28"/>
      <c r="AP194" s="28"/>
      <c r="AQ194" s="29"/>
      <c r="AR194" s="28"/>
      <c r="AS194" s="28"/>
      <c r="AT194" s="28"/>
      <c r="AU194" s="28"/>
      <c r="AV194" s="28"/>
      <c r="AW194" s="28"/>
      <c r="AX194" s="30"/>
      <c r="AY194" s="30"/>
      <c r="AZ194" s="30"/>
      <c r="BA194" s="30"/>
    </row>
    <row r="195" spans="2:53" s="149" customFormat="1" ht="23" customHeight="1">
      <c r="B195" s="237" t="str" cm="1">
        <f t="array" ref="B195">IFERROR(SUM(SUMIFS(Investment!AC:AC,Investment!Z:Z,{"Allan Gray Bond","Allan Gray Stable","FNB Deposit","ABSA 12-Month","Nedgroup Core Guarded","Stanlib Income"}))/LOOKUP(2,1/(Investment!G:G&lt;&gt;""),Investment!G:G),"NA")</f>
        <v>NA</v>
      </c>
      <c r="C195" s="238"/>
      <c r="E195" s="237" t="str" cm="1">
        <f t="array" ref="E195">IFERROR(SUMIF(Investment!Z:Z,"402 Parkwood",Investment!AC:AC)/LOOKUP(2,1/(Investment!G:G&lt;&gt;""),Investment!G:G),"NA")</f>
        <v>NA</v>
      </c>
      <c r="F195" s="238"/>
      <c r="H195" s="237" t="str" cm="1">
        <f t="array" ref="H195">IFERROR(SUM(SUMIFS(Investment!AC:AC,Investment!Z:Z,{"Nedgroup Property","Prudential Property"}))/LOOKUP(2,1/(Investment!G:G&lt;&gt;""),Investment!G:G),"NA")</f>
        <v>NA</v>
      </c>
      <c r="I195" s="238"/>
      <c r="K195" s="237" t="str" cm="1">
        <f t="array" ref="K195">IFERROR(SUM(SUMIFS(Investment!AC:AC,Investment!Z:Z,{"Allan Gray Equity","Allan Gray-Orbis Global Equity","Coronation Emerging Markets","Coronation Global Managed","Coronation Resources","Coronation Smaller Companies","Coronation Top 20","Nedgroup Global Equity","Satrix World Equity","Stanlib High Equity Fund Of Funds"}))/LOOKUP(2,1/(Investment!G:G&lt;&gt;""),Investment!G:G),"NA")</f>
        <v>NA</v>
      </c>
      <c r="L195" s="238"/>
      <c r="N195" s="237" t="str" cm="1">
        <f t="array" ref="N195">IFERROR(SUM(SUMIFS(Investment!AC:AC,Investment!Z:Z,{"Allan Gray Proprietary","Yoco Technologies"}))/LOOKUP(2,1/(Investment!G:G&lt;&gt;""),Investment!G:G),"NA")</f>
        <v>NA</v>
      </c>
      <c r="O195" s="238"/>
      <c r="Q195" s="259" t="str" cm="1">
        <f t="array" ref="Q195">IFERROR(SUM(SUMIFS(Investment!AC:AC,Investment!Z:Z,{"Allan Gray-Orbis Global Equity","Coronation Emerging Markets","Coronation Global Managed","Nedgroup Global Equity","Satrix World Equity"}))/LOOKUP(2,1/(Investment!G:G&lt;&gt;""),Investment!G:G),"NA")</f>
        <v>NA</v>
      </c>
      <c r="R195" s="260"/>
      <c r="T195" s="253">
        <f>SUMIF(Investment!A:A,"Management Fee",Investment!B:B)</f>
        <v>0</v>
      </c>
      <c r="U195" s="254"/>
      <c r="W195" s="237" t="str" cm="1">
        <f t="array" ref="W195">IFERROR(Z195/LOOKUP(2,1/(Investment!G:G&lt;&gt;""),Investment!G:G),"NA")</f>
        <v>NA</v>
      </c>
      <c r="X195" s="238"/>
      <c r="Z195" s="253">
        <f>SUMIF(Investment!A:A,"Growth",Investment!C:C)-SUMIF(Investment!A:A,"Loss",Investment!B:B)</f>
        <v>0</v>
      </c>
      <c r="AA195" s="254"/>
      <c r="AB195" s="150"/>
      <c r="AC195" s="151"/>
      <c r="AD195" s="152"/>
      <c r="AE195" s="152"/>
      <c r="AF195" s="152"/>
      <c r="AG195" s="152"/>
      <c r="AH195" s="152"/>
      <c r="AI195" s="152"/>
      <c r="AJ195" s="152"/>
      <c r="AK195" s="152"/>
      <c r="AL195" s="152"/>
      <c r="AM195" s="152"/>
      <c r="AN195" s="152"/>
      <c r="AO195" s="152"/>
      <c r="AP195" s="152"/>
      <c r="AQ195" s="153"/>
      <c r="AR195" s="152"/>
      <c r="AS195" s="152"/>
      <c r="AT195" s="152"/>
      <c r="AU195" s="152"/>
      <c r="AV195" s="152"/>
      <c r="AW195" s="152"/>
      <c r="AX195" s="152"/>
      <c r="AY195" s="152"/>
      <c r="AZ195" s="152"/>
      <c r="BA195" s="152"/>
    </row>
    <row r="196" spans="2:53" s="149" customFormat="1" ht="23" customHeight="1">
      <c r="B196" s="239"/>
      <c r="C196" s="240"/>
      <c r="E196" s="239"/>
      <c r="F196" s="240"/>
      <c r="H196" s="239"/>
      <c r="I196" s="240"/>
      <c r="K196" s="239"/>
      <c r="L196" s="240"/>
      <c r="N196" s="239"/>
      <c r="O196" s="240"/>
      <c r="Q196" s="261"/>
      <c r="R196" s="262"/>
      <c r="T196" s="255"/>
      <c r="U196" s="256"/>
      <c r="W196" s="239"/>
      <c r="X196" s="240"/>
      <c r="Z196" s="255"/>
      <c r="AA196" s="256"/>
      <c r="AB196" s="150"/>
      <c r="AC196" s="151"/>
      <c r="AD196" s="152"/>
      <c r="AE196" s="152"/>
      <c r="AF196" s="152"/>
      <c r="AG196" s="152"/>
      <c r="AH196" s="152"/>
      <c r="AI196" s="152"/>
      <c r="AJ196" s="152"/>
      <c r="AK196" s="152"/>
      <c r="AL196" s="152"/>
      <c r="AM196" s="152"/>
      <c r="AN196" s="152"/>
      <c r="AO196" s="152"/>
      <c r="AP196" s="152"/>
      <c r="AQ196" s="153"/>
      <c r="AR196" s="152"/>
      <c r="AS196" s="152"/>
      <c r="AT196" s="152"/>
      <c r="AU196" s="152"/>
      <c r="AV196" s="152"/>
      <c r="AW196" s="152"/>
      <c r="AX196" s="152"/>
      <c r="AY196" s="152"/>
      <c r="AZ196" s="152"/>
      <c r="BA196" s="152"/>
    </row>
    <row r="197" spans="2:53" s="149" customFormat="1" ht="23" customHeight="1">
      <c r="B197" s="241"/>
      <c r="C197" s="242"/>
      <c r="E197" s="241"/>
      <c r="F197" s="242"/>
      <c r="H197" s="241"/>
      <c r="I197" s="242"/>
      <c r="K197" s="241"/>
      <c r="L197" s="242"/>
      <c r="N197" s="241"/>
      <c r="O197" s="242"/>
      <c r="Q197" s="263"/>
      <c r="R197" s="264"/>
      <c r="T197" s="257"/>
      <c r="U197" s="258"/>
      <c r="W197" s="241"/>
      <c r="X197" s="242"/>
      <c r="Z197" s="257"/>
      <c r="AA197" s="258"/>
      <c r="AB197" s="150"/>
      <c r="AC197" s="151"/>
      <c r="AD197" s="152"/>
      <c r="AE197" s="152"/>
      <c r="AF197" s="152"/>
      <c r="AG197" s="152"/>
      <c r="AH197" s="152"/>
      <c r="AI197" s="152"/>
      <c r="AJ197" s="152"/>
      <c r="AK197" s="152"/>
      <c r="AL197" s="152"/>
      <c r="AM197" s="152"/>
      <c r="AN197" s="152"/>
      <c r="AO197" s="152"/>
      <c r="AP197" s="152"/>
      <c r="AQ197" s="153"/>
      <c r="AR197" s="152"/>
      <c r="AS197" s="152"/>
      <c r="AT197" s="152"/>
      <c r="AU197" s="152"/>
      <c r="AV197" s="152"/>
      <c r="AW197" s="152"/>
      <c r="AX197" s="152"/>
      <c r="AY197" s="152"/>
      <c r="AZ197" s="152"/>
      <c r="BA197" s="152"/>
    </row>
    <row r="198" spans="2:53" s="144" customFormat="1" ht="13">
      <c r="B198" s="243" t="s">
        <v>169</v>
      </c>
      <c r="C198" s="244"/>
      <c r="E198" s="243" t="s">
        <v>168</v>
      </c>
      <c r="F198" s="244"/>
      <c r="H198" s="243" t="s">
        <v>167</v>
      </c>
      <c r="I198" s="244"/>
      <c r="K198" s="243" t="s">
        <v>166</v>
      </c>
      <c r="L198" s="244"/>
      <c r="N198" s="243" t="s">
        <v>165</v>
      </c>
      <c r="O198" s="244"/>
      <c r="Q198" s="243" t="s">
        <v>162</v>
      </c>
      <c r="R198" s="244"/>
      <c r="T198" s="243" t="s">
        <v>164</v>
      </c>
      <c r="U198" s="244"/>
      <c r="W198" s="243" t="s">
        <v>161</v>
      </c>
      <c r="X198" s="244"/>
      <c r="Z198" s="243" t="s">
        <v>161</v>
      </c>
      <c r="AA198" s="244"/>
      <c r="AB198" s="145"/>
      <c r="AC198" s="146"/>
      <c r="AD198" s="147"/>
      <c r="AE198" s="147"/>
      <c r="AF198" s="147"/>
      <c r="AG198" s="147"/>
      <c r="AH198" s="147"/>
      <c r="AI198" s="147"/>
      <c r="AJ198" s="147"/>
      <c r="AK198" s="147"/>
      <c r="AL198" s="147"/>
      <c r="AM198" s="147"/>
      <c r="AN198" s="147"/>
      <c r="AO198" s="147"/>
      <c r="AP198" s="147"/>
      <c r="AQ198" s="148"/>
      <c r="AR198" s="147"/>
      <c r="AS198" s="147"/>
      <c r="AT198" s="147"/>
      <c r="AU198" s="147"/>
      <c r="AV198" s="147"/>
      <c r="AW198" s="147"/>
      <c r="AX198" s="147"/>
      <c r="AY198" s="147"/>
      <c r="AZ198" s="147"/>
      <c r="BA198" s="147"/>
    </row>
    <row r="199" spans="2:53">
      <c r="AB199" s="31"/>
      <c r="AC199" s="32"/>
      <c r="AD199" s="28"/>
      <c r="AE199" s="28"/>
      <c r="AF199" s="28"/>
      <c r="AG199" s="28"/>
      <c r="AH199" s="28"/>
      <c r="AI199" s="28"/>
      <c r="AJ199" s="28"/>
      <c r="AK199" s="28"/>
      <c r="AL199" s="28"/>
      <c r="AM199" s="28"/>
      <c r="AN199" s="28"/>
      <c r="AO199" s="28"/>
      <c r="AP199" s="28"/>
      <c r="AQ199" s="29"/>
      <c r="AR199" s="28"/>
      <c r="AS199" s="28"/>
      <c r="AT199" s="28"/>
      <c r="AU199" s="28"/>
      <c r="AV199" s="28"/>
      <c r="AW199" s="28"/>
      <c r="AX199" s="30"/>
      <c r="AY199" s="30"/>
      <c r="AZ199" s="30"/>
      <c r="BA199" s="30"/>
    </row>
    <row r="200" spans="2:53">
      <c r="AB200" s="31"/>
      <c r="AC200" s="32"/>
      <c r="AD200" s="28"/>
      <c r="AE200" s="28"/>
      <c r="AF200" s="28"/>
      <c r="AG200" s="28"/>
      <c r="AH200" s="28"/>
      <c r="AI200" s="28"/>
      <c r="AJ200" s="28"/>
      <c r="AK200" s="28"/>
      <c r="AL200" s="28"/>
      <c r="AM200" s="28"/>
      <c r="AN200" s="28"/>
      <c r="AO200" s="28"/>
      <c r="AP200" s="28"/>
      <c r="AQ200" s="29"/>
      <c r="AR200" s="28"/>
      <c r="AS200" s="28"/>
      <c r="AT200" s="28"/>
      <c r="AU200" s="28"/>
      <c r="AV200" s="28"/>
      <c r="AW200" s="28"/>
      <c r="AX200" s="30"/>
      <c r="AY200" s="30"/>
      <c r="AZ200" s="30"/>
      <c r="BA200" s="30"/>
    </row>
    <row r="201" spans="2:53">
      <c r="AB201" s="31"/>
      <c r="AC201" s="32"/>
      <c r="AD201" s="28"/>
      <c r="AE201" s="28"/>
      <c r="AF201" s="28"/>
      <c r="AG201" s="28"/>
      <c r="AH201" s="28"/>
      <c r="AI201" s="28"/>
      <c r="AJ201" s="28"/>
      <c r="AK201" s="28"/>
      <c r="AL201" s="28"/>
      <c r="AM201" s="28"/>
      <c r="AN201" s="28"/>
      <c r="AO201" s="28"/>
      <c r="AP201" s="28"/>
      <c r="AQ201" s="29"/>
      <c r="AR201" s="28"/>
      <c r="AS201" s="28"/>
      <c r="AT201" s="28"/>
      <c r="AU201" s="28"/>
      <c r="AV201" s="28"/>
      <c r="AW201" s="28"/>
      <c r="AX201" s="30"/>
      <c r="AY201" s="30"/>
      <c r="AZ201" s="30"/>
      <c r="BA201" s="30"/>
    </row>
    <row r="202" spans="2:53">
      <c r="AB202" s="31"/>
      <c r="AC202" s="32"/>
      <c r="AD202" s="28"/>
      <c r="AE202" s="28"/>
      <c r="AF202" s="28"/>
      <c r="AG202" s="28"/>
      <c r="AH202" s="28"/>
      <c r="AI202" s="28"/>
      <c r="AJ202" s="28"/>
      <c r="AK202" s="28"/>
      <c r="AL202" s="28"/>
      <c r="AM202" s="28"/>
      <c r="AN202" s="28"/>
      <c r="AO202" s="28"/>
      <c r="AP202" s="28"/>
      <c r="AQ202" s="29"/>
      <c r="AR202" s="28"/>
      <c r="AS202" s="28"/>
      <c r="AT202" s="28"/>
      <c r="AU202" s="28"/>
      <c r="AV202" s="28"/>
      <c r="AW202" s="28"/>
      <c r="AX202" s="30"/>
      <c r="AY202" s="30"/>
      <c r="AZ202" s="30"/>
      <c r="BA202" s="30"/>
    </row>
    <row r="203" spans="2:53">
      <c r="AB203" s="31"/>
      <c r="AC203" s="32"/>
      <c r="AD203" s="28"/>
      <c r="AE203" s="28"/>
      <c r="AF203" s="28"/>
      <c r="AG203" s="28"/>
      <c r="AH203" s="28"/>
      <c r="AI203" s="28"/>
      <c r="AJ203" s="28"/>
      <c r="AK203" s="28"/>
      <c r="AL203" s="28"/>
      <c r="AM203" s="28"/>
      <c r="AN203" s="28"/>
      <c r="AO203" s="28"/>
      <c r="AP203" s="28"/>
      <c r="AQ203" s="29"/>
      <c r="AR203" s="28"/>
      <c r="AS203" s="28"/>
      <c r="AT203" s="28"/>
      <c r="AU203" s="28"/>
      <c r="AV203" s="28"/>
      <c r="AW203" s="28"/>
      <c r="AX203" s="30"/>
      <c r="AY203" s="30"/>
      <c r="AZ203" s="30"/>
      <c r="BA203" s="30"/>
    </row>
    <row r="204" spans="2:53">
      <c r="AB204" s="31"/>
      <c r="AC204" s="32"/>
      <c r="AD204" s="28"/>
      <c r="AE204" s="28"/>
      <c r="AF204" s="28"/>
      <c r="AG204" s="28"/>
      <c r="AH204" s="28"/>
      <c r="AI204" s="28"/>
      <c r="AJ204" s="28"/>
      <c r="AK204" s="28"/>
      <c r="AL204" s="28"/>
      <c r="AM204" s="28"/>
      <c r="AN204" s="28"/>
      <c r="AO204" s="28"/>
      <c r="AP204" s="28"/>
      <c r="AQ204" s="29"/>
      <c r="AR204" s="28"/>
      <c r="AS204" s="28"/>
      <c r="AT204" s="28"/>
      <c r="AU204" s="28"/>
      <c r="AV204" s="28"/>
      <c r="AW204" s="28"/>
      <c r="AX204" s="30"/>
      <c r="AY204" s="30"/>
      <c r="AZ204" s="30"/>
      <c r="BA204" s="30"/>
    </row>
    <row r="205" spans="2:53">
      <c r="AB205" s="31"/>
      <c r="AC205" s="32"/>
      <c r="AD205" s="28"/>
      <c r="AE205" s="28"/>
      <c r="AF205" s="28"/>
      <c r="AG205" s="28"/>
      <c r="AH205" s="28"/>
      <c r="AI205" s="28"/>
      <c r="AJ205" s="28"/>
      <c r="AK205" s="28"/>
      <c r="AL205" s="28"/>
      <c r="AM205" s="28"/>
      <c r="AN205" s="28"/>
      <c r="AO205" s="28"/>
      <c r="AP205" s="28"/>
      <c r="AQ205" s="29"/>
      <c r="AR205" s="28"/>
      <c r="AS205" s="28"/>
      <c r="AT205" s="28"/>
      <c r="AU205" s="28"/>
      <c r="AV205" s="28"/>
      <c r="AW205" s="28"/>
      <c r="AX205" s="30"/>
      <c r="AY205" s="30"/>
      <c r="AZ205" s="30"/>
      <c r="BA205" s="30"/>
    </row>
    <row r="206" spans="2:53">
      <c r="AB206" s="31"/>
      <c r="AC206" s="32"/>
      <c r="AD206" s="28"/>
      <c r="AE206" s="28"/>
      <c r="AF206" s="28"/>
      <c r="AG206" s="28"/>
      <c r="AH206" s="28"/>
      <c r="AI206" s="28"/>
      <c r="AJ206" s="28"/>
      <c r="AK206" s="28"/>
      <c r="AL206" s="28"/>
      <c r="AM206" s="28"/>
      <c r="AN206" s="28"/>
      <c r="AO206" s="28"/>
      <c r="AP206" s="28"/>
      <c r="AQ206" s="29"/>
      <c r="AR206" s="28"/>
      <c r="AS206" s="28"/>
      <c r="AT206" s="28"/>
      <c r="AU206" s="28"/>
      <c r="AV206" s="28"/>
      <c r="AW206" s="28"/>
      <c r="AX206" s="30"/>
      <c r="AY206" s="30"/>
      <c r="AZ206" s="30"/>
      <c r="BA206" s="30"/>
    </row>
    <row r="207" spans="2:53">
      <c r="AB207" s="31"/>
      <c r="AC207" s="32"/>
      <c r="AD207" s="28"/>
      <c r="AE207" s="28"/>
      <c r="AF207" s="28"/>
      <c r="AG207" s="28"/>
      <c r="AH207" s="28"/>
      <c r="AI207" s="28"/>
      <c r="AJ207" s="28"/>
      <c r="AK207" s="28"/>
      <c r="AL207" s="28"/>
      <c r="AM207" s="28"/>
      <c r="AN207" s="28"/>
      <c r="AO207" s="28"/>
      <c r="AP207" s="28"/>
      <c r="AQ207" s="29"/>
      <c r="AR207" s="28"/>
      <c r="AS207" s="28"/>
      <c r="AT207" s="28"/>
      <c r="AU207" s="28"/>
      <c r="AV207" s="28"/>
      <c r="AW207" s="28"/>
      <c r="AX207" s="30"/>
      <c r="AY207" s="30"/>
      <c r="AZ207" s="30"/>
      <c r="BA207" s="30"/>
    </row>
    <row r="208" spans="2:53" s="33" customFormat="1">
      <c r="AB208" s="31"/>
      <c r="AC208" s="32"/>
      <c r="AD208" s="28"/>
      <c r="AE208" s="28"/>
      <c r="AF208" s="28"/>
      <c r="AG208" s="28"/>
      <c r="AH208" s="28"/>
      <c r="AI208" s="28"/>
      <c r="AJ208" s="28"/>
      <c r="AK208" s="28"/>
      <c r="AL208" s="28"/>
      <c r="AM208" s="28"/>
      <c r="AN208" s="28"/>
      <c r="AO208" s="28"/>
      <c r="AP208" s="28"/>
      <c r="AQ208" s="29"/>
      <c r="AR208" s="28"/>
      <c r="AS208" s="28"/>
      <c r="AT208" s="28"/>
      <c r="AU208" s="28"/>
      <c r="AV208" s="28"/>
      <c r="AW208" s="28"/>
      <c r="AX208" s="28"/>
      <c r="AY208" s="28"/>
      <c r="AZ208" s="28"/>
      <c r="BA208" s="28"/>
    </row>
    <row r="209" spans="28:53" s="33" customFormat="1">
      <c r="AB209" s="31"/>
      <c r="AC209" s="32"/>
      <c r="AD209" s="28"/>
      <c r="AE209" s="28"/>
      <c r="AF209" s="28"/>
      <c r="AG209" s="28"/>
      <c r="AH209" s="28"/>
      <c r="AI209" s="28"/>
      <c r="AJ209" s="28"/>
      <c r="AK209" s="28"/>
      <c r="AL209" s="28"/>
      <c r="AM209" s="28"/>
      <c r="AN209" s="28"/>
      <c r="AO209" s="28"/>
      <c r="AP209" s="28"/>
      <c r="AQ209" s="29"/>
      <c r="AR209" s="28"/>
      <c r="AS209" s="28"/>
      <c r="AT209" s="28"/>
      <c r="AU209" s="28"/>
      <c r="AV209" s="28"/>
      <c r="AW209" s="28"/>
      <c r="AX209" s="28"/>
      <c r="AY209" s="28"/>
      <c r="AZ209" s="28"/>
      <c r="BA209" s="28"/>
    </row>
    <row r="210" spans="28:53">
      <c r="AB210" s="31"/>
      <c r="AC210" s="32"/>
      <c r="AD210" s="28"/>
      <c r="AE210" s="28"/>
      <c r="AF210" s="28"/>
      <c r="AG210" s="28"/>
      <c r="AH210" s="28"/>
      <c r="AI210" s="28"/>
      <c r="AJ210" s="28"/>
      <c r="AK210" s="28"/>
      <c r="AL210" s="28"/>
      <c r="AM210" s="28"/>
      <c r="AN210" s="28"/>
      <c r="AO210" s="28"/>
      <c r="AP210" s="28"/>
      <c r="AQ210" s="29"/>
      <c r="AR210" s="28"/>
      <c r="AS210" s="28"/>
      <c r="AT210" s="28"/>
      <c r="AU210" s="28"/>
      <c r="AV210" s="28"/>
      <c r="AW210" s="28"/>
      <c r="AX210" s="30"/>
      <c r="AY210" s="30"/>
      <c r="AZ210" s="30"/>
      <c r="BA210" s="30"/>
    </row>
    <row r="211" spans="28:53">
      <c r="AB211" s="31"/>
      <c r="AC211" s="32"/>
      <c r="AD211" s="28"/>
      <c r="AE211" s="28"/>
      <c r="AF211" s="28"/>
      <c r="AG211" s="28"/>
      <c r="AH211" s="28"/>
      <c r="AI211" s="28"/>
      <c r="AJ211" s="28"/>
      <c r="AK211" s="28"/>
      <c r="AL211" s="28"/>
      <c r="AM211" s="28"/>
      <c r="AN211" s="28"/>
      <c r="AO211" s="28"/>
      <c r="AP211" s="28"/>
      <c r="AQ211" s="29"/>
      <c r="AR211" s="28"/>
      <c r="AS211" s="28"/>
      <c r="AT211" s="28"/>
      <c r="AU211" s="28"/>
      <c r="AV211" s="28"/>
      <c r="AW211" s="28"/>
      <c r="AX211" s="30"/>
      <c r="AY211" s="30"/>
      <c r="AZ211" s="30"/>
      <c r="BA211" s="30"/>
    </row>
    <row r="212" spans="28:53">
      <c r="AB212" s="31"/>
      <c r="AC212" s="32"/>
      <c r="AD212" s="28"/>
      <c r="AE212" s="28"/>
      <c r="AF212" s="28"/>
      <c r="AG212" s="28"/>
      <c r="AH212" s="28"/>
      <c r="AI212" s="28"/>
      <c r="AJ212" s="28"/>
      <c r="AK212" s="28"/>
      <c r="AL212" s="28"/>
      <c r="AM212" s="28"/>
      <c r="AN212" s="28"/>
      <c r="AO212" s="28"/>
      <c r="AP212" s="28"/>
      <c r="AQ212" s="29"/>
      <c r="AR212" s="28"/>
      <c r="AS212" s="28"/>
      <c r="AT212" s="28"/>
      <c r="AU212" s="28"/>
      <c r="AV212" s="28"/>
      <c r="AW212" s="28"/>
      <c r="AX212" s="30"/>
      <c r="AY212" s="30"/>
      <c r="AZ212" s="30"/>
      <c r="BA212" s="30"/>
    </row>
    <row r="213" spans="28:53" s="33" customFormat="1">
      <c r="AB213" s="31"/>
      <c r="AC213" s="32"/>
      <c r="AD213" s="28"/>
      <c r="AE213" s="28"/>
      <c r="AF213" s="28"/>
      <c r="AG213" s="28"/>
      <c r="AH213" s="28"/>
      <c r="AI213" s="28"/>
      <c r="AJ213" s="28"/>
      <c r="AK213" s="28"/>
      <c r="AL213" s="28"/>
      <c r="AM213" s="28"/>
      <c r="AN213" s="28"/>
      <c r="AO213" s="28"/>
      <c r="AP213" s="28"/>
      <c r="AQ213" s="29"/>
      <c r="AR213" s="28"/>
      <c r="AS213" s="28"/>
      <c r="AT213" s="28"/>
      <c r="AU213" s="28"/>
      <c r="AV213" s="28"/>
      <c r="AW213" s="28"/>
      <c r="AX213" s="28"/>
      <c r="AY213" s="28"/>
      <c r="AZ213" s="28"/>
      <c r="BA213" s="28"/>
    </row>
    <row r="214" spans="28:53">
      <c r="AB214" s="31"/>
      <c r="AC214" s="32"/>
      <c r="AD214" s="28"/>
      <c r="AE214" s="28"/>
      <c r="AF214" s="28"/>
      <c r="AG214" s="28"/>
      <c r="AH214" s="28"/>
      <c r="AI214" s="28"/>
      <c r="AJ214" s="28"/>
      <c r="AK214" s="28"/>
      <c r="AL214" s="28"/>
      <c r="AM214" s="28"/>
      <c r="AN214" s="28"/>
      <c r="AO214" s="28"/>
      <c r="AP214" s="28"/>
      <c r="AQ214" s="29"/>
      <c r="AR214" s="28"/>
      <c r="AS214" s="28"/>
      <c r="AT214" s="28"/>
      <c r="AU214" s="28"/>
      <c r="AV214" s="28"/>
      <c r="AW214" s="28"/>
      <c r="AX214" s="30"/>
      <c r="AY214" s="30"/>
      <c r="AZ214" s="30"/>
      <c r="BA214" s="30"/>
    </row>
    <row r="215" spans="28:53">
      <c r="AB215" s="31"/>
      <c r="AC215" s="32"/>
      <c r="AD215" s="28"/>
      <c r="AE215" s="28"/>
      <c r="AF215" s="28"/>
      <c r="AG215" s="28"/>
      <c r="AH215" s="28"/>
      <c r="AI215" s="28"/>
      <c r="AJ215" s="28"/>
      <c r="AK215" s="28"/>
      <c r="AL215" s="28"/>
      <c r="AM215" s="28"/>
      <c r="AN215" s="28"/>
      <c r="AO215" s="28"/>
      <c r="AP215" s="28"/>
      <c r="AQ215" s="29"/>
      <c r="AR215" s="28"/>
      <c r="AS215" s="28"/>
      <c r="AT215" s="28"/>
      <c r="AU215" s="28"/>
      <c r="AV215" s="28"/>
      <c r="AW215" s="28"/>
      <c r="AX215" s="30"/>
      <c r="AY215" s="30"/>
      <c r="AZ215" s="30"/>
      <c r="BA215" s="30"/>
    </row>
    <row r="216" spans="28:53">
      <c r="AB216" s="31"/>
      <c r="AC216" s="32"/>
      <c r="AD216" s="28"/>
      <c r="AE216" s="28"/>
      <c r="AF216" s="28"/>
      <c r="AG216" s="28"/>
      <c r="AH216" s="28"/>
      <c r="AI216" s="28"/>
      <c r="AJ216" s="28"/>
      <c r="AK216" s="28"/>
      <c r="AL216" s="28"/>
      <c r="AM216" s="28"/>
      <c r="AN216" s="28"/>
      <c r="AO216" s="28"/>
      <c r="AP216" s="28"/>
      <c r="AQ216" s="29"/>
      <c r="AR216" s="28"/>
      <c r="AS216" s="28"/>
      <c r="AT216" s="28"/>
      <c r="AU216" s="28"/>
      <c r="AV216" s="28"/>
      <c r="AW216" s="28"/>
      <c r="AX216" s="30"/>
      <c r="AY216" s="30"/>
      <c r="AZ216" s="30"/>
      <c r="BA216" s="30"/>
    </row>
    <row r="217" spans="28:53">
      <c r="AB217" s="31"/>
      <c r="AC217" s="32"/>
      <c r="AD217" s="28"/>
      <c r="AE217" s="28"/>
      <c r="AF217" s="28"/>
      <c r="AG217" s="28"/>
      <c r="AH217" s="28"/>
      <c r="AI217" s="28"/>
      <c r="AJ217" s="28"/>
      <c r="AK217" s="28"/>
      <c r="AL217" s="28"/>
      <c r="AM217" s="28"/>
      <c r="AN217" s="28"/>
      <c r="AO217" s="28"/>
      <c r="AP217" s="28"/>
      <c r="AQ217" s="29"/>
      <c r="AR217" s="28"/>
      <c r="AS217" s="28"/>
      <c r="AT217" s="28"/>
      <c r="AU217" s="28"/>
      <c r="AV217" s="28"/>
      <c r="AW217" s="28"/>
      <c r="AX217" s="30"/>
      <c r="AY217" s="30"/>
      <c r="AZ217" s="30"/>
      <c r="BA217" s="30"/>
    </row>
    <row r="218" spans="28:53"/>
    <row r="219" spans="28:53"/>
    <row r="220" spans="28:53"/>
    <row r="221" spans="28:53"/>
    <row r="222" spans="28:53"/>
    <row r="223" spans="28:53"/>
    <row r="224" spans="28:53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 spans="2:27"/>
    <row r="242" spans="2:27"/>
    <row r="243" spans="2:27"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</row>
    <row r="244" spans="2:27">
      <c r="B244" s="79"/>
      <c r="C244" s="79"/>
      <c r="D244" s="79"/>
      <c r="E244" s="79"/>
      <c r="F244" s="79"/>
      <c r="G244" s="79"/>
      <c r="H244" s="79"/>
      <c r="I244" s="79"/>
      <c r="J244" s="79"/>
      <c r="K244" s="79"/>
      <c r="L244" s="79"/>
      <c r="M244" s="79"/>
      <c r="N244" s="79"/>
      <c r="O244" s="79"/>
      <c r="P244" s="79"/>
      <c r="Q244" s="79"/>
      <c r="R244" s="79"/>
      <c r="S244" s="79"/>
      <c r="T244" s="79"/>
      <c r="U244" s="79"/>
      <c r="V244" s="79"/>
      <c r="W244" s="79"/>
      <c r="X244" s="79"/>
      <c r="Y244" s="79"/>
      <c r="Z244" s="79"/>
      <c r="AA244" s="79"/>
    </row>
    <row r="245" spans="2:27"/>
    <row r="246" spans="2:27"/>
    <row r="247" spans="2:27"/>
    <row r="248" spans="2:27"/>
    <row r="249" spans="2:27"/>
    <row r="250" spans="2:27"/>
    <row r="251" spans="2:27">
      <c r="N251" s="251" t="s">
        <v>152</v>
      </c>
      <c r="O251" s="252"/>
    </row>
    <row r="252" spans="2:27"/>
    <row r="253" spans="2:27"/>
    <row r="254" spans="2:27"/>
    <row r="255" spans="2:27"/>
    <row r="256" spans="2:27">
      <c r="N256" s="14"/>
      <c r="O256" s="15"/>
    </row>
    <row r="257" spans="1:30" s="155" customFormat="1" ht="23" customHeight="1">
      <c r="K257" s="245" cm="1">
        <f t="array" ref="K257">LOOKUP(2,1/('− Debt'!L:L&lt;&gt;""),'− Debt'!L:L)</f>
        <v>0</v>
      </c>
      <c r="L257" s="246"/>
      <c r="N257" s="239" cm="1">
        <f t="array" ref="N257">LOOKUP(2,1/(Debt!N:N&lt;&gt;""),Debt!N:N)*3</f>
        <v>0.10632010806194168</v>
      </c>
      <c r="O257" s="240"/>
      <c r="Q257" s="229" cm="1">
        <f t="array" aca="1" ref="Q257" ca="1">IFERROR(EDATE(TODAY(),ABS(K257)/((ABS(GETPIVOTDATA("Max. of BALANCE",Debt!$K$3,"DATE",DATE(2016,12,24),"SUB-CATEGORY","Interest"))-ABS(LOOKUP(2,1/(Debt!M:M&lt;&gt;""),Debt!M:M)))/DATEDIF(Debt!K6,TODAY(),"m"))),"NA")</f>
        <v>44137</v>
      </c>
      <c r="R257" s="230"/>
      <c r="S257" s="165"/>
      <c r="AB257" s="156"/>
      <c r="AC257" s="156"/>
      <c r="AD257" s="157"/>
    </row>
    <row r="258" spans="1:30" s="155" customFormat="1" ht="23" customHeight="1">
      <c r="K258" s="247"/>
      <c r="L258" s="248"/>
      <c r="N258" s="239"/>
      <c r="O258" s="240"/>
      <c r="Q258" s="231"/>
      <c r="R258" s="232"/>
      <c r="AB258" s="156"/>
      <c r="AC258" s="156"/>
      <c r="AD258" s="157"/>
    </row>
    <row r="259" spans="1:30" s="155" customFormat="1" ht="23" customHeight="1">
      <c r="K259" s="249"/>
      <c r="L259" s="250"/>
      <c r="N259" s="241"/>
      <c r="O259" s="242"/>
      <c r="Q259" s="233"/>
      <c r="R259" s="234"/>
      <c r="AB259" s="156"/>
      <c r="AC259" s="156"/>
      <c r="AD259" s="157"/>
    </row>
    <row r="260" spans="1:30" s="70" customFormat="1" ht="13">
      <c r="K260" s="235" t="s">
        <v>170</v>
      </c>
      <c r="L260" s="236"/>
      <c r="N260" s="235" t="s">
        <v>171</v>
      </c>
      <c r="O260" s="236"/>
      <c r="Q260" s="235" t="s">
        <v>172</v>
      </c>
      <c r="R260" s="236"/>
      <c r="AB260" s="71"/>
      <c r="AC260" s="71"/>
      <c r="AD260" s="72"/>
    </row>
    <row r="261" spans="1:30"/>
    <row r="262" spans="1:30"/>
    <row r="263" spans="1:30"/>
    <row r="264" spans="1:30"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</row>
    <row r="265" spans="1:30">
      <c r="A265" s="11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202"/>
    </row>
    <row r="266" spans="1:30" ht="50" customHeight="1"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226" t="s">
        <v>176</v>
      </c>
      <c r="N266" s="227"/>
      <c r="O266" s="227"/>
      <c r="P266" s="228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 spans="1:30"/>
  </sheetData>
  <sheetProtection sort="0" autoFilter="0" pivotTables="0"/>
  <mergeCells count="100">
    <mergeCell ref="P10:Q10"/>
    <mergeCell ref="N69:O69"/>
    <mergeCell ref="N73:O73"/>
    <mergeCell ref="N34:O34"/>
    <mergeCell ref="AA22:AB23"/>
    <mergeCell ref="AA24:AB24"/>
    <mergeCell ref="AA21:AB21"/>
    <mergeCell ref="N32:O32"/>
    <mergeCell ref="Y34:Z34"/>
    <mergeCell ref="U22:V23"/>
    <mergeCell ref="U24:V24"/>
    <mergeCell ref="U21:V21"/>
    <mergeCell ref="X22:Y23"/>
    <mergeCell ref="X24:Y24"/>
    <mergeCell ref="X21:Y21"/>
    <mergeCell ref="Y12:Z14"/>
    <mergeCell ref="L1:N1"/>
    <mergeCell ref="O1:Q1"/>
    <mergeCell ref="N5:O5"/>
    <mergeCell ref="C22:C24"/>
    <mergeCell ref="F22:F24"/>
    <mergeCell ref="I22:J24"/>
    <mergeCell ref="I21:J21"/>
    <mergeCell ref="L22:M24"/>
    <mergeCell ref="L21:M21"/>
    <mergeCell ref="O22:P24"/>
    <mergeCell ref="O21:P21"/>
    <mergeCell ref="B16:D18"/>
    <mergeCell ref="B15:C15"/>
    <mergeCell ref="K2:R4"/>
    <mergeCell ref="R22:S24"/>
    <mergeCell ref="R21:S21"/>
    <mergeCell ref="B12:C14"/>
    <mergeCell ref="H12:I14"/>
    <mergeCell ref="M12:O14"/>
    <mergeCell ref="S12:U14"/>
    <mergeCell ref="Y15:Z15"/>
    <mergeCell ref="S15:U15"/>
    <mergeCell ref="Q15:R15"/>
    <mergeCell ref="H15:I15"/>
    <mergeCell ref="M15:O15"/>
    <mergeCell ref="Y16:Z18"/>
    <mergeCell ref="Q16:R18"/>
    <mergeCell ref="H16:I18"/>
    <mergeCell ref="M16:O18"/>
    <mergeCell ref="S16:U18"/>
    <mergeCell ref="B109:C109"/>
    <mergeCell ref="N153:O153"/>
    <mergeCell ref="Q109:R109"/>
    <mergeCell ref="K113:L113"/>
    <mergeCell ref="N110:O112"/>
    <mergeCell ref="N113:O113"/>
    <mergeCell ref="Q110:R112"/>
    <mergeCell ref="Q113:R113"/>
    <mergeCell ref="H109:I109"/>
    <mergeCell ref="H113:I113"/>
    <mergeCell ref="K109:L109"/>
    <mergeCell ref="K110:L112"/>
    <mergeCell ref="N109:O109"/>
    <mergeCell ref="B110:C112"/>
    <mergeCell ref="B113:C113"/>
    <mergeCell ref="E110:F112"/>
    <mergeCell ref="Z198:AA198"/>
    <mergeCell ref="Z195:AA197"/>
    <mergeCell ref="W195:X197"/>
    <mergeCell ref="W198:X198"/>
    <mergeCell ref="E109:F109"/>
    <mergeCell ref="W110:X112"/>
    <mergeCell ref="W113:X113"/>
    <mergeCell ref="Z110:AA112"/>
    <mergeCell ref="Z113:AA113"/>
    <mergeCell ref="T109:U109"/>
    <mergeCell ref="W109:X109"/>
    <mergeCell ref="Z109:AA109"/>
    <mergeCell ref="E113:F113"/>
    <mergeCell ref="T110:U112"/>
    <mergeCell ref="T113:U113"/>
    <mergeCell ref="H110:I112"/>
    <mergeCell ref="T195:U197"/>
    <mergeCell ref="T198:U198"/>
    <mergeCell ref="Q195:R197"/>
    <mergeCell ref="Q198:R198"/>
    <mergeCell ref="N195:O197"/>
    <mergeCell ref="N198:O198"/>
    <mergeCell ref="M266:P266"/>
    <mergeCell ref="Q257:R259"/>
    <mergeCell ref="Q260:R260"/>
    <mergeCell ref="B195:C197"/>
    <mergeCell ref="B198:C198"/>
    <mergeCell ref="K257:L259"/>
    <mergeCell ref="K260:L260"/>
    <mergeCell ref="N257:O259"/>
    <mergeCell ref="N260:O260"/>
    <mergeCell ref="K195:L197"/>
    <mergeCell ref="K198:L198"/>
    <mergeCell ref="H195:I197"/>
    <mergeCell ref="H198:I198"/>
    <mergeCell ref="E195:F197"/>
    <mergeCell ref="E198:F198"/>
    <mergeCell ref="N251:O251"/>
  </mergeCells>
  <hyperlinks>
    <hyperlink ref="M266:P266" r:id="rId1" display="gugulet.hu" xr:uid="{885D7698-82FB-DD49-A2D8-779B53BF5D57}"/>
  </hyperlinks>
  <pageMargins left="0.7" right="0.7" top="0.75" bottom="0.75" header="0.3" footer="0.3"/>
  <drawing r:id="rId2"/>
  <extLst>
    <ext xmlns:x15="http://schemas.microsoft.com/office/spreadsheetml/2010/11/main" uri="{7E03D99C-DC04-49d9-9315-930204A7B6E9}">
      <x15:timelineRefs>
        <x15:timelineRef r:id="rId3"/>
      </x15:timeline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34A71-B759-3245-867A-8C41C0C4EFED}">
  <sheetPr>
    <tabColor theme="0"/>
  </sheetPr>
  <dimension ref="A1:Q11"/>
  <sheetViews>
    <sheetView showRowColHeaders="0" workbookViewId="0">
      <pane ySplit="5" topLeftCell="A6" activePane="bottomLeft" state="frozen"/>
      <selection activeCell="C42" sqref="C42"/>
      <selection pane="bottomLeft" activeCell="E2" sqref="E2:I4"/>
    </sheetView>
  </sheetViews>
  <sheetFormatPr baseColWidth="10" defaultColWidth="0" defaultRowHeight="20" customHeight="1"/>
  <cols>
    <col min="1" max="1" width="10.5" style="92" bestFit="1" customWidth="1"/>
    <col min="2" max="2" width="10.83203125" style="93" customWidth="1"/>
    <col min="3" max="3" width="26.83203125" style="94" customWidth="1"/>
    <col min="4" max="4" width="68.83203125" style="95" customWidth="1"/>
    <col min="5" max="5" width="10.33203125" style="94" customWidth="1"/>
    <col min="6" max="6" width="10.1640625" style="94" customWidth="1"/>
    <col min="7" max="7" width="16.5" style="96" customWidth="1"/>
    <col min="8" max="8" width="30.83203125" style="96" customWidth="1"/>
    <col min="9" max="9" width="11.83203125" style="96" customWidth="1"/>
    <col min="10" max="11" width="15.1640625" style="97" bestFit="1" customWidth="1"/>
    <col min="12" max="15" width="14.83203125" style="97" customWidth="1"/>
    <col min="16" max="16" width="10.83203125" style="96" customWidth="1"/>
    <col min="17" max="17" width="10.83203125" style="105" customWidth="1"/>
    <col min="18" max="18" width="10.83203125" style="96" hidden="1" customWidth="1"/>
    <col min="19" max="16384" width="10.83203125" style="96" hidden="1"/>
  </cols>
  <sheetData>
    <row r="1" spans="1:17" s="86" customFormat="1" ht="20" customHeight="1">
      <c r="A1" s="82"/>
      <c r="B1" s="83"/>
      <c r="C1" s="84"/>
      <c r="D1" s="85"/>
      <c r="E1" s="84"/>
      <c r="F1" s="84"/>
      <c r="J1" s="87"/>
      <c r="K1" s="87"/>
      <c r="L1" s="87"/>
      <c r="M1" s="87"/>
      <c r="N1" s="87"/>
      <c r="O1" s="87"/>
      <c r="Q1" s="106"/>
    </row>
    <row r="2" spans="1:17" s="86" customFormat="1" ht="20" customHeight="1">
      <c r="A2" s="82"/>
      <c r="B2" s="83"/>
      <c r="C2" s="84"/>
      <c r="D2" s="85"/>
      <c r="E2" s="289" t="s">
        <v>118</v>
      </c>
      <c r="F2" s="289"/>
      <c r="G2" s="289"/>
      <c r="H2" s="289"/>
      <c r="I2" s="289"/>
      <c r="J2" s="87"/>
      <c r="K2" s="87"/>
      <c r="L2" s="87"/>
      <c r="M2" s="87"/>
      <c r="N2" s="87"/>
      <c r="O2" s="87"/>
      <c r="Q2" s="106"/>
    </row>
    <row r="3" spans="1:17" s="86" customFormat="1" ht="20" customHeight="1">
      <c r="A3" s="82"/>
      <c r="B3" s="83"/>
      <c r="C3" s="84"/>
      <c r="D3" s="85"/>
      <c r="E3" s="289"/>
      <c r="F3" s="289"/>
      <c r="G3" s="289"/>
      <c r="H3" s="289"/>
      <c r="I3" s="289"/>
      <c r="J3" s="87"/>
      <c r="K3" s="87"/>
      <c r="L3" s="87"/>
      <c r="M3" s="87"/>
      <c r="N3" s="87"/>
      <c r="O3" s="87"/>
      <c r="Q3" s="106"/>
    </row>
    <row r="4" spans="1:17" s="86" customFormat="1" ht="20" customHeight="1">
      <c r="A4" s="82"/>
      <c r="B4" s="83"/>
      <c r="C4" s="84"/>
      <c r="D4" s="85"/>
      <c r="E4" s="289"/>
      <c r="F4" s="289"/>
      <c r="G4" s="289"/>
      <c r="H4" s="289"/>
      <c r="I4" s="289"/>
      <c r="J4" s="87"/>
      <c r="K4" s="87"/>
      <c r="L4" s="87"/>
      <c r="M4" s="87"/>
      <c r="N4" s="87"/>
      <c r="O4" s="87"/>
      <c r="Q4" s="106"/>
    </row>
    <row r="5" spans="1:17" s="88" customFormat="1" ht="20" customHeight="1">
      <c r="A5" s="88" t="s">
        <v>106</v>
      </c>
      <c r="B5" s="88" t="s">
        <v>95</v>
      </c>
      <c r="C5" s="88" t="s">
        <v>98</v>
      </c>
      <c r="D5" s="89" t="s">
        <v>97</v>
      </c>
      <c r="E5" s="90" t="s">
        <v>119</v>
      </c>
      <c r="F5" s="90" t="s">
        <v>120</v>
      </c>
      <c r="G5" s="88" t="s">
        <v>85</v>
      </c>
      <c r="H5" s="88" t="s">
        <v>107</v>
      </c>
      <c r="I5" s="88" t="s">
        <v>121</v>
      </c>
      <c r="J5" s="88" t="s">
        <v>108</v>
      </c>
      <c r="K5" s="91" t="s">
        <v>109</v>
      </c>
      <c r="L5" s="88" t="s">
        <v>122</v>
      </c>
      <c r="M5" s="88" t="s">
        <v>123</v>
      </c>
      <c r="N5" s="88" t="s">
        <v>124</v>
      </c>
      <c r="O5" s="88" t="s">
        <v>125</v>
      </c>
      <c r="P5" s="88" t="s">
        <v>68</v>
      </c>
      <c r="Q5" s="301" t="s">
        <v>105</v>
      </c>
    </row>
    <row r="6" spans="1:17" ht="20" customHeight="1">
      <c r="A6" s="92" t="s">
        <v>38</v>
      </c>
      <c r="B6" s="93">
        <v>38353</v>
      </c>
      <c r="D6" s="95" t="s">
        <v>39</v>
      </c>
      <c r="K6" s="97">
        <v>0</v>
      </c>
      <c r="L6" s="97">
        <v>0</v>
      </c>
      <c r="M6" s="97">
        <v>0</v>
      </c>
      <c r="N6" s="97">
        <v>0</v>
      </c>
      <c r="O6" s="97">
        <v>0</v>
      </c>
      <c r="P6" s="97">
        <f t="shared" ref="P6:P11" si="0">SUM(L6:O6)</f>
        <v>0</v>
      </c>
      <c r="Q6" s="104" t="str" cm="1">
        <f t="array" aca="1" ref="Q6" ca="1">_xlfn.IFS(NOT(ISNUMBER(MATCH(Transactions[[#This Row],[ACCOUNT]],'∷ Settings'!$B$16:$B$50,0))),"⚀",NOT(AND(Transactions[[#This Row],[DATE]] &gt; DATE(2004,12,31),Transactions[[#This Row],[DATE]] &lt; (TODAY()+1))),"⚁",NOT(OR(AND(ISNUMBER(Transactions[[#This Row],[QUANTITY]]),ISTEXT(Transactions[[#This Row],[UNIT]])),OR(ISBLANK(Transactions[[#This Row],[QUANTITY]]),ISBLANK(Transactions[[#This Row],[UNIT]])))),"⚂",NOT(OR(AND(EXACT(Transactions[[#This Row],[CATEGORY]],"Income"),Transactions[[#This Row],[OUTFLOW]] = 0),OR(ISNUMBER(MATCH(Transactions[[#This Row],[CATEGORY]],'∷ Settings'!$C$16:$C$50,0))),ISBLANK(Transactions[[#This Row],[CATEGORY]]))),"⚃",AND(ISNUMBER(Transactions[[#This Row],[OUTFLOW]]),ISNUMBER(Transactions[[#This Row],[INFLOW]])),"⥂",AND(EXACT(Transactions[[#This Row],[BRAND]],"Transfer"),ISNUMBER(Transactions[[#This Row],[OUTFLOW]]),OR(EXACT(Transactions[[#This Row],[ITEM]],"Investment"),EXACT(Transactions[[#This Row],[ITEM]],"Loan"))),"⇢",AND(EXACT(Transactions[[#This Row],[BRAND]],"Transfer"),ISNUMBER(Transactions[[#This Row],[INFLOW]]),OR(EXACT(Transactions[[#This Row],[ITEM]],"Investment"),EXACT(Transactions[[#This Row],[ITEM]],"Loan"))),"⇠",TRUE,"●")</f>
        <v>●</v>
      </c>
    </row>
    <row r="7" spans="1:17" ht="20" customHeight="1">
      <c r="A7" s="92" t="s">
        <v>41</v>
      </c>
      <c r="B7" s="93">
        <v>38353</v>
      </c>
      <c r="D7" s="95" t="s">
        <v>39</v>
      </c>
      <c r="K7" s="97">
        <v>0</v>
      </c>
      <c r="L7" s="97">
        <v>0</v>
      </c>
      <c r="M7" s="97">
        <v>0</v>
      </c>
      <c r="N7" s="97">
        <v>0</v>
      </c>
      <c r="O7" s="97">
        <v>0</v>
      </c>
      <c r="P7" s="97">
        <f t="shared" si="0"/>
        <v>0</v>
      </c>
      <c r="Q7" s="104" t="str" cm="1">
        <f t="array" aca="1" ref="Q7" ca="1">_xlfn.IFS(NOT(ISNUMBER(MATCH(Transactions[[#This Row],[ACCOUNT]],'∷ Settings'!$B$16:$B$50,0))),"⚀",NOT(AND(Transactions[[#This Row],[DATE]] &gt; DATE(2004,12,31),Transactions[[#This Row],[DATE]] &lt; (TODAY()+1))),"⚁",NOT(OR(AND(ISNUMBER(Transactions[[#This Row],[QUANTITY]]),ISTEXT(Transactions[[#This Row],[UNIT]])),OR(ISBLANK(Transactions[[#This Row],[QUANTITY]]),ISBLANK(Transactions[[#This Row],[UNIT]])))),"⚂",NOT(OR(AND(EXACT(Transactions[[#This Row],[CATEGORY]],"Income"),Transactions[[#This Row],[OUTFLOW]] = 0),OR(ISNUMBER(MATCH(Transactions[[#This Row],[CATEGORY]],'∷ Settings'!$C$16:$C$50,0))),ISBLANK(Transactions[[#This Row],[CATEGORY]]))),"⚃",AND(ISNUMBER(Transactions[[#This Row],[OUTFLOW]]),ISNUMBER(Transactions[[#This Row],[INFLOW]])),"⥂",AND(EXACT(Transactions[[#This Row],[BRAND]],"Transfer"),ISNUMBER(Transactions[[#This Row],[OUTFLOW]]),OR(EXACT(Transactions[[#This Row],[ITEM]],"Investment"),EXACT(Transactions[[#This Row],[ITEM]],"Loan"))),"⇢",AND(EXACT(Transactions[[#This Row],[BRAND]],"Transfer"),ISNUMBER(Transactions[[#This Row],[INFLOW]]),OR(EXACT(Transactions[[#This Row],[ITEM]],"Investment"),EXACT(Transactions[[#This Row],[ITEM]],"Loan"))),"⇠",TRUE,"●")</f>
        <v>●</v>
      </c>
    </row>
    <row r="8" spans="1:17" ht="20" customHeight="1">
      <c r="A8" s="92" t="s">
        <v>42</v>
      </c>
      <c r="B8" s="93">
        <v>38353</v>
      </c>
      <c r="D8" s="95" t="s">
        <v>39</v>
      </c>
      <c r="K8" s="97">
        <v>0</v>
      </c>
      <c r="L8" s="97">
        <v>0</v>
      </c>
      <c r="M8" s="97">
        <v>0</v>
      </c>
      <c r="N8" s="97">
        <v>0</v>
      </c>
      <c r="O8" s="97">
        <v>0</v>
      </c>
      <c r="P8" s="97">
        <f t="shared" si="0"/>
        <v>0</v>
      </c>
      <c r="Q8" s="104" t="str" cm="1">
        <f t="array" aca="1" ref="Q8" ca="1">_xlfn.IFS(NOT(ISNUMBER(MATCH(Transactions[[#This Row],[ACCOUNT]],'∷ Settings'!$B$16:$B$50,0))),"⚀",NOT(AND(Transactions[[#This Row],[DATE]] &gt; DATE(2004,12,31),Transactions[[#This Row],[DATE]] &lt; (TODAY()+1))),"⚁",NOT(OR(AND(ISNUMBER(Transactions[[#This Row],[QUANTITY]]),ISTEXT(Transactions[[#This Row],[UNIT]])),OR(ISBLANK(Transactions[[#This Row],[QUANTITY]]),ISBLANK(Transactions[[#This Row],[UNIT]])))),"⚂",NOT(OR(AND(EXACT(Transactions[[#This Row],[CATEGORY]],"Income"),Transactions[[#This Row],[OUTFLOW]] = 0),OR(ISNUMBER(MATCH(Transactions[[#This Row],[CATEGORY]],'∷ Settings'!$C$16:$C$50,0))),ISBLANK(Transactions[[#This Row],[CATEGORY]]))),"⚃",AND(ISNUMBER(Transactions[[#This Row],[OUTFLOW]]),ISNUMBER(Transactions[[#This Row],[INFLOW]])),"⥂",AND(EXACT(Transactions[[#This Row],[BRAND]],"Transfer"),ISNUMBER(Transactions[[#This Row],[OUTFLOW]]),OR(EXACT(Transactions[[#This Row],[ITEM]],"Investment"),EXACT(Transactions[[#This Row],[ITEM]],"Loan"))),"⇢",AND(EXACT(Transactions[[#This Row],[BRAND]],"Transfer"),ISNUMBER(Transactions[[#This Row],[INFLOW]]),OR(EXACT(Transactions[[#This Row],[ITEM]],"Investment"),EXACT(Transactions[[#This Row],[ITEM]],"Loan"))),"⇠",TRUE,"●")</f>
        <v>●</v>
      </c>
    </row>
    <row r="9" spans="1:17" ht="20" customHeight="1">
      <c r="A9" s="92" t="s">
        <v>8</v>
      </c>
      <c r="B9" s="93">
        <v>38353</v>
      </c>
      <c r="D9" s="95" t="s">
        <v>39</v>
      </c>
      <c r="K9" s="97">
        <v>0</v>
      </c>
      <c r="L9" s="97">
        <v>0</v>
      </c>
      <c r="M9" s="97">
        <v>0</v>
      </c>
      <c r="N9" s="97">
        <v>0</v>
      </c>
      <c r="O9" s="97">
        <v>0</v>
      </c>
      <c r="P9" s="97">
        <f t="shared" si="0"/>
        <v>0</v>
      </c>
      <c r="Q9" s="104" t="str" cm="1">
        <f t="array" aca="1" ref="Q9" ca="1">_xlfn.IFS(NOT(ISNUMBER(MATCH(Transactions[[#This Row],[ACCOUNT]],'∷ Settings'!$B$16:$B$50,0))),"⚀",NOT(AND(Transactions[[#This Row],[DATE]] &gt; DATE(2004,12,31),Transactions[[#This Row],[DATE]] &lt; (TODAY()+1))),"⚁",NOT(OR(AND(ISNUMBER(Transactions[[#This Row],[QUANTITY]]),ISTEXT(Transactions[[#This Row],[UNIT]])),OR(ISBLANK(Transactions[[#This Row],[QUANTITY]]),ISBLANK(Transactions[[#This Row],[UNIT]])))),"⚂",NOT(OR(AND(EXACT(Transactions[[#This Row],[CATEGORY]],"Income"),Transactions[[#This Row],[OUTFLOW]] = 0),OR(ISNUMBER(MATCH(Transactions[[#This Row],[CATEGORY]],'∷ Settings'!$C$16:$C$50,0))),ISBLANK(Transactions[[#This Row],[CATEGORY]]))),"⚃",AND(ISNUMBER(Transactions[[#This Row],[OUTFLOW]]),ISNUMBER(Transactions[[#This Row],[INFLOW]])),"⥂",AND(EXACT(Transactions[[#This Row],[BRAND]],"Transfer"),ISNUMBER(Transactions[[#This Row],[OUTFLOW]]),OR(EXACT(Transactions[[#This Row],[ITEM]],"Investment"),EXACT(Transactions[[#This Row],[ITEM]],"Loan"))),"⇢",AND(EXACT(Transactions[[#This Row],[BRAND]],"Transfer"),ISNUMBER(Transactions[[#This Row],[INFLOW]]),OR(EXACT(Transactions[[#This Row],[ITEM]],"Investment"),EXACT(Transactions[[#This Row],[ITEM]],"Loan"))),"⇠",TRUE,"●")</f>
        <v>●</v>
      </c>
    </row>
    <row r="10" spans="1:17" ht="20" customHeight="1">
      <c r="A10" s="92" t="s">
        <v>45</v>
      </c>
      <c r="B10" s="93">
        <v>38353</v>
      </c>
      <c r="D10" s="95" t="s">
        <v>39</v>
      </c>
      <c r="K10" s="97">
        <v>0</v>
      </c>
      <c r="L10" s="97">
        <v>0</v>
      </c>
      <c r="M10" s="97">
        <v>0</v>
      </c>
      <c r="N10" s="97">
        <v>0</v>
      </c>
      <c r="O10" s="97">
        <v>0</v>
      </c>
      <c r="P10" s="97">
        <f t="shared" si="0"/>
        <v>0</v>
      </c>
      <c r="Q10" s="104" t="str" cm="1">
        <f t="array" aca="1" ref="Q10" ca="1">_xlfn.IFS(NOT(ISNUMBER(MATCH(Transactions[[#This Row],[ACCOUNT]],'∷ Settings'!$B$16:$B$50,0))),"⚀",NOT(AND(Transactions[[#This Row],[DATE]] &gt; DATE(2004,12,31),Transactions[[#This Row],[DATE]] &lt; (TODAY()+1))),"⚁",NOT(OR(AND(ISNUMBER(Transactions[[#This Row],[QUANTITY]]),ISTEXT(Transactions[[#This Row],[UNIT]])),OR(ISBLANK(Transactions[[#This Row],[QUANTITY]]),ISBLANK(Transactions[[#This Row],[UNIT]])))),"⚂",NOT(OR(AND(EXACT(Transactions[[#This Row],[CATEGORY]],"Income"),Transactions[[#This Row],[OUTFLOW]] = 0),OR(ISNUMBER(MATCH(Transactions[[#This Row],[CATEGORY]],'∷ Settings'!$C$16:$C$50,0))),ISBLANK(Transactions[[#This Row],[CATEGORY]]))),"⚃",AND(ISNUMBER(Transactions[[#This Row],[OUTFLOW]]),ISNUMBER(Transactions[[#This Row],[INFLOW]])),"⥂",AND(EXACT(Transactions[[#This Row],[BRAND]],"Transfer"),ISNUMBER(Transactions[[#This Row],[OUTFLOW]]),OR(EXACT(Transactions[[#This Row],[ITEM]],"Investment"),EXACT(Transactions[[#This Row],[ITEM]],"Loan"))),"⇢",AND(EXACT(Transactions[[#This Row],[BRAND]],"Transfer"),ISNUMBER(Transactions[[#This Row],[INFLOW]]),OR(EXACT(Transactions[[#This Row],[ITEM]],"Investment"),EXACT(Transactions[[#This Row],[ITEM]],"Loan"))),"⇠",TRUE,"●")</f>
        <v>●</v>
      </c>
    </row>
    <row r="11" spans="1:17" ht="20" customHeight="1">
      <c r="A11" s="92" t="s">
        <v>27</v>
      </c>
      <c r="B11" s="93">
        <v>38353</v>
      </c>
      <c r="D11" s="95" t="s">
        <v>39</v>
      </c>
      <c r="K11" s="97">
        <v>0</v>
      </c>
      <c r="L11" s="97">
        <v>0</v>
      </c>
      <c r="M11" s="97">
        <v>0</v>
      </c>
      <c r="N11" s="97">
        <v>0</v>
      </c>
      <c r="O11" s="97">
        <v>0</v>
      </c>
      <c r="P11" s="97">
        <f t="shared" si="0"/>
        <v>0</v>
      </c>
      <c r="Q11" s="104" t="str" cm="1">
        <f t="array" aca="1" ref="Q11" ca="1">_xlfn.IFS(NOT(ISNUMBER(MATCH(Transactions[[#This Row],[ACCOUNT]],'∷ Settings'!$B$16:$B$50,0))),"⚀",NOT(AND(Transactions[[#This Row],[DATE]] &gt; DATE(2004,12,31),Transactions[[#This Row],[DATE]] &lt; (TODAY()+1))),"⚁",NOT(OR(AND(ISNUMBER(Transactions[[#This Row],[QUANTITY]]),ISTEXT(Transactions[[#This Row],[UNIT]])),OR(ISBLANK(Transactions[[#This Row],[QUANTITY]]),ISBLANK(Transactions[[#This Row],[UNIT]])))),"⚂",NOT(OR(AND(EXACT(Transactions[[#This Row],[CATEGORY]],"Income"),Transactions[[#This Row],[OUTFLOW]] = 0),OR(ISNUMBER(MATCH(Transactions[[#This Row],[CATEGORY]],'∷ Settings'!$C$16:$C$50,0))),ISBLANK(Transactions[[#This Row],[CATEGORY]]))),"⚃",AND(ISNUMBER(Transactions[[#This Row],[OUTFLOW]]),ISNUMBER(Transactions[[#This Row],[INFLOW]])),"⥂",AND(EXACT(Transactions[[#This Row],[BRAND]],"Transfer"),ISNUMBER(Transactions[[#This Row],[OUTFLOW]]),OR(EXACT(Transactions[[#This Row],[ITEM]],"Investment"),EXACT(Transactions[[#This Row],[ITEM]],"Loan"))),"⇢",AND(EXACT(Transactions[[#This Row],[BRAND]],"Transfer"),ISNUMBER(Transactions[[#This Row],[INFLOW]]),OR(EXACT(Transactions[[#This Row],[ITEM]],"Investment"),EXACT(Transactions[[#This Row],[ITEM]],"Loan"))),"⇠",TRUE,"●")</f>
        <v>●</v>
      </c>
    </row>
  </sheetData>
  <mergeCells count="1">
    <mergeCell ref="E2:I4"/>
  </mergeCells>
  <phoneticPr fontId="15" type="noConversion"/>
  <hyperlinks>
    <hyperlink ref="Q5" r:id="rId1" xr:uid="{1284C423-A076-1D44-B23A-E294E0496754}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0382D-99E7-6843-9F2C-1A09031807B5}">
  <sheetPr>
    <tabColor theme="0"/>
  </sheetPr>
  <dimension ref="A1:BF7"/>
  <sheetViews>
    <sheetView showRowColHeaders="0" workbookViewId="0">
      <pane ySplit="5" topLeftCell="A6" activePane="bottomLeft" state="frozen"/>
      <selection pane="bottomLeft" activeCell="E2" sqref="E2:K4"/>
    </sheetView>
  </sheetViews>
  <sheetFormatPr baseColWidth="10" defaultColWidth="0" defaultRowHeight="20" customHeight="1"/>
  <cols>
    <col min="1" max="1" width="10.83203125" style="1" customWidth="1"/>
    <col min="2" max="2" width="10.83203125" style="2" customWidth="1"/>
    <col min="3" max="3" width="24.5" style="1" customWidth="1"/>
    <col min="4" max="4" width="43.5" style="1" customWidth="1"/>
    <col min="5" max="5" width="16.83203125" style="1" customWidth="1"/>
    <col min="6" max="6" width="37.6640625" style="1" customWidth="1"/>
    <col min="7" max="8" width="12.83203125" style="3" customWidth="1"/>
    <col min="9" max="16" width="15.83203125" style="3" customWidth="1"/>
    <col min="17" max="17" width="10.1640625" style="102" bestFit="1" customWidth="1"/>
    <col min="18" max="20" width="26" style="1" hidden="1" customWidth="1"/>
    <col min="21" max="21" width="14.83203125" style="1" hidden="1" customWidth="1"/>
    <col min="22" max="24" width="16.83203125" style="1" hidden="1" customWidth="1"/>
    <col min="25" max="25" width="15.1640625" style="1" hidden="1" customWidth="1"/>
    <col min="26" max="31" width="26" style="1" hidden="1" customWidth="1"/>
    <col min="32" max="32" width="14.83203125" style="1" hidden="1" customWidth="1"/>
    <col min="33" max="35" width="16.83203125" style="1" hidden="1" customWidth="1"/>
    <col min="36" max="36" width="15.1640625" style="1" hidden="1" customWidth="1"/>
    <col min="37" max="42" width="26" style="1" hidden="1" customWidth="1"/>
    <col min="43" max="43" width="14.83203125" style="1" hidden="1" customWidth="1"/>
    <col min="44" max="44" width="16.6640625" style="1" hidden="1" customWidth="1"/>
    <col min="45" max="45" width="19.33203125" style="1" hidden="1" customWidth="1"/>
    <col min="46" max="46" width="17.6640625" style="1" hidden="1" customWidth="1"/>
    <col min="47" max="47" width="20.33203125" style="1" hidden="1" customWidth="1"/>
    <col min="48" max="48" width="28.1640625" style="1" hidden="1" customWidth="1"/>
    <col min="49" max="49" width="30.83203125" style="1" hidden="1" customWidth="1"/>
    <col min="50" max="50" width="27.5" style="1" hidden="1" customWidth="1"/>
    <col min="51" max="51" width="30.1640625" style="1" hidden="1" customWidth="1"/>
    <col min="52" max="52" width="18.1640625" style="1" hidden="1" customWidth="1"/>
    <col min="53" max="53" width="20.83203125" style="1" hidden="1" customWidth="1"/>
    <col min="54" max="55" width="19" style="1" hidden="1" customWidth="1"/>
    <col min="56" max="56" width="21.6640625" style="1" hidden="1" customWidth="1"/>
    <col min="57" max="57" width="19.5" style="1" hidden="1" customWidth="1"/>
    <col min="58" max="58" width="22.1640625" style="1" hidden="1" customWidth="1"/>
    <col min="59" max="16384" width="10.83203125" style="1" hidden="1"/>
  </cols>
  <sheetData>
    <row r="1" spans="1:17" s="4" customFormat="1" ht="20" customHeight="1">
      <c r="B1" s="5"/>
      <c r="G1" s="6"/>
      <c r="H1" s="6"/>
      <c r="I1" s="6"/>
      <c r="J1" s="6"/>
      <c r="O1" s="6"/>
      <c r="P1" s="6"/>
      <c r="Q1" s="103"/>
    </row>
    <row r="2" spans="1:17" s="4" customFormat="1" ht="20" customHeight="1">
      <c r="B2" s="5"/>
      <c r="E2" s="290" t="s">
        <v>24</v>
      </c>
      <c r="F2" s="290"/>
      <c r="G2" s="290"/>
      <c r="H2" s="290"/>
      <c r="I2" s="290"/>
      <c r="J2" s="290"/>
      <c r="K2" s="290"/>
      <c r="L2" s="143"/>
      <c r="M2" s="143"/>
      <c r="N2" s="143"/>
      <c r="O2" s="6"/>
      <c r="P2" s="6"/>
      <c r="Q2" s="103"/>
    </row>
    <row r="3" spans="1:17" s="4" customFormat="1" ht="20" customHeight="1">
      <c r="B3" s="5"/>
      <c r="E3" s="290"/>
      <c r="F3" s="290"/>
      <c r="G3" s="290"/>
      <c r="H3" s="290"/>
      <c r="I3" s="290"/>
      <c r="J3" s="290"/>
      <c r="K3" s="290"/>
      <c r="L3" s="143"/>
      <c r="M3" s="143"/>
      <c r="N3" s="143"/>
      <c r="O3" s="6"/>
      <c r="P3" s="6"/>
      <c r="Q3" s="103"/>
    </row>
    <row r="4" spans="1:17" s="4" customFormat="1" ht="28" customHeight="1">
      <c r="B4" s="5"/>
      <c r="E4" s="290"/>
      <c r="F4" s="290"/>
      <c r="G4" s="290"/>
      <c r="H4" s="290"/>
      <c r="I4" s="290"/>
      <c r="J4" s="290"/>
      <c r="K4" s="290"/>
      <c r="L4" s="143"/>
      <c r="M4" s="143"/>
      <c r="N4" s="143"/>
      <c r="O4" s="6"/>
      <c r="P4" s="6"/>
      <c r="Q4" s="103"/>
    </row>
    <row r="5" spans="1:17" s="62" customFormat="1" ht="20" customHeight="1">
      <c r="A5" s="62" t="s">
        <v>106</v>
      </c>
      <c r="B5" s="63" t="s">
        <v>95</v>
      </c>
      <c r="C5" s="63" t="s">
        <v>98</v>
      </c>
      <c r="D5" s="62" t="s">
        <v>97</v>
      </c>
      <c r="E5" s="62" t="s">
        <v>85</v>
      </c>
      <c r="F5" s="62" t="s">
        <v>107</v>
      </c>
      <c r="G5" s="61" t="s">
        <v>108</v>
      </c>
      <c r="H5" s="61" t="s">
        <v>109</v>
      </c>
      <c r="I5" s="61" t="s">
        <v>111</v>
      </c>
      <c r="J5" s="61" t="s">
        <v>112</v>
      </c>
      <c r="K5" s="61" t="s">
        <v>113</v>
      </c>
      <c r="L5" s="61" t="s">
        <v>114</v>
      </c>
      <c r="M5" s="61" t="s">
        <v>115</v>
      </c>
      <c r="N5" s="64" t="s">
        <v>117</v>
      </c>
      <c r="O5" s="61" t="s">
        <v>116</v>
      </c>
      <c r="P5" s="61" t="s">
        <v>68</v>
      </c>
      <c r="Q5" s="301" t="s">
        <v>105</v>
      </c>
    </row>
    <row r="6" spans="1:17" ht="20" customHeight="1">
      <c r="A6" s="1" t="s">
        <v>48</v>
      </c>
      <c r="B6" s="2">
        <v>38353</v>
      </c>
      <c r="C6" s="2" t="s">
        <v>61</v>
      </c>
      <c r="D6" s="1" t="s">
        <v>54</v>
      </c>
      <c r="E6" s="1" t="s">
        <v>60</v>
      </c>
      <c r="F6" s="1" t="s">
        <v>154</v>
      </c>
      <c r="H6" s="3">
        <v>0</v>
      </c>
      <c r="I6" s="3">
        <f t="shared" ref="I6:I7" si="0">IF(AND($A6=I$5,ISNUMBER(I5)),I5-$G6+$H6,IF(ISNUMBER(I5),I5,0))</f>
        <v>0</v>
      </c>
      <c r="J6" s="3">
        <f t="shared" ref="J6:J7" si="1">IF(AND($A6=J$5,ISNUMBER(J5)),J5-$G6+$H6,IF(ISNUMBER(J5),J5,0))</f>
        <v>0</v>
      </c>
      <c r="K6" s="3">
        <f t="shared" ref="K6:K7" si="2">IF(AND($A6=K$5,ISNUMBER(K5)),K5-$G6+$H6,IF(ISNUMBER(K5),K5,0))</f>
        <v>0</v>
      </c>
      <c r="L6" s="3">
        <f t="shared" ref="L6:L7" si="3">IF(AND($A6=L$5,ISNUMBER(L5)),L5-$G6+$H6,IF(ISNUMBER(L5),L5,0))</f>
        <v>0</v>
      </c>
      <c r="M6" s="3">
        <f t="shared" ref="M6:M7" si="4">IF(AND($A6=M$5,ISNUMBER(M5)),M5-$G6+$H6,IF(ISNUMBER(M5),M5,0))</f>
        <v>0</v>
      </c>
      <c r="N6" s="3">
        <f t="shared" ref="N6:N7" si="5">IF(AND($A6="Wallet",ISNUMBER(N5)),N5-$G6+$H6,IF(ISNUMBER(N5),N5,0))</f>
        <v>0</v>
      </c>
      <c r="O6" s="3">
        <f t="shared" ref="O6:O7" si="6">IF(AND($A6=O$5,ISNUMBER(O5)),O5-$G6+$H6,IF(ISNUMBER(O5),O5,0))</f>
        <v>0</v>
      </c>
      <c r="P6" s="3">
        <f>SUM(Investment[[#This Row],[UNIT TRUSTS]:[DEPOSIT]])</f>
        <v>0</v>
      </c>
      <c r="Q6" s="101" t="str" cm="1">
        <f t="array" aca="1" ref="Q6" ca="1">_xlfn.IFS(NOT(ISNUMBER(MATCH(Investment[[#This Row],[ACCOUNT]],'∷ Settings'!$E$16:$E$50,0))),"⚀",NOT(AND(Investment[[#This Row],[DATE]] &gt; DATE(2004,12,31),Investment[[#This Row],[DATE]] &lt; (TODAY()+1))),"⚁",NOT(OR(ISNUMBER(MATCH(Investment[[#This Row],[CATEGORY]],'∷ Settings'!$F$16:$F$50,0)),ISBLANK(Investment[[#This Row],[CATEGORY]]))),"⚃",AND(ISNUMBER(Investment[[#This Row],[OUTFLOW]]),ISNUMBER(Investment[[#This Row],[INFLOW]])),"⥂",AND(EXACT(Investment[[#This Row],[BRAND]],"Transfer"),ISNUMBER(Investment[[#This Row],[OUTFLOW]])),"⇢",AND(EXACT(Investment[[#This Row],[BRAND]],"Transfer"),ISNUMBER(Investment[[#This Row],[INFLOW]])),"⇠",TRUE,"●")</f>
        <v>●</v>
      </c>
    </row>
    <row r="7" spans="1:17" ht="20" customHeight="1">
      <c r="A7" s="1" t="s">
        <v>52</v>
      </c>
      <c r="B7" s="2">
        <v>38353</v>
      </c>
      <c r="C7" s="2" t="s">
        <v>61</v>
      </c>
      <c r="D7" s="1" t="s">
        <v>54</v>
      </c>
      <c r="E7" s="1" t="s">
        <v>24</v>
      </c>
      <c r="F7" s="1" t="s">
        <v>69</v>
      </c>
      <c r="H7" s="3">
        <v>0</v>
      </c>
      <c r="I7" s="3">
        <f t="shared" si="0"/>
        <v>0</v>
      </c>
      <c r="J7" s="3">
        <f t="shared" si="1"/>
        <v>0</v>
      </c>
      <c r="K7" s="3">
        <f t="shared" si="2"/>
        <v>0</v>
      </c>
      <c r="L7" s="3">
        <f t="shared" si="3"/>
        <v>0</v>
      </c>
      <c r="M7" s="3">
        <f t="shared" si="4"/>
        <v>0</v>
      </c>
      <c r="N7" s="3">
        <f t="shared" si="5"/>
        <v>0</v>
      </c>
      <c r="O7" s="3">
        <f t="shared" si="6"/>
        <v>0</v>
      </c>
      <c r="P7" s="3">
        <f>SUM(Investment[[#This Row],[UNIT TRUSTS]:[DEPOSIT]])</f>
        <v>0</v>
      </c>
      <c r="Q7" s="101" t="str" cm="1">
        <f t="array" aca="1" ref="Q7" ca="1">_xlfn.IFS(NOT(ISNUMBER(MATCH(Investment[[#This Row],[ACCOUNT]],'∷ Settings'!$E$16:$E$50,0))),"⚀",NOT(AND(Investment[[#This Row],[DATE]] &gt; DATE(2004,12,31),Investment[[#This Row],[DATE]] &lt; (TODAY()+1))),"⚁",NOT(OR(ISNUMBER(MATCH(Investment[[#This Row],[CATEGORY]],'∷ Settings'!$F$16:$F$50,0)),ISBLANK(Investment[[#This Row],[CATEGORY]]))),"⚃",AND(ISNUMBER(Investment[[#This Row],[OUTFLOW]]),ISNUMBER(Investment[[#This Row],[INFLOW]])),"⥂",AND(EXACT(Investment[[#This Row],[BRAND]],"Transfer"),ISNUMBER(Investment[[#This Row],[OUTFLOW]])),"⇢",AND(EXACT(Investment[[#This Row],[BRAND]],"Transfer"),ISNUMBER(Investment[[#This Row],[INFLOW]])),"⇠",TRUE,"●")</f>
        <v>●</v>
      </c>
    </row>
  </sheetData>
  <mergeCells count="1">
    <mergeCell ref="E2:K4"/>
  </mergeCells>
  <phoneticPr fontId="15" type="noConversion"/>
  <dataValidations count="2">
    <dataValidation type="date" errorStyle="information" allowBlank="1" showInputMessage="1" showErrorMessage="1" errorTitle="Date out of range" error="The date has to be between 1 Jan 2005 and 31 Dec 2030." sqref="B5" xr:uid="{B71016B3-10FD-FB46-BE5A-9EA49F67B6D0}">
      <formula1>38353</formula1>
      <formula2>47848</formula2>
    </dataValidation>
    <dataValidation type="date" allowBlank="1" showInputMessage="1" showErrorMessage="1" errorTitle="Date out of range" error="The date has to be between 1 Jan 2005 and 31 Dec 2030." sqref="B6:B7" xr:uid="{83669129-8088-834A-A3DD-67755E3CCEC1}">
      <formula1>38353</formula1>
      <formula2>47848</formula2>
    </dataValidation>
  </dataValidations>
  <hyperlinks>
    <hyperlink ref="Q5" r:id="rId1" xr:uid="{50929F17-EE85-1B44-9439-C58E78D15378}"/>
  </hyperlinks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4F12E-099D-7548-9F37-E8FC7D98F6AD}">
  <sheetPr>
    <tabColor theme="0"/>
  </sheetPr>
  <dimension ref="A1:M6"/>
  <sheetViews>
    <sheetView showRowColHeaders="0" workbookViewId="0">
      <pane ySplit="5" topLeftCell="A6" activePane="bottomLeft" state="frozen"/>
      <selection pane="bottomLeft" activeCell="F2" sqref="F2:I4"/>
    </sheetView>
  </sheetViews>
  <sheetFormatPr baseColWidth="10" defaultColWidth="0" defaultRowHeight="20" customHeight="1"/>
  <cols>
    <col min="1" max="1" width="10.83203125" style="1" customWidth="1"/>
    <col min="2" max="2" width="10.83203125" style="2" customWidth="1"/>
    <col min="3" max="3" width="24.5" style="1" customWidth="1"/>
    <col min="4" max="4" width="43.5" style="1" customWidth="1"/>
    <col min="5" max="5" width="16.1640625" style="1" customWidth="1"/>
    <col min="6" max="6" width="42.83203125" style="1" customWidth="1"/>
    <col min="7" max="8" width="12.83203125" style="3" customWidth="1"/>
    <col min="9" max="12" width="29.33203125" style="3" customWidth="1"/>
    <col min="13" max="13" width="17.83203125" style="102" customWidth="1"/>
    <col min="14" max="14" width="10.83203125" style="1" hidden="1" customWidth="1"/>
    <col min="15" max="16384" width="10.83203125" style="1" hidden="1"/>
  </cols>
  <sheetData>
    <row r="1" spans="1:13" s="4" customFormat="1" ht="20" customHeight="1">
      <c r="B1" s="5"/>
      <c r="G1" s="6"/>
      <c r="H1" s="6"/>
      <c r="I1" s="6"/>
      <c r="J1" s="6"/>
      <c r="K1" s="6"/>
      <c r="L1" s="6"/>
      <c r="M1" s="107"/>
    </row>
    <row r="2" spans="1:13" s="4" customFormat="1" ht="20" customHeight="1">
      <c r="B2" s="5"/>
      <c r="F2" s="290" t="s">
        <v>144</v>
      </c>
      <c r="G2" s="290"/>
      <c r="H2" s="290"/>
      <c r="I2" s="290"/>
      <c r="J2" s="99"/>
      <c r="K2" s="99"/>
      <c r="L2" s="100"/>
      <c r="M2" s="107"/>
    </row>
    <row r="3" spans="1:13" s="4" customFormat="1" ht="20" customHeight="1">
      <c r="B3" s="5"/>
      <c r="E3" s="98"/>
      <c r="F3" s="290"/>
      <c r="G3" s="290"/>
      <c r="H3" s="290"/>
      <c r="I3" s="290"/>
      <c r="J3" s="99"/>
      <c r="K3" s="99"/>
      <c r="L3" s="100"/>
      <c r="M3" s="107"/>
    </row>
    <row r="4" spans="1:13" s="4" customFormat="1" ht="20" customHeight="1">
      <c r="B4" s="5"/>
      <c r="E4" s="98"/>
      <c r="F4" s="290"/>
      <c r="G4" s="290"/>
      <c r="H4" s="290"/>
      <c r="I4" s="290"/>
      <c r="J4" s="99"/>
      <c r="K4" s="99"/>
      <c r="L4" s="100"/>
      <c r="M4" s="107"/>
    </row>
    <row r="5" spans="1:13" s="62" customFormat="1" ht="20" customHeight="1">
      <c r="A5" s="62" t="s">
        <v>106</v>
      </c>
      <c r="B5" s="63" t="s">
        <v>95</v>
      </c>
      <c r="C5" s="63" t="s">
        <v>98</v>
      </c>
      <c r="D5" s="62" t="s">
        <v>97</v>
      </c>
      <c r="E5" s="62" t="s">
        <v>85</v>
      </c>
      <c r="F5" s="62" t="s">
        <v>107</v>
      </c>
      <c r="G5" s="61" t="s">
        <v>108</v>
      </c>
      <c r="H5" s="61" t="s">
        <v>109</v>
      </c>
      <c r="I5" s="61" t="s">
        <v>110</v>
      </c>
      <c r="J5" s="61" t="s">
        <v>157</v>
      </c>
      <c r="K5" s="61" t="s">
        <v>125</v>
      </c>
      <c r="L5" s="61" t="s">
        <v>68</v>
      </c>
      <c r="M5" s="301" t="s">
        <v>105</v>
      </c>
    </row>
    <row r="6" spans="1:13" ht="20" customHeight="1">
      <c r="A6" s="1" t="s">
        <v>46</v>
      </c>
      <c r="B6" s="2">
        <v>38353</v>
      </c>
      <c r="C6" s="1" t="s">
        <v>61</v>
      </c>
      <c r="D6" s="1" t="s">
        <v>54</v>
      </c>
      <c r="H6" s="3">
        <v>0</v>
      </c>
      <c r="I6" s="3">
        <f>IF(AND(A6=Debt[[#Headers],[BOND]],ISNUMBER(I5)),I5+H6-G6,IF(ISNUMBER(I5),I5,0))</f>
        <v>0</v>
      </c>
      <c r="J6" s="3">
        <f>IF(AND(A6=J$5,ISNUMBER(J5)),$J5+$H6-$G6,IF(ISNUMBER(J5),J5,0))</f>
        <v>0</v>
      </c>
      <c r="K6" s="3">
        <f t="shared" ref="K6" si="0">IF(AND(A6=K$5,ISNUMBER(K5)),K5-J6+I6,IF(ISNUMBER(K5),K5,0))</f>
        <v>0</v>
      </c>
      <c r="L6" s="3">
        <f>SUM(Debt[[#This Row],[BOND]:[CREDIT]])</f>
        <v>0</v>
      </c>
      <c r="M6" s="102" t="str" cm="1">
        <f t="array" aca="1" ref="M6" ca="1">_xlfn.IFS(NOT(ISNUMBER(MATCH(Debt[[#This Row],[ACCOUNT]],'∷ Settings'!$H$16:$H$50,0))),"⚀",NOT(AND(Debt[[#This Row],[DATE]] &gt; DATE(2004,12,31),Debt[[#This Row],[DATE]] &lt; (TODAY()+1))),"⚁",NOT(OR(ISNUMBER(MATCH(Debt[[#This Row],[CATEGORY]],'∷ Settings'!$I$16:$I$50,0)),ISBLANK(Debt[[#This Row],[CATEGORY]]))),"⚃",AND(ISNUMBER(Debt[[#This Row],[OUTFLOW]]),ISNUMBER(Debt[[#This Row],[INFLOW]])),"⥂",AND(EXACT(Debt[[#This Row],[BRAND]],"Transfer"),ISNUMBER(Debt[[#This Row],[OUTFLOW]]),EXACT(Debt[[#This Row],[ITEM]],"Debit")),"⇢",AND(EXACT(Debt[[#This Row],[BRAND]],"Transfer"),ISNUMBER(Debt[[#This Row],[INFLOW]]),EXACT(Debt[[#This Row],[ITEM]],"Debit")),"⇠",TRUE,"●")</f>
        <v>●</v>
      </c>
    </row>
  </sheetData>
  <mergeCells count="1">
    <mergeCell ref="F2:I4"/>
  </mergeCells>
  <dataValidations count="2">
    <dataValidation type="date" allowBlank="1" showInputMessage="1" showErrorMessage="1" errorTitle="Date out of range" error="The date has to be between 1 Jan 2005 and 31 Dec 2030." sqref="B6" xr:uid="{5FEA7B34-7F93-9940-936A-CA39363339D4}">
      <formula1>38353</formula1>
      <formula2>47848</formula2>
    </dataValidation>
    <dataValidation type="date" errorStyle="information" allowBlank="1" showInputMessage="1" showErrorMessage="1" errorTitle="Date out of range" error="The date has to be between 1 Jan 2005 and 31 Dec 2030." sqref="B5" xr:uid="{61A04BB3-2676-C64E-9DD2-5FE54D48D3B7}">
      <formula1>38353</formula1>
      <formula2>47848</formula2>
    </dataValidation>
  </dataValidations>
  <hyperlinks>
    <hyperlink ref="M5" r:id="rId1" xr:uid="{08E13F4F-0AE3-8E44-9A61-D3D5E5455FFB}"/>
  </hyperlinks>
  <pageMargins left="0.7" right="0.7" top="0.75" bottom="0.75" header="0.3" footer="0.3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6E4E6-307D-554F-A84E-0B81A62373B1}">
  <sheetPr>
    <tabColor theme="0"/>
  </sheetPr>
  <dimension ref="A1:N6"/>
  <sheetViews>
    <sheetView showGridLines="0" showRowColHeaders="0" zoomScaleNormal="100" workbookViewId="0">
      <pane ySplit="5" topLeftCell="A6" activePane="bottomLeft" state="frozen"/>
      <selection pane="bottomLeft" activeCell="D2" sqref="D2:G4"/>
    </sheetView>
  </sheetViews>
  <sheetFormatPr baseColWidth="10" defaultColWidth="0" defaultRowHeight="20" customHeight="1"/>
  <cols>
    <col min="1" max="1" width="11.1640625" style="179" customWidth="1"/>
    <col min="2" max="2" width="11.1640625" style="178" customWidth="1"/>
    <col min="3" max="3" width="55" style="174" customWidth="1"/>
    <col min="4" max="4" width="65" style="174" customWidth="1"/>
    <col min="5" max="5" width="16.5" style="174" customWidth="1"/>
    <col min="6" max="6" width="29.5" style="174" customWidth="1"/>
    <col min="7" max="7" width="49.5" style="174" customWidth="1"/>
    <col min="8" max="8" width="11.1640625" style="176" customWidth="1"/>
    <col min="9" max="9" width="11.1640625" style="177" customWidth="1"/>
    <col min="10" max="10" width="13.6640625" style="176" customWidth="1"/>
    <col min="11" max="11" width="11.1640625" style="176" customWidth="1"/>
    <col min="12" max="12" width="10.83203125" style="176" customWidth="1"/>
    <col min="13" max="13" width="10.83203125" style="175" customWidth="1"/>
    <col min="14" max="14" width="10.83203125" style="174" customWidth="1"/>
    <col min="15" max="16384" width="8.83203125" style="173" hidden="1"/>
  </cols>
  <sheetData>
    <row r="1" spans="1:14" s="195" customFormat="1" ht="20" customHeight="1">
      <c r="A1" s="201"/>
      <c r="B1" s="200"/>
      <c r="C1" s="196"/>
      <c r="D1" s="196"/>
      <c r="E1" s="196"/>
      <c r="F1" s="196"/>
      <c r="G1" s="196"/>
      <c r="H1" s="198"/>
      <c r="I1" s="199"/>
      <c r="J1" s="198"/>
      <c r="K1" s="198"/>
      <c r="L1" s="198"/>
      <c r="M1" s="197"/>
      <c r="N1" s="196"/>
    </row>
    <row r="2" spans="1:14" s="195" customFormat="1" ht="20" customHeight="1">
      <c r="A2" s="201"/>
      <c r="B2" s="200"/>
      <c r="C2" s="196"/>
      <c r="D2" s="290" t="s">
        <v>3</v>
      </c>
      <c r="E2" s="290"/>
      <c r="F2" s="290"/>
      <c r="G2" s="290"/>
      <c r="H2" s="198"/>
      <c r="I2" s="199"/>
      <c r="J2" s="198"/>
      <c r="K2" s="198"/>
      <c r="L2" s="198"/>
      <c r="M2" s="197"/>
      <c r="N2" s="196"/>
    </row>
    <row r="3" spans="1:14" s="195" customFormat="1" ht="20" customHeight="1">
      <c r="A3" s="201"/>
      <c r="B3" s="200"/>
      <c r="C3" s="196"/>
      <c r="D3" s="290"/>
      <c r="E3" s="290"/>
      <c r="F3" s="290"/>
      <c r="G3" s="290"/>
      <c r="H3" s="198"/>
      <c r="I3" s="199"/>
      <c r="J3" s="198"/>
      <c r="K3" s="198"/>
      <c r="L3" s="198"/>
      <c r="M3" s="197"/>
      <c r="N3" s="196"/>
    </row>
    <row r="4" spans="1:14" s="195" customFormat="1" ht="20" customHeight="1">
      <c r="A4" s="201"/>
      <c r="B4" s="200"/>
      <c r="C4" s="196"/>
      <c r="D4" s="290"/>
      <c r="E4" s="290"/>
      <c r="F4" s="290"/>
      <c r="G4" s="290"/>
      <c r="H4" s="198"/>
      <c r="I4" s="199"/>
      <c r="J4" s="198"/>
      <c r="K4" s="198"/>
      <c r="L4" s="198"/>
      <c r="M4" s="197"/>
      <c r="N4" s="196"/>
    </row>
    <row r="5" spans="1:14" s="190" customFormat="1" ht="20" customHeight="1">
      <c r="A5" s="194" t="s">
        <v>95</v>
      </c>
      <c r="B5" s="193" t="s">
        <v>96</v>
      </c>
      <c r="C5" s="193" t="s">
        <v>97</v>
      </c>
      <c r="D5" s="193" t="s">
        <v>98</v>
      </c>
      <c r="E5" s="193" t="s">
        <v>85</v>
      </c>
      <c r="F5" s="193" t="s">
        <v>99</v>
      </c>
      <c r="G5" s="193" t="s">
        <v>100</v>
      </c>
      <c r="H5" s="191" t="s">
        <v>101</v>
      </c>
      <c r="I5" s="192" t="s">
        <v>102</v>
      </c>
      <c r="J5" s="191" t="s">
        <v>103</v>
      </c>
      <c r="K5" s="191" t="s">
        <v>104</v>
      </c>
      <c r="L5" s="191" t="s">
        <v>68</v>
      </c>
      <c r="M5" s="301" t="s">
        <v>105</v>
      </c>
      <c r="N5" s="190" t="s">
        <v>63</v>
      </c>
    </row>
    <row r="6" spans="1:14" ht="20" customHeight="1">
      <c r="A6" s="189">
        <v>38353</v>
      </c>
      <c r="B6" s="188" t="s">
        <v>2</v>
      </c>
      <c r="C6" s="187" t="s">
        <v>192</v>
      </c>
      <c r="D6" s="187" t="s">
        <v>193</v>
      </c>
      <c r="E6" s="186" t="s">
        <v>1</v>
      </c>
      <c r="F6" s="186" t="s">
        <v>194</v>
      </c>
      <c r="G6" s="186" t="s">
        <v>195</v>
      </c>
      <c r="H6" s="183">
        <v>0</v>
      </c>
      <c r="I6" s="185">
        <f ca="1">IF(Assets[[#This Row],[STATUS]]="Active",_xlfn.DAYS(TODAY(),A6)/365,0)</f>
        <v>15.846575342465753</v>
      </c>
      <c r="J6" s="184">
        <f t="shared" ref="J6" si="0">IF(A6="","",IF($E6="Furniture",$H6/240,IF($E6="Appliances",$H6/120,IF($E6="Books",$H6/360,IF($E6="Tech",$H6/60,IF($E6="Miscellaneous",$H6/60,0))))))</f>
        <v>0</v>
      </c>
      <c r="K6" s="183">
        <f t="shared" ref="K6" ca="1" si="1">MAX(IF(A6="","",IF($B6="Active",$H6-(DATEDIF($A6,TODAY(),"m")*($J6)),0)),0)</f>
        <v>0</v>
      </c>
      <c r="L6" s="182">
        <f ca="1">K6</f>
        <v>0</v>
      </c>
      <c r="M6" s="181" t="str" cm="1">
        <f t="array" aca="1" ref="M6" ca="1">_xlfn.IFS(NOT(OR(EXACT(Assets[[#This Row],[CATEGORY]],"Books"),EXACT(Assets[[#This Row],[CATEGORY]],"Miscellaneous"),EXACT(Assets[[#This Row],[CATEGORY]],"Art"),EXACT(Assets[[#This Row],[CATEGORY]],"Appliances"),EXACT(Assets[[#This Row],[CATEGORY]],"Tech"),EXACT(Assets[[#This Row],[CATEGORY]],"Furniture"))),"⚃",NOT(AND(Assets[[#This Row],[DATE]] &gt; DATE(2004,12,31),Assets[[#This Row],[DATE]] &lt; (TODAY()+1))),"⚀",AND(EXACT(Assets[[#This Row],[STATUS]],"Active"),Assets[[#This Row],[VALUE]]=0),"○",TRUE,"●")</f>
        <v>○</v>
      </c>
      <c r="N6" s="180"/>
    </row>
  </sheetData>
  <mergeCells count="1">
    <mergeCell ref="D2:G4"/>
  </mergeCells>
  <dataValidations disablePrompts="1" count="1">
    <dataValidation type="list" allowBlank="1" showErrorMessage="1" errorTitle="Error" error="Only 'Active' or 'Inactive' can be selected." promptTitle="Active / Inactive?" prompt="Active" sqref="B6:B7" xr:uid="{B4DD733F-2EFE-6247-8B3C-225E5215A540}">
      <formula1>"Active,Inactive"</formula1>
    </dataValidation>
  </dataValidations>
  <hyperlinks>
    <hyperlink ref="M5" r:id="rId1" xr:uid="{B7E7EDA6-E691-F94E-A0EC-18E19014A9EC}"/>
  </hyperlinks>
  <pageMargins left="0.7" right="0.7" top="0.75" bottom="0.75" header="0.51180555555555496" footer="0.3"/>
  <pageSetup firstPageNumber="0" orientation="portrait" horizontalDpi="300" verticalDpi="300"/>
  <headerFooter>
    <oddFooter>&amp;C&amp;"Arial,Regular"&amp;P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FC226-5C20-0D41-8C32-8731BAB6950C}">
  <sheetPr>
    <tabColor theme="0"/>
  </sheetPr>
  <dimension ref="A1:AB87"/>
  <sheetViews>
    <sheetView showGridLines="0" showRowColHeaders="0" workbookViewId="0">
      <pane ySplit="4" topLeftCell="A5" activePane="bottomLeft" state="frozen"/>
      <selection pane="bottomLeft" activeCell="K2" sqref="K2:S4"/>
    </sheetView>
  </sheetViews>
  <sheetFormatPr baseColWidth="10" defaultColWidth="0" defaultRowHeight="16" zeroHeight="1"/>
  <cols>
    <col min="1" max="27" width="10.83203125" style="170" customWidth="1"/>
    <col min="28" max="28" width="0" style="170" hidden="1" customWidth="1"/>
    <col min="29" max="16384" width="10.83203125" style="170" hidden="1"/>
  </cols>
  <sheetData>
    <row r="1" spans="1:28" s="169" customFormat="1" ht="18"/>
    <row r="2" spans="1:28" s="169" customFormat="1" ht="18">
      <c r="K2" s="298" t="s">
        <v>94</v>
      </c>
      <c r="L2" s="299"/>
      <c r="M2" s="299"/>
      <c r="N2" s="299"/>
      <c r="O2" s="299"/>
      <c r="P2" s="299"/>
      <c r="Q2" s="299"/>
      <c r="R2" s="299"/>
      <c r="S2" s="299"/>
    </row>
    <row r="3" spans="1:28" s="169" customFormat="1" ht="18">
      <c r="K3" s="299"/>
      <c r="L3" s="299"/>
      <c r="M3" s="299"/>
      <c r="N3" s="299"/>
      <c r="O3" s="299"/>
      <c r="P3" s="299"/>
      <c r="Q3" s="299"/>
      <c r="R3" s="299"/>
      <c r="S3" s="299"/>
    </row>
    <row r="4" spans="1:28" s="169" customFormat="1" ht="18">
      <c r="K4" s="299"/>
      <c r="L4" s="299"/>
      <c r="M4" s="299"/>
      <c r="N4" s="299"/>
      <c r="O4" s="299"/>
      <c r="P4" s="299"/>
      <c r="Q4" s="299"/>
      <c r="R4" s="299"/>
      <c r="S4" s="299"/>
    </row>
    <row r="5" spans="1:28" s="142" customFormat="1" ht="33">
      <c r="A5" s="203"/>
      <c r="B5" s="203"/>
      <c r="C5" s="203"/>
      <c r="D5" s="203"/>
      <c r="E5" s="203"/>
      <c r="F5" s="203"/>
      <c r="G5" s="203"/>
      <c r="H5" s="203"/>
      <c r="I5" s="203"/>
      <c r="K5" s="172"/>
      <c r="L5" s="172"/>
      <c r="M5" s="172"/>
      <c r="N5" s="172"/>
      <c r="O5" s="172"/>
      <c r="P5" s="172"/>
      <c r="Q5" s="172"/>
      <c r="R5" s="172"/>
      <c r="S5" s="203"/>
      <c r="T5" s="203"/>
      <c r="U5" s="203"/>
      <c r="V5" s="203"/>
      <c r="W5" s="203"/>
      <c r="X5" s="203"/>
      <c r="Y5" s="203"/>
      <c r="Z5" s="203"/>
    </row>
    <row r="6" spans="1:28" s="142" customFormat="1" ht="33">
      <c r="A6" s="203"/>
      <c r="B6" s="203"/>
      <c r="C6" s="203"/>
      <c r="D6" s="203"/>
      <c r="E6" s="203"/>
      <c r="F6" s="203"/>
      <c r="G6" s="203"/>
      <c r="H6" s="203"/>
      <c r="I6" s="203"/>
      <c r="J6" s="205"/>
      <c r="K6" s="172"/>
      <c r="L6" s="172"/>
      <c r="M6" s="172"/>
      <c r="N6" s="172"/>
      <c r="O6" s="172"/>
      <c r="P6" s="172"/>
      <c r="Q6" s="172"/>
      <c r="R6" s="172"/>
      <c r="S6" s="209"/>
      <c r="T6" s="203"/>
      <c r="U6" s="203"/>
      <c r="V6" s="203"/>
      <c r="W6" s="203"/>
      <c r="X6" s="203"/>
      <c r="Y6" s="203"/>
      <c r="Z6" s="203"/>
    </row>
    <row r="7" spans="1:28" s="142" customFormat="1" ht="33">
      <c r="A7" s="203"/>
      <c r="B7" s="203"/>
      <c r="C7" s="203"/>
      <c r="D7" s="203"/>
      <c r="E7" s="203"/>
      <c r="F7" s="203"/>
      <c r="G7" s="203"/>
      <c r="H7" s="203"/>
      <c r="I7" s="203"/>
      <c r="J7" s="205"/>
      <c r="K7" s="172"/>
      <c r="L7" s="172"/>
      <c r="M7" s="172"/>
      <c r="N7" s="172"/>
      <c r="O7" s="172"/>
      <c r="P7" s="172"/>
      <c r="Q7" s="172"/>
      <c r="R7" s="172"/>
      <c r="S7" s="209"/>
      <c r="T7" s="203"/>
      <c r="U7" s="203"/>
      <c r="V7" s="203"/>
      <c r="W7" s="203"/>
      <c r="X7" s="203"/>
      <c r="Y7" s="203"/>
      <c r="Z7" s="203"/>
    </row>
    <row r="8" spans="1:28" s="142" customFormat="1" ht="33">
      <c r="A8" s="203"/>
      <c r="B8" s="203"/>
      <c r="C8" s="203"/>
      <c r="D8" s="203"/>
      <c r="E8" s="203"/>
      <c r="F8" s="203"/>
      <c r="G8" s="203"/>
      <c r="H8" s="203"/>
      <c r="I8" s="203"/>
      <c r="J8" s="205"/>
      <c r="K8" s="172"/>
      <c r="L8" s="172"/>
      <c r="M8" s="172"/>
      <c r="N8" s="172"/>
      <c r="O8" s="172"/>
      <c r="P8" s="172"/>
      <c r="Q8" s="172"/>
      <c r="R8" s="172"/>
      <c r="S8" s="209"/>
      <c r="T8" s="203"/>
      <c r="U8" s="203"/>
      <c r="V8" s="203"/>
      <c r="W8" s="203"/>
      <c r="X8" s="203"/>
      <c r="Y8" s="203"/>
      <c r="Z8" s="203"/>
    </row>
    <row r="9" spans="1:28" s="142" customFormat="1" ht="33">
      <c r="A9" s="203"/>
      <c r="B9" s="297" t="s">
        <v>129</v>
      </c>
      <c r="C9" s="297"/>
      <c r="D9" s="297"/>
      <c r="E9" s="297"/>
      <c r="F9" s="297"/>
      <c r="G9" s="297"/>
      <c r="H9" s="297"/>
      <c r="I9" s="297"/>
      <c r="J9" s="205"/>
      <c r="K9" s="172"/>
      <c r="L9" s="297" t="s">
        <v>177</v>
      </c>
      <c r="M9" s="297"/>
      <c r="N9" s="297"/>
      <c r="O9" s="297"/>
      <c r="P9" s="297"/>
      <c r="Q9" s="297"/>
      <c r="R9" s="297"/>
      <c r="S9" s="209"/>
      <c r="T9" s="203"/>
      <c r="U9" s="297" t="s">
        <v>178</v>
      </c>
      <c r="V9" s="297"/>
      <c r="W9" s="297"/>
      <c r="X9" s="297"/>
      <c r="Y9" s="297"/>
      <c r="Z9" s="297"/>
      <c r="AA9" s="297"/>
    </row>
    <row r="10" spans="1:28" s="142" customFormat="1" ht="33">
      <c r="A10" s="203"/>
      <c r="B10" s="297"/>
      <c r="C10" s="297"/>
      <c r="D10" s="297"/>
      <c r="E10" s="297"/>
      <c r="F10" s="297"/>
      <c r="G10" s="297"/>
      <c r="H10" s="297"/>
      <c r="I10" s="297"/>
      <c r="J10" s="205"/>
      <c r="K10" s="172"/>
      <c r="L10" s="297"/>
      <c r="M10" s="297"/>
      <c r="N10" s="297"/>
      <c r="O10" s="297"/>
      <c r="P10" s="297"/>
      <c r="Q10" s="297"/>
      <c r="R10" s="297"/>
      <c r="S10" s="209"/>
      <c r="T10" s="203"/>
      <c r="U10" s="297"/>
      <c r="V10" s="297"/>
      <c r="W10" s="297"/>
      <c r="X10" s="297"/>
      <c r="Y10" s="297"/>
      <c r="Z10" s="297"/>
      <c r="AA10" s="297"/>
    </row>
    <row r="11" spans="1:28" s="172" customFormat="1" ht="16" customHeight="1">
      <c r="A11" s="203"/>
      <c r="D11" s="297"/>
      <c r="E11" s="297"/>
      <c r="F11" s="297"/>
      <c r="G11" s="297"/>
      <c r="J11" s="205"/>
      <c r="S11" s="210"/>
    </row>
    <row r="12" spans="1:28">
      <c r="J12" s="206"/>
      <c r="S12" s="211"/>
    </row>
    <row r="13" spans="1:28" s="204" customFormat="1" ht="20" customHeight="1">
      <c r="B13" s="296" t="s">
        <v>118</v>
      </c>
      <c r="C13" s="296"/>
      <c r="E13" s="296" t="s">
        <v>24</v>
      </c>
      <c r="F13" s="296"/>
      <c r="H13" s="296" t="s">
        <v>144</v>
      </c>
      <c r="I13" s="296"/>
      <c r="J13" s="207"/>
      <c r="L13" s="204" t="s">
        <v>179</v>
      </c>
      <c r="M13" s="296" t="s">
        <v>180</v>
      </c>
      <c r="N13" s="296"/>
      <c r="O13" s="296"/>
      <c r="P13" s="296"/>
      <c r="Q13" s="296" t="s">
        <v>181</v>
      </c>
      <c r="R13" s="296"/>
      <c r="S13" s="212"/>
      <c r="U13" s="296" t="s">
        <v>199</v>
      </c>
      <c r="V13" s="296"/>
      <c r="W13" s="296"/>
      <c r="X13" s="296"/>
      <c r="Y13" s="296"/>
      <c r="Z13" s="296"/>
      <c r="AA13" s="296"/>
      <c r="AB13" s="220"/>
    </row>
    <row r="14" spans="1:28" ht="20" customHeight="1">
      <c r="J14" s="206"/>
      <c r="S14" s="211"/>
    </row>
    <row r="15" spans="1:28" s="168" customFormat="1" ht="20" customHeight="1">
      <c r="B15" s="166" t="s">
        <v>93</v>
      </c>
      <c r="C15" s="166" t="s">
        <v>0</v>
      </c>
      <c r="D15" s="167"/>
      <c r="E15" s="166" t="s">
        <v>93</v>
      </c>
      <c r="F15" s="166" t="s">
        <v>0</v>
      </c>
      <c r="G15" s="167"/>
      <c r="H15" s="166" t="s">
        <v>93</v>
      </c>
      <c r="I15" s="166" t="s">
        <v>0</v>
      </c>
      <c r="J15" s="208"/>
      <c r="L15" s="215">
        <v>0.4</v>
      </c>
      <c r="M15" s="292" t="s">
        <v>77</v>
      </c>
      <c r="N15" s="292"/>
      <c r="O15" s="292"/>
      <c r="P15" s="292"/>
      <c r="Q15" s="294">
        <f ca="1">IFERROR((Data!U3-Data!U6)/Data!U3,0)</f>
        <v>0</v>
      </c>
      <c r="R15" s="294"/>
      <c r="S15" s="213"/>
      <c r="U15" s="300" t="s">
        <v>183</v>
      </c>
      <c r="V15" s="300"/>
      <c r="W15" s="300"/>
      <c r="X15" s="300"/>
      <c r="Y15" s="300"/>
      <c r="Z15" s="300"/>
      <c r="AA15" s="300"/>
    </row>
    <row r="16" spans="1:28" ht="20" customHeight="1">
      <c r="B16" s="171" t="s">
        <v>38</v>
      </c>
      <c r="C16" s="171" t="s">
        <v>3</v>
      </c>
      <c r="D16" s="171"/>
      <c r="E16" s="171" t="s">
        <v>48</v>
      </c>
      <c r="F16" s="171" t="s">
        <v>62</v>
      </c>
      <c r="G16" s="171"/>
      <c r="H16" s="171" t="s">
        <v>46</v>
      </c>
      <c r="I16" s="171" t="s">
        <v>55</v>
      </c>
      <c r="J16" s="206"/>
      <c r="L16" s="168"/>
      <c r="M16" s="168"/>
      <c r="N16" s="168"/>
      <c r="O16" s="168"/>
      <c r="P16" s="168"/>
      <c r="Q16" s="168"/>
      <c r="R16" s="168"/>
      <c r="S16" s="211"/>
      <c r="U16" s="300" t="s">
        <v>184</v>
      </c>
      <c r="V16" s="300"/>
      <c r="W16" s="300"/>
      <c r="X16" s="300"/>
      <c r="Y16" s="300"/>
      <c r="Z16" s="300"/>
      <c r="AA16" s="300"/>
    </row>
    <row r="17" spans="2:27" ht="20" customHeight="1">
      <c r="B17" s="171" t="s">
        <v>41</v>
      </c>
      <c r="C17" s="171" t="s">
        <v>4</v>
      </c>
      <c r="D17" s="171"/>
      <c r="E17" s="171" t="s">
        <v>52</v>
      </c>
      <c r="F17" s="171" t="s">
        <v>60</v>
      </c>
      <c r="G17" s="171"/>
      <c r="H17" s="171" t="s">
        <v>41</v>
      </c>
      <c r="I17" s="171"/>
      <c r="J17" s="206"/>
      <c r="L17" s="216" t="s">
        <v>80</v>
      </c>
      <c r="M17" s="292" t="s">
        <v>78</v>
      </c>
      <c r="N17" s="292"/>
      <c r="O17" s="292"/>
      <c r="P17" s="292"/>
      <c r="Q17" s="295" cm="1">
        <f t="array" ref="Q17">LOOKUP(2,1/('× Investment'!$I:$I&lt;&gt;""),'× Investment'!$I:$I)-30000</f>
        <v>-30000</v>
      </c>
      <c r="R17" s="295"/>
      <c r="S17" s="211"/>
      <c r="U17" s="300" t="s">
        <v>185</v>
      </c>
      <c r="V17" s="300"/>
      <c r="W17" s="300"/>
      <c r="X17" s="300"/>
      <c r="Y17" s="300"/>
      <c r="Z17" s="300"/>
      <c r="AA17" s="300"/>
    </row>
    <row r="18" spans="2:27" ht="20" customHeight="1">
      <c r="B18" s="171" t="s">
        <v>42</v>
      </c>
      <c r="C18" s="171" t="s">
        <v>7</v>
      </c>
      <c r="D18" s="171"/>
      <c r="E18" s="171" t="s">
        <v>49</v>
      </c>
      <c r="F18" s="171" t="s">
        <v>70</v>
      </c>
      <c r="G18" s="171"/>
      <c r="H18" s="171" t="s">
        <v>156</v>
      </c>
      <c r="I18" s="171"/>
      <c r="J18" s="206"/>
      <c r="L18" s="168"/>
      <c r="M18" s="168"/>
      <c r="N18" s="168"/>
      <c r="O18" s="168"/>
      <c r="P18" s="168"/>
      <c r="Q18" s="168"/>
      <c r="R18" s="168"/>
      <c r="S18" s="211"/>
      <c r="U18" s="300" t="s">
        <v>186</v>
      </c>
      <c r="V18" s="300"/>
      <c r="W18" s="300"/>
      <c r="X18" s="300"/>
      <c r="Y18" s="300"/>
      <c r="Z18" s="300"/>
      <c r="AA18" s="300"/>
    </row>
    <row r="19" spans="2:27" ht="20" customHeight="1">
      <c r="B19" s="171" t="s">
        <v>27</v>
      </c>
      <c r="C19" s="171" t="s">
        <v>9</v>
      </c>
      <c r="D19" s="171"/>
      <c r="E19" s="171" t="s">
        <v>153</v>
      </c>
      <c r="F19" s="171" t="s">
        <v>44</v>
      </c>
      <c r="G19" s="171"/>
      <c r="H19" s="171"/>
      <c r="I19" s="171"/>
      <c r="J19" s="206"/>
      <c r="L19" s="216" t="s">
        <v>79</v>
      </c>
      <c r="M19" s="292" t="s">
        <v>196</v>
      </c>
      <c r="N19" s="292"/>
      <c r="O19" s="292"/>
      <c r="P19" s="292"/>
      <c r="Q19" s="295" cm="1">
        <f t="array" ref="Q19">LOOKUP(2,1/('× Investment'!J:J&lt;&gt;""),'× Investment'!J:J)-400000</f>
        <v>-400000</v>
      </c>
      <c r="R19" s="295"/>
      <c r="S19" s="211"/>
      <c r="U19" s="300" t="s">
        <v>187</v>
      </c>
      <c r="V19" s="300"/>
      <c r="W19" s="300"/>
      <c r="X19" s="300"/>
      <c r="Y19" s="300"/>
      <c r="Z19" s="300"/>
      <c r="AA19" s="300"/>
    </row>
    <row r="20" spans="2:27" ht="20" customHeight="1">
      <c r="B20" s="171" t="s">
        <v>8</v>
      </c>
      <c r="C20" s="171" t="s">
        <v>10</v>
      </c>
      <c r="D20" s="171"/>
      <c r="E20" s="171" t="s">
        <v>50</v>
      </c>
      <c r="F20" s="171" t="s">
        <v>10</v>
      </c>
      <c r="G20" s="171"/>
      <c r="H20" s="171"/>
      <c r="I20" s="171"/>
      <c r="J20" s="206"/>
      <c r="L20" s="168"/>
      <c r="M20" s="168"/>
      <c r="N20" s="168"/>
      <c r="O20" s="168"/>
      <c r="P20" s="168"/>
      <c r="Q20" s="168"/>
      <c r="R20" s="168"/>
      <c r="S20" s="211"/>
      <c r="U20" s="300" t="s">
        <v>191</v>
      </c>
      <c r="V20" s="300"/>
      <c r="W20" s="300"/>
      <c r="X20" s="300"/>
      <c r="Y20" s="300"/>
      <c r="Z20" s="300"/>
      <c r="AA20" s="300"/>
    </row>
    <row r="21" spans="2:27" ht="20" customHeight="1">
      <c r="B21" s="171" t="s">
        <v>45</v>
      </c>
      <c r="C21" s="171" t="s">
        <v>11</v>
      </c>
      <c r="D21" s="171"/>
      <c r="E21" s="171" t="s">
        <v>25</v>
      </c>
      <c r="F21" s="171" t="s">
        <v>56</v>
      </c>
      <c r="G21" s="171"/>
      <c r="H21" s="171"/>
      <c r="I21" s="171"/>
      <c r="J21" s="206"/>
      <c r="L21" s="216" t="s">
        <v>128</v>
      </c>
      <c r="M21" s="292" t="s">
        <v>81</v>
      </c>
      <c r="N21" s="292"/>
      <c r="O21" s="292"/>
      <c r="P21" s="292"/>
      <c r="Q21" s="295" cm="1">
        <f t="array" ref="Q21">LOOKUP(2,1/('× Investment'!$I:$I&lt;&gt;""),'× Investment'!$I:$I)-25000</f>
        <v>-25000</v>
      </c>
      <c r="R21" s="295"/>
      <c r="S21" s="211"/>
      <c r="U21" s="300" t="s">
        <v>188</v>
      </c>
      <c r="V21" s="300"/>
      <c r="W21" s="300"/>
      <c r="X21" s="300"/>
      <c r="Y21" s="300"/>
      <c r="Z21" s="300"/>
      <c r="AA21" s="300"/>
    </row>
    <row r="22" spans="2:27" ht="20" customHeight="1">
      <c r="B22" s="171"/>
      <c r="C22" s="171" t="s">
        <v>22</v>
      </c>
      <c r="D22" s="171"/>
      <c r="E22" s="171" t="s">
        <v>51</v>
      </c>
      <c r="F22" s="171" t="s">
        <v>24</v>
      </c>
      <c r="G22" s="171"/>
      <c r="H22" s="171"/>
      <c r="I22" s="171"/>
      <c r="J22" s="206"/>
      <c r="L22" s="168"/>
      <c r="M22" s="168"/>
      <c r="N22" s="168"/>
      <c r="O22" s="168"/>
      <c r="P22" s="168"/>
      <c r="Q22" s="168"/>
      <c r="R22" s="168"/>
      <c r="S22" s="211"/>
    </row>
    <row r="23" spans="2:27" ht="20" customHeight="1">
      <c r="B23" s="171"/>
      <c r="C23" s="171" t="s">
        <v>34</v>
      </c>
      <c r="D23" s="171"/>
      <c r="E23" s="171"/>
      <c r="F23" s="171"/>
      <c r="G23" s="171"/>
      <c r="H23" s="171"/>
      <c r="I23" s="171"/>
      <c r="J23" s="206"/>
      <c r="L23" s="216" t="s">
        <v>83</v>
      </c>
      <c r="M23" s="292" t="s">
        <v>82</v>
      </c>
      <c r="N23" s="292"/>
      <c r="O23" s="292"/>
      <c r="P23" s="292"/>
      <c r="Q23" s="293">
        <f ca="1">AVERAGE('+ Assets'!I:I)</f>
        <v>15.846575342465753</v>
      </c>
      <c r="R23" s="293"/>
      <c r="S23" s="211"/>
      <c r="X23" s="218" t="s">
        <v>189</v>
      </c>
    </row>
    <row r="24" spans="2:27" ht="20" customHeight="1">
      <c r="B24" s="171"/>
      <c r="C24" s="171" t="s">
        <v>21</v>
      </c>
      <c r="D24" s="171"/>
      <c r="E24" s="171"/>
      <c r="F24" s="171"/>
      <c r="G24" s="171"/>
      <c r="H24" s="171"/>
      <c r="I24" s="171"/>
      <c r="J24" s="206"/>
      <c r="L24" s="168"/>
      <c r="M24" s="168"/>
      <c r="N24" s="168"/>
      <c r="O24" s="168"/>
      <c r="P24" s="168"/>
      <c r="Q24" s="168"/>
      <c r="R24" s="168"/>
      <c r="S24" s="211"/>
    </row>
    <row r="25" spans="2:27" ht="20" customHeight="1">
      <c r="B25" s="171"/>
      <c r="C25" s="171" t="s">
        <v>24</v>
      </c>
      <c r="D25" s="171"/>
      <c r="E25" s="171"/>
      <c r="F25" s="171"/>
      <c r="G25" s="171"/>
      <c r="H25" s="171"/>
      <c r="I25" s="171"/>
      <c r="J25" s="206"/>
      <c r="L25" s="168"/>
      <c r="M25" s="168"/>
      <c r="N25" s="168"/>
      <c r="O25" s="168"/>
      <c r="P25" s="168"/>
      <c r="Q25" s="168"/>
      <c r="R25" s="168"/>
      <c r="S25" s="211"/>
      <c r="U25" s="291" t="s">
        <v>198</v>
      </c>
      <c r="V25" s="291"/>
      <c r="W25" s="291"/>
      <c r="X25" s="291"/>
      <c r="Y25" s="291"/>
      <c r="Z25" s="291"/>
      <c r="AA25" s="291"/>
    </row>
    <row r="26" spans="2:27" ht="20" customHeight="1">
      <c r="B26" s="171"/>
      <c r="C26" s="171" t="s">
        <v>25</v>
      </c>
      <c r="D26" s="171"/>
      <c r="E26" s="171"/>
      <c r="F26" s="171"/>
      <c r="G26" s="171"/>
      <c r="H26" s="171"/>
      <c r="I26" s="171"/>
      <c r="J26" s="206"/>
      <c r="L26" s="168"/>
      <c r="M26" s="168"/>
      <c r="N26" s="168"/>
      <c r="O26" s="168"/>
      <c r="P26" s="168"/>
      <c r="Q26" s="168"/>
      <c r="R26" s="168"/>
      <c r="S26" s="211"/>
      <c r="U26" s="300" t="s">
        <v>190</v>
      </c>
      <c r="V26" s="300"/>
      <c r="W26" s="300"/>
      <c r="X26" s="300"/>
      <c r="Y26" s="300"/>
      <c r="Z26" s="300"/>
      <c r="AA26" s="300"/>
    </row>
    <row r="27" spans="2:27" ht="20" customHeight="1">
      <c r="B27" s="171"/>
      <c r="C27" s="171" t="s">
        <v>28</v>
      </c>
      <c r="D27" s="171"/>
      <c r="E27" s="171"/>
      <c r="F27" s="171"/>
      <c r="G27" s="171"/>
      <c r="H27" s="171"/>
      <c r="I27" s="171"/>
      <c r="J27" s="206"/>
      <c r="L27" s="168"/>
      <c r="M27" s="168"/>
      <c r="N27" s="168"/>
      <c r="O27" s="168"/>
      <c r="P27" s="168"/>
      <c r="Q27" s="168"/>
      <c r="R27" s="168"/>
      <c r="S27" s="211"/>
    </row>
    <row r="28" spans="2:27" ht="20" customHeight="1">
      <c r="B28" s="171"/>
      <c r="C28" s="171" t="s">
        <v>30</v>
      </c>
      <c r="D28" s="171"/>
      <c r="E28" s="171"/>
      <c r="F28" s="171"/>
      <c r="G28" s="171"/>
      <c r="H28" s="171"/>
      <c r="I28" s="171"/>
      <c r="J28" s="206"/>
      <c r="L28" s="168"/>
      <c r="M28" s="168"/>
      <c r="N28" s="168"/>
      <c r="O28" s="168"/>
      <c r="P28" s="168"/>
      <c r="Q28" s="168"/>
      <c r="R28" s="168"/>
      <c r="S28" s="211"/>
    </row>
    <row r="29" spans="2:27" ht="20" customHeight="1">
      <c r="B29" s="171"/>
      <c r="C29" s="171" t="s">
        <v>33</v>
      </c>
      <c r="D29" s="171"/>
      <c r="E29" s="171"/>
      <c r="F29" s="171"/>
      <c r="G29" s="171"/>
      <c r="H29" s="171"/>
      <c r="I29" s="171"/>
      <c r="J29" s="206"/>
      <c r="L29" s="168"/>
      <c r="M29" s="168"/>
      <c r="N29" s="168"/>
      <c r="O29" s="168"/>
      <c r="P29" s="168"/>
      <c r="Q29" s="168"/>
      <c r="R29" s="168"/>
      <c r="S29" s="211"/>
    </row>
    <row r="30" spans="2:27" ht="20" customHeight="1">
      <c r="B30" s="171"/>
      <c r="C30" s="171" t="s">
        <v>35</v>
      </c>
      <c r="D30" s="171"/>
      <c r="E30" s="171"/>
      <c r="F30" s="171"/>
      <c r="G30" s="171"/>
      <c r="H30" s="171"/>
      <c r="I30" s="171"/>
      <c r="J30" s="206"/>
      <c r="L30" s="168"/>
      <c r="M30" s="168"/>
      <c r="N30" s="168"/>
      <c r="O30" s="168"/>
      <c r="P30" s="168"/>
      <c r="Q30" s="168"/>
      <c r="R30" s="168"/>
      <c r="S30" s="211"/>
    </row>
    <row r="31" spans="2:27" ht="20" customHeight="1">
      <c r="B31" s="171"/>
      <c r="C31" s="171" t="s">
        <v>6</v>
      </c>
      <c r="D31" s="171"/>
      <c r="E31" s="171"/>
      <c r="F31" s="171"/>
      <c r="G31" s="171"/>
      <c r="H31" s="171"/>
      <c r="I31" s="171"/>
      <c r="J31" s="206"/>
      <c r="L31" s="168"/>
      <c r="M31" s="168"/>
      <c r="N31" s="168"/>
      <c r="O31" s="168"/>
      <c r="P31" s="168"/>
      <c r="Q31" s="168"/>
      <c r="R31" s="168"/>
      <c r="S31" s="211"/>
    </row>
    <row r="32" spans="2:27" ht="20" customHeight="1">
      <c r="B32" s="171"/>
      <c r="C32" s="171" t="s">
        <v>37</v>
      </c>
      <c r="D32" s="171"/>
      <c r="E32" s="171"/>
      <c r="F32" s="171"/>
      <c r="G32" s="171"/>
      <c r="H32" s="171"/>
      <c r="I32" s="171"/>
      <c r="J32" s="206"/>
      <c r="L32" s="168"/>
      <c r="M32" s="168"/>
      <c r="N32" s="168"/>
      <c r="O32" s="168"/>
      <c r="P32" s="168"/>
      <c r="Q32" s="168"/>
      <c r="R32" s="168"/>
      <c r="S32" s="211"/>
    </row>
    <row r="33" spans="2:19" ht="20" customHeight="1">
      <c r="B33" s="171"/>
      <c r="C33" s="171"/>
      <c r="D33" s="171"/>
      <c r="E33" s="171"/>
      <c r="F33" s="171"/>
      <c r="G33" s="171"/>
      <c r="H33" s="171"/>
      <c r="I33" s="171"/>
      <c r="J33" s="206"/>
      <c r="L33" s="168"/>
      <c r="M33" s="168"/>
      <c r="N33" s="168"/>
      <c r="O33" s="168"/>
      <c r="P33" s="168"/>
      <c r="Q33" s="168"/>
      <c r="R33" s="168"/>
      <c r="S33" s="211"/>
    </row>
    <row r="34" spans="2:19" ht="20" customHeight="1">
      <c r="B34" s="171"/>
      <c r="C34" s="171"/>
      <c r="D34" s="171"/>
      <c r="E34" s="171"/>
      <c r="F34" s="171"/>
      <c r="G34" s="171"/>
      <c r="H34" s="171"/>
      <c r="I34" s="171"/>
      <c r="J34" s="206"/>
      <c r="L34" s="168"/>
      <c r="M34" s="168"/>
      <c r="N34" s="168"/>
      <c r="O34" s="168"/>
      <c r="P34" s="168"/>
      <c r="Q34" s="168"/>
      <c r="R34" s="168"/>
      <c r="S34" s="211"/>
    </row>
    <row r="35" spans="2:19" ht="20" customHeight="1">
      <c r="B35" s="171"/>
      <c r="C35" s="171"/>
      <c r="D35" s="171"/>
      <c r="E35" s="171"/>
      <c r="F35" s="171"/>
      <c r="G35" s="171"/>
      <c r="H35" s="171"/>
      <c r="I35" s="171"/>
      <c r="J35" s="206"/>
      <c r="S35" s="211"/>
    </row>
    <row r="36" spans="2:19" ht="20" customHeight="1">
      <c r="J36" s="206"/>
      <c r="L36" s="171"/>
      <c r="M36" s="171"/>
      <c r="N36" s="171"/>
      <c r="O36" s="171"/>
      <c r="P36" s="171"/>
      <c r="Q36" s="171"/>
      <c r="R36" s="171"/>
      <c r="S36" s="214"/>
    </row>
    <row r="37" spans="2:19" ht="20" customHeight="1">
      <c r="J37" s="206"/>
      <c r="L37" s="171"/>
      <c r="M37" s="171"/>
      <c r="N37" s="171"/>
      <c r="O37" s="171"/>
      <c r="P37" s="171"/>
      <c r="Q37" s="171"/>
      <c r="R37" s="171"/>
      <c r="S37" s="214"/>
    </row>
    <row r="38" spans="2:19">
      <c r="L38" s="171"/>
      <c r="M38" s="171"/>
      <c r="N38" s="171"/>
      <c r="O38" s="171"/>
      <c r="P38" s="171"/>
      <c r="Q38" s="171"/>
      <c r="R38" s="171"/>
      <c r="S38" s="171"/>
    </row>
    <row r="39" spans="2:19">
      <c r="L39" s="171"/>
      <c r="M39" s="171"/>
      <c r="N39" s="171"/>
      <c r="O39" s="171"/>
      <c r="P39" s="171"/>
      <c r="Q39" s="171"/>
      <c r="R39" s="171"/>
      <c r="S39" s="171"/>
    </row>
    <row r="40" spans="2:19" hidden="1">
      <c r="L40" s="171"/>
      <c r="M40" s="171"/>
      <c r="N40" s="171"/>
      <c r="O40" s="171"/>
      <c r="P40" s="171"/>
      <c r="Q40" s="171"/>
      <c r="R40" s="171"/>
      <c r="S40" s="171"/>
    </row>
    <row r="41" spans="2:19" hidden="1">
      <c r="L41" s="171"/>
      <c r="M41" s="171"/>
      <c r="N41" s="171"/>
      <c r="O41" s="171"/>
      <c r="P41" s="171"/>
      <c r="Q41" s="171"/>
      <c r="R41" s="171"/>
      <c r="S41" s="171"/>
    </row>
    <row r="42" spans="2:19" hidden="1">
      <c r="L42" s="171"/>
      <c r="M42" s="171"/>
      <c r="N42" s="171"/>
      <c r="O42" s="171"/>
      <c r="P42" s="171"/>
      <c r="Q42" s="171"/>
      <c r="R42" s="171"/>
      <c r="S42" s="171"/>
    </row>
    <row r="43" spans="2:19" hidden="1">
      <c r="L43" s="171"/>
      <c r="M43" s="171"/>
      <c r="N43" s="171"/>
      <c r="O43" s="171"/>
      <c r="P43" s="171"/>
      <c r="Q43" s="171"/>
      <c r="R43" s="171"/>
      <c r="S43" s="171"/>
    </row>
    <row r="44" spans="2:19" hidden="1">
      <c r="L44" s="171"/>
      <c r="M44" s="171"/>
      <c r="N44" s="171"/>
      <c r="O44" s="171"/>
      <c r="P44" s="171"/>
      <c r="Q44" s="171"/>
      <c r="R44" s="171"/>
      <c r="S44" s="171"/>
    </row>
    <row r="45" spans="2:19" hidden="1">
      <c r="L45" s="171"/>
      <c r="M45" s="171"/>
      <c r="N45" s="171"/>
      <c r="O45" s="171"/>
      <c r="P45" s="171"/>
      <c r="Q45" s="171"/>
      <c r="R45" s="171"/>
      <c r="S45" s="171"/>
    </row>
    <row r="46" spans="2:19" hidden="1">
      <c r="L46" s="171"/>
      <c r="M46" s="171"/>
      <c r="N46" s="171"/>
      <c r="O46" s="171"/>
      <c r="P46" s="171"/>
      <c r="Q46" s="171"/>
      <c r="R46" s="171"/>
      <c r="S46" s="171"/>
    </row>
    <row r="47" spans="2:19" hidden="1">
      <c r="L47" s="171"/>
      <c r="M47" s="171"/>
      <c r="N47" s="171"/>
      <c r="O47" s="171"/>
      <c r="P47" s="171"/>
      <c r="Q47" s="171"/>
      <c r="R47" s="171"/>
      <c r="S47" s="171"/>
    </row>
    <row r="48" spans="2:19" hidden="1">
      <c r="L48" s="171"/>
      <c r="M48" s="171"/>
      <c r="N48" s="171"/>
      <c r="O48" s="171"/>
      <c r="P48" s="171"/>
      <c r="Q48" s="171"/>
      <c r="R48" s="171"/>
      <c r="S48" s="171"/>
    </row>
    <row r="49" spans="12:19" hidden="1">
      <c r="L49" s="171"/>
      <c r="M49" s="171"/>
      <c r="N49" s="171"/>
      <c r="O49" s="171"/>
      <c r="P49" s="171"/>
      <c r="Q49" s="171"/>
      <c r="R49" s="171"/>
      <c r="S49" s="171"/>
    </row>
    <row r="50" spans="12:19" hidden="1">
      <c r="L50" s="171"/>
      <c r="M50" s="171"/>
      <c r="N50" s="171"/>
      <c r="O50" s="171"/>
      <c r="P50" s="171"/>
      <c r="Q50" s="171"/>
      <c r="R50" s="171"/>
      <c r="S50" s="171"/>
    </row>
    <row r="51" spans="12:19" hidden="1">
      <c r="L51" s="171"/>
      <c r="M51" s="171"/>
      <c r="N51" s="171"/>
      <c r="O51" s="171"/>
      <c r="P51" s="171"/>
      <c r="Q51" s="171"/>
      <c r="R51" s="171"/>
      <c r="S51" s="171"/>
    </row>
    <row r="52" spans="12:19" hidden="1">
      <c r="L52" s="171"/>
      <c r="M52" s="171"/>
      <c r="N52" s="171"/>
      <c r="O52" s="171"/>
      <c r="P52" s="171"/>
      <c r="Q52" s="171"/>
      <c r="R52" s="171"/>
      <c r="S52" s="171"/>
    </row>
    <row r="53" spans="12:19" hidden="1">
      <c r="L53" s="171"/>
      <c r="M53" s="171"/>
      <c r="N53" s="171"/>
      <c r="O53" s="171"/>
      <c r="P53" s="171"/>
      <c r="Q53" s="171"/>
      <c r="R53" s="171"/>
      <c r="S53" s="171"/>
    </row>
    <row r="54" spans="12:19" hidden="1">
      <c r="L54" s="171"/>
      <c r="M54" s="171"/>
      <c r="N54" s="171"/>
      <c r="O54" s="171"/>
      <c r="P54" s="171"/>
      <c r="Q54" s="171"/>
      <c r="R54" s="171"/>
      <c r="S54" s="171"/>
    </row>
    <row r="55" spans="12:19" hidden="1">
      <c r="L55" s="171"/>
      <c r="M55" s="171"/>
      <c r="N55" s="171"/>
      <c r="O55" s="171"/>
      <c r="P55" s="171"/>
      <c r="Q55" s="171"/>
      <c r="R55" s="171"/>
      <c r="S55" s="171"/>
    </row>
    <row r="56" spans="12:19" hidden="1">
      <c r="L56" s="171"/>
      <c r="M56" s="171"/>
      <c r="N56" s="171"/>
      <c r="O56" s="171"/>
      <c r="P56" s="171"/>
      <c r="Q56" s="171"/>
      <c r="R56" s="171"/>
      <c r="S56" s="171"/>
    </row>
    <row r="57" spans="12:19" hidden="1">
      <c r="L57" s="171"/>
      <c r="M57" s="171"/>
      <c r="N57" s="171"/>
      <c r="O57" s="171"/>
      <c r="P57" s="171"/>
      <c r="Q57" s="171"/>
      <c r="R57" s="171"/>
      <c r="S57" s="171"/>
    </row>
    <row r="58" spans="12:19" hidden="1">
      <c r="L58" s="171"/>
      <c r="M58" s="171"/>
      <c r="N58" s="171"/>
      <c r="O58" s="171"/>
      <c r="P58" s="171"/>
      <c r="Q58" s="171"/>
      <c r="R58" s="171"/>
      <c r="S58" s="171"/>
    </row>
    <row r="59" spans="12:19" hidden="1">
      <c r="L59" s="171"/>
      <c r="M59" s="171"/>
      <c r="N59" s="171"/>
      <c r="O59" s="171"/>
      <c r="P59" s="171"/>
      <c r="Q59" s="171"/>
      <c r="R59" s="171"/>
      <c r="S59" s="171"/>
    </row>
    <row r="60" spans="12:19" hidden="1">
      <c r="L60" s="171"/>
      <c r="M60" s="171"/>
      <c r="N60" s="171"/>
      <c r="O60" s="171"/>
      <c r="P60" s="171"/>
      <c r="Q60" s="171"/>
      <c r="R60" s="171"/>
      <c r="S60" s="171"/>
    </row>
    <row r="61" spans="12:19" hidden="1">
      <c r="L61" s="171"/>
      <c r="M61" s="171"/>
      <c r="N61" s="171"/>
      <c r="O61" s="171"/>
      <c r="P61" s="171"/>
      <c r="Q61" s="171"/>
      <c r="R61" s="171"/>
      <c r="S61" s="171"/>
    </row>
    <row r="62" spans="12:19" hidden="1">
      <c r="L62" s="171"/>
      <c r="M62" s="171"/>
      <c r="N62" s="171"/>
      <c r="O62" s="171"/>
      <c r="P62" s="171"/>
      <c r="Q62" s="171"/>
      <c r="R62" s="171"/>
      <c r="S62" s="171"/>
    </row>
    <row r="63" spans="12:19" hidden="1">
      <c r="L63" s="171"/>
      <c r="M63" s="171"/>
      <c r="N63" s="171"/>
      <c r="O63" s="171"/>
      <c r="P63" s="171"/>
      <c r="Q63" s="171"/>
      <c r="R63" s="171"/>
      <c r="S63" s="171"/>
    </row>
    <row r="64" spans="12:19" hidden="1">
      <c r="L64" s="171"/>
      <c r="M64" s="171"/>
      <c r="N64" s="171"/>
      <c r="O64" s="171"/>
      <c r="P64" s="171"/>
      <c r="Q64" s="171"/>
      <c r="R64" s="171"/>
      <c r="S64" s="171"/>
    </row>
    <row r="65" spans="12:19" hidden="1">
      <c r="L65" s="171"/>
      <c r="M65" s="171"/>
      <c r="N65" s="171"/>
      <c r="O65" s="171"/>
      <c r="P65" s="171"/>
      <c r="Q65" s="171"/>
      <c r="R65" s="171"/>
      <c r="S65" s="171"/>
    </row>
    <row r="66" spans="12:19" hidden="1">
      <c r="L66" s="171"/>
      <c r="M66" s="171"/>
      <c r="N66" s="171"/>
      <c r="O66" s="171"/>
      <c r="P66" s="171"/>
      <c r="Q66" s="171"/>
      <c r="R66" s="171"/>
      <c r="S66" s="171"/>
    </row>
    <row r="67" spans="12:19" hidden="1">
      <c r="L67" s="171"/>
      <c r="M67" s="171"/>
      <c r="N67" s="171"/>
      <c r="O67" s="171"/>
      <c r="P67" s="171"/>
      <c r="Q67" s="171"/>
      <c r="R67" s="171"/>
      <c r="S67" s="171"/>
    </row>
    <row r="68" spans="12:19" hidden="1">
      <c r="L68" s="171"/>
      <c r="M68" s="171"/>
      <c r="N68" s="171"/>
      <c r="O68" s="171"/>
      <c r="P68" s="171"/>
      <c r="Q68" s="171"/>
      <c r="R68" s="171"/>
      <c r="S68" s="171"/>
    </row>
    <row r="69" spans="12:19" hidden="1">
      <c r="L69" s="171"/>
      <c r="M69" s="171"/>
      <c r="N69" s="171"/>
      <c r="O69" s="171"/>
      <c r="P69" s="171"/>
      <c r="Q69" s="171"/>
      <c r="R69" s="171"/>
      <c r="S69" s="171"/>
    </row>
    <row r="70" spans="12:19" hidden="1">
      <c r="L70" s="171"/>
      <c r="M70" s="171"/>
      <c r="N70" s="171"/>
      <c r="O70" s="171"/>
      <c r="P70" s="171"/>
      <c r="Q70" s="171"/>
      <c r="R70" s="171"/>
      <c r="S70" s="171"/>
    </row>
    <row r="71" spans="12:19" hidden="1">
      <c r="L71" s="171"/>
      <c r="M71" s="171"/>
      <c r="N71" s="171"/>
      <c r="O71" s="171"/>
      <c r="P71" s="171"/>
      <c r="Q71" s="171"/>
      <c r="R71" s="171"/>
      <c r="S71" s="171"/>
    </row>
    <row r="72" spans="12:19" hidden="1">
      <c r="L72" s="171"/>
      <c r="M72" s="171"/>
      <c r="N72" s="171"/>
      <c r="O72" s="171"/>
      <c r="P72" s="171"/>
      <c r="Q72" s="171"/>
      <c r="R72" s="171"/>
      <c r="S72" s="171"/>
    </row>
    <row r="73" spans="12:19" hidden="1">
      <c r="L73" s="171"/>
      <c r="M73" s="171"/>
      <c r="N73" s="171"/>
      <c r="O73" s="171"/>
      <c r="P73" s="171"/>
      <c r="Q73" s="171"/>
      <c r="R73" s="171"/>
      <c r="S73" s="171"/>
    </row>
    <row r="74" spans="12:19" hidden="1">
      <c r="L74" s="171"/>
      <c r="M74" s="171"/>
      <c r="N74" s="171"/>
      <c r="O74" s="171"/>
      <c r="P74" s="171"/>
      <c r="Q74" s="171"/>
      <c r="R74" s="171"/>
      <c r="S74" s="171"/>
    </row>
    <row r="75" spans="12:19" hidden="1">
      <c r="L75" s="171"/>
      <c r="M75" s="171"/>
      <c r="N75" s="171"/>
      <c r="O75" s="171"/>
      <c r="P75" s="171"/>
      <c r="Q75" s="171"/>
      <c r="R75" s="171"/>
      <c r="S75" s="171"/>
    </row>
    <row r="76" spans="12:19" hidden="1">
      <c r="L76" s="171"/>
      <c r="M76" s="171"/>
      <c r="N76" s="171"/>
      <c r="O76" s="171"/>
      <c r="P76" s="171"/>
      <c r="Q76" s="171"/>
      <c r="R76" s="171"/>
      <c r="S76" s="171"/>
    </row>
    <row r="77" spans="12:19" hidden="1">
      <c r="L77" s="171"/>
      <c r="M77" s="171"/>
      <c r="N77" s="171"/>
      <c r="O77" s="171"/>
      <c r="P77" s="171"/>
      <c r="Q77" s="171"/>
      <c r="R77" s="171"/>
      <c r="S77" s="171"/>
    </row>
    <row r="78" spans="12:19" hidden="1">
      <c r="L78" s="171"/>
      <c r="M78" s="171"/>
      <c r="N78" s="171"/>
      <c r="O78" s="171"/>
      <c r="P78" s="171"/>
      <c r="Q78" s="171"/>
      <c r="R78" s="171"/>
      <c r="S78" s="171"/>
    </row>
    <row r="79" spans="12:19" hidden="1">
      <c r="L79" s="171"/>
      <c r="M79" s="171"/>
      <c r="N79" s="171"/>
      <c r="O79" s="171"/>
      <c r="P79" s="171"/>
      <c r="Q79" s="171"/>
      <c r="R79" s="171"/>
      <c r="S79" s="171"/>
    </row>
    <row r="80" spans="12:19" hidden="1">
      <c r="L80" s="171"/>
      <c r="M80" s="171"/>
      <c r="N80" s="171"/>
      <c r="O80" s="171"/>
      <c r="P80" s="171"/>
      <c r="Q80" s="171"/>
      <c r="R80" s="171"/>
      <c r="S80" s="171"/>
    </row>
    <row r="81" spans="12:19" hidden="1">
      <c r="L81" s="171"/>
      <c r="M81" s="171"/>
      <c r="N81" s="171"/>
      <c r="O81" s="171"/>
      <c r="P81" s="171"/>
      <c r="Q81" s="171"/>
      <c r="R81" s="171"/>
      <c r="S81" s="171"/>
    </row>
    <row r="82" spans="12:19" hidden="1">
      <c r="L82" s="171"/>
      <c r="M82" s="171"/>
      <c r="N82" s="171"/>
      <c r="O82" s="171"/>
      <c r="P82" s="171"/>
      <c r="Q82" s="171"/>
      <c r="R82" s="171"/>
      <c r="S82" s="171"/>
    </row>
    <row r="83" spans="12:19" hidden="1">
      <c r="L83" s="171"/>
      <c r="M83" s="171"/>
      <c r="N83" s="171"/>
      <c r="O83" s="171"/>
      <c r="P83" s="171"/>
      <c r="Q83" s="171"/>
      <c r="R83" s="171"/>
      <c r="S83" s="171"/>
    </row>
    <row r="84" spans="12:19" hidden="1">
      <c r="L84" s="171"/>
      <c r="M84" s="171"/>
      <c r="N84" s="171"/>
      <c r="O84" s="171"/>
      <c r="P84" s="171"/>
      <c r="Q84" s="171"/>
      <c r="R84" s="171"/>
      <c r="S84" s="171"/>
    </row>
    <row r="85" spans="12:19" hidden="1">
      <c r="L85" s="171"/>
      <c r="M85" s="171"/>
      <c r="N85" s="171"/>
      <c r="O85" s="171"/>
      <c r="P85" s="171"/>
      <c r="Q85" s="171"/>
      <c r="R85" s="171"/>
      <c r="S85" s="171"/>
    </row>
    <row r="86" spans="12:19" hidden="1">
      <c r="L86" s="171"/>
      <c r="M86" s="171"/>
      <c r="N86" s="171"/>
      <c r="O86" s="171"/>
      <c r="P86" s="171"/>
      <c r="Q86" s="171"/>
      <c r="R86" s="171"/>
      <c r="S86" s="171"/>
    </row>
    <row r="87" spans="12:19" hidden="1">
      <c r="L87" s="171"/>
      <c r="M87" s="171"/>
      <c r="N87" s="171"/>
      <c r="O87" s="171"/>
      <c r="P87" s="171"/>
      <c r="Q87" s="171"/>
      <c r="R87" s="171"/>
      <c r="S87" s="171"/>
    </row>
  </sheetData>
  <mergeCells count="30">
    <mergeCell ref="U9:AA10"/>
    <mergeCell ref="M13:P13"/>
    <mergeCell ref="Q13:R13"/>
    <mergeCell ref="K2:S4"/>
    <mergeCell ref="E13:F13"/>
    <mergeCell ref="H13:I13"/>
    <mergeCell ref="U13:AA13"/>
    <mergeCell ref="B13:C13"/>
    <mergeCell ref="B9:I10"/>
    <mergeCell ref="D11:G11"/>
    <mergeCell ref="L9:R10"/>
    <mergeCell ref="M21:P21"/>
    <mergeCell ref="Q21:R21"/>
    <mergeCell ref="M23:P23"/>
    <mergeCell ref="Q23:R23"/>
    <mergeCell ref="M15:P15"/>
    <mergeCell ref="Q15:R15"/>
    <mergeCell ref="M17:P17"/>
    <mergeCell ref="Q17:R17"/>
    <mergeCell ref="M19:P19"/>
    <mergeCell ref="Q19:R19"/>
    <mergeCell ref="U21:AA21"/>
    <mergeCell ref="U25:AA25"/>
    <mergeCell ref="U26:AA26"/>
    <mergeCell ref="U20:AA20"/>
    <mergeCell ref="U15:AA15"/>
    <mergeCell ref="U16:AA16"/>
    <mergeCell ref="U17:AA17"/>
    <mergeCell ref="U18:AA18"/>
    <mergeCell ref="U19:AA19"/>
  </mergeCells>
  <hyperlinks>
    <hyperlink ref="U26:AA26" r:id="rId1" display="Project page" xr:uid="{A25CDF13-1A1F-754E-9BF7-02064D5A945A}"/>
    <hyperlink ref="U15:AA15" r:id="rId2" location="transaction" display="How to add a transaction" xr:uid="{3693E39A-0634-CD40-A3DD-3CDA94B91931}"/>
    <hyperlink ref="U16:AA16" r:id="rId3" location="investment" display="How to add an investment" xr:uid="{61C8BDCD-7C59-EC4A-8BA8-472A472CB2D6}"/>
    <hyperlink ref="U17:AA17" r:id="rId4" location="loan" display="How to add a loan" xr:uid="{B2ABCB41-B60A-BF41-9FC3-7AB223C8267B}"/>
    <hyperlink ref="U18:AA18" r:id="rId5" location="asset" display="How to add an asset" xr:uid="{CDD6BA35-0F08-EC44-A1CB-EC1CCDE3237A}"/>
    <hyperlink ref="U19:AA19" r:id="rId6" display="Customising the dashboard" xr:uid="{59FE329F-3CCE-BC4A-8AD9-737FEAF01A1A}"/>
    <hyperlink ref="U21:AA21" r:id="rId7" display="Known issues" xr:uid="{8389BBC1-7F9C-AE4F-8707-9A393DDF149C}"/>
    <hyperlink ref="U20:AA20" r:id="rId8" display="Error codes" xr:uid="{973BD529-C8C1-DA46-AA12-96C9B4BA0977}"/>
  </hyperlinks>
  <pageMargins left="0.7" right="0.7" top="0.75" bottom="0.75" header="0.3" footer="0.3"/>
  <drawing r:id="rId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78A2E-AA96-C84E-901F-585FC5BD9661}">
  <sheetPr>
    <tabColor theme="0"/>
  </sheetPr>
  <dimension ref="A1:I4"/>
  <sheetViews>
    <sheetView showGridLines="0" showRowColHeaders="0" workbookViewId="0">
      <selection activeCell="I11" sqref="I11"/>
    </sheetView>
  </sheetViews>
  <sheetFormatPr baseColWidth="10" defaultRowHeight="16"/>
  <cols>
    <col min="1" max="1" width="13" bestFit="1" customWidth="1"/>
    <col min="2" max="2" width="6.5" bestFit="1" customWidth="1"/>
    <col min="3" max="3" width="6" bestFit="1" customWidth="1"/>
    <col min="4" max="4" width="9.1640625" bestFit="1" customWidth="1"/>
    <col min="5" max="5" width="7.5" bestFit="1" customWidth="1"/>
    <col min="6" max="6" width="9.33203125" bestFit="1" customWidth="1"/>
    <col min="7" max="7" width="14" customWidth="1"/>
    <col min="8" max="8" width="13" bestFit="1" customWidth="1"/>
    <col min="9" max="10" width="14.33203125" bestFit="1" customWidth="1"/>
    <col min="11" max="11" width="7" bestFit="1" customWidth="1"/>
    <col min="12" max="12" width="6.33203125" bestFit="1" customWidth="1"/>
    <col min="13" max="13" width="13" bestFit="1" customWidth="1"/>
    <col min="14" max="14" width="7" bestFit="1" customWidth="1"/>
    <col min="15" max="15" width="6.33203125" bestFit="1" customWidth="1"/>
    <col min="16" max="16" width="4.6640625" bestFit="1" customWidth="1"/>
    <col min="17" max="17" width="13" bestFit="1" customWidth="1"/>
    <col min="18" max="18" width="5" bestFit="1" customWidth="1"/>
    <col min="19" max="19" width="6.33203125" bestFit="1" customWidth="1"/>
    <col min="20" max="20" width="4.6640625" bestFit="1" customWidth="1"/>
    <col min="21" max="21" width="7.33203125" bestFit="1" customWidth="1"/>
    <col min="22" max="23" width="13" bestFit="1" customWidth="1"/>
  </cols>
  <sheetData>
    <row r="1" spans="1:9">
      <c r="A1" s="221" t="s">
        <v>64</v>
      </c>
      <c r="B1" s="222" t="s">
        <v>130</v>
      </c>
      <c r="C1" s="223" t="s">
        <v>131</v>
      </c>
      <c r="D1" s="223" t="s">
        <v>132</v>
      </c>
      <c r="E1" s="224" t="s">
        <v>133</v>
      </c>
      <c r="H1" s="125" t="s">
        <v>85</v>
      </c>
      <c r="I1" s="126" t="s">
        <v>197</v>
      </c>
    </row>
    <row r="3" spans="1:9">
      <c r="H3" s="108" t="s">
        <v>64</v>
      </c>
      <c r="I3" s="121" t="s">
        <v>135</v>
      </c>
    </row>
    <row r="4" spans="1:9">
      <c r="H4" s="124" t="s">
        <v>65</v>
      </c>
      <c r="I4" s="219" t="e">
        <v>#DIV/0!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35801-9B76-2B4F-9CC2-E7A872AAD7F0}">
  <sheetPr>
    <tabColor theme="0"/>
  </sheetPr>
  <dimension ref="A1:AJ5"/>
  <sheetViews>
    <sheetView showGridLines="0" workbookViewId="0">
      <selection activeCell="Y46" sqref="Y46"/>
    </sheetView>
  </sheetViews>
  <sheetFormatPr baseColWidth="10" defaultRowHeight="16"/>
  <cols>
    <col min="1" max="1" width="13" bestFit="1" customWidth="1"/>
    <col min="2" max="2" width="14.1640625" bestFit="1" customWidth="1"/>
    <col min="4" max="5" width="14.1640625" bestFit="1" customWidth="1"/>
    <col min="7" max="7" width="13" bestFit="1" customWidth="1"/>
    <col min="8" max="8" width="14.1640625" bestFit="1" customWidth="1"/>
    <col min="9" max="9" width="7.83203125" bestFit="1" customWidth="1"/>
    <col min="10" max="10" width="10.33203125" bestFit="1" customWidth="1"/>
    <col min="11" max="11" width="13" bestFit="1" customWidth="1"/>
    <col min="12" max="12" width="14.1640625" bestFit="1" customWidth="1"/>
    <col min="13" max="13" width="16.33203125" bestFit="1" customWidth="1"/>
    <col min="14" max="14" width="9.33203125" bestFit="1" customWidth="1"/>
    <col min="15" max="15" width="16.33203125" bestFit="1" customWidth="1"/>
    <col min="16" max="16" width="15.5" bestFit="1" customWidth="1"/>
    <col min="17" max="17" width="4.1640625" bestFit="1" customWidth="1"/>
    <col min="18" max="18" width="3.1640625" bestFit="1" customWidth="1"/>
    <col min="19" max="19" width="4.83203125" bestFit="1" customWidth="1"/>
    <col min="20" max="20" width="2.33203125" bestFit="1" customWidth="1"/>
    <col min="21" max="21" width="5.1640625" bestFit="1" customWidth="1"/>
    <col min="22" max="22" width="4.1640625" bestFit="1" customWidth="1"/>
    <col min="23" max="23" width="10.83203125" bestFit="1" customWidth="1"/>
    <col min="24" max="24" width="4.1640625" bestFit="1" customWidth="1"/>
    <col min="25" max="26" width="10.83203125" bestFit="1" customWidth="1"/>
    <col min="27" max="27" width="10" bestFit="1" customWidth="1"/>
    <col min="28" max="28" width="13" bestFit="1" customWidth="1"/>
    <col min="29" max="29" width="17.1640625" bestFit="1" customWidth="1"/>
    <col min="30" max="30" width="14.33203125" bestFit="1" customWidth="1"/>
    <col min="31" max="31" width="10.5" bestFit="1" customWidth="1"/>
    <col min="32" max="32" width="14.83203125" bestFit="1" customWidth="1"/>
    <col min="33" max="33" width="13" bestFit="1" customWidth="1"/>
    <col min="34" max="34" width="17.1640625" bestFit="1" customWidth="1"/>
    <col min="35" max="35" width="14.33203125" bestFit="1" customWidth="1"/>
    <col min="36" max="36" width="10.5" bestFit="1" customWidth="1"/>
    <col min="37" max="37" width="19.1640625" bestFit="1" customWidth="1"/>
    <col min="38" max="38" width="13" bestFit="1" customWidth="1"/>
    <col min="39" max="40" width="10.33203125" bestFit="1" customWidth="1"/>
    <col min="41" max="41" width="9.33203125" bestFit="1" customWidth="1"/>
    <col min="42" max="42" width="10.83203125" bestFit="1" customWidth="1"/>
    <col min="43" max="43" width="10.33203125" bestFit="1" customWidth="1"/>
    <col min="44" max="44" width="9.33203125" bestFit="1" customWidth="1"/>
    <col min="45" max="45" width="10.83203125" bestFit="1" customWidth="1"/>
    <col min="46" max="46" width="13" bestFit="1" customWidth="1"/>
    <col min="47" max="49" width="10.33203125" bestFit="1" customWidth="1"/>
    <col min="50" max="50" width="11.33203125" bestFit="1" customWidth="1"/>
    <col min="51" max="51" width="9.33203125" bestFit="1" customWidth="1"/>
    <col min="52" max="52" width="6.83203125" bestFit="1" customWidth="1"/>
    <col min="53" max="53" width="7.83203125" bestFit="1" customWidth="1"/>
    <col min="54" max="56" width="9.33203125" bestFit="1" customWidth="1"/>
    <col min="57" max="57" width="6.83203125" bestFit="1" customWidth="1"/>
    <col min="58" max="58" width="10.33203125" bestFit="1" customWidth="1"/>
    <col min="59" max="59" width="12.83203125" bestFit="1" customWidth="1"/>
    <col min="60" max="61" width="9.33203125" bestFit="1" customWidth="1"/>
    <col min="62" max="62" width="27.33203125" bestFit="1" customWidth="1"/>
    <col min="63" max="63" width="16.83203125" bestFit="1" customWidth="1"/>
    <col min="64" max="64" width="9.33203125" bestFit="1" customWidth="1"/>
    <col min="65" max="65" width="6.83203125" bestFit="1" customWidth="1"/>
    <col min="66" max="66" width="9.33203125" bestFit="1" customWidth="1"/>
    <col min="67" max="67" width="26.83203125" bestFit="1" customWidth="1"/>
    <col min="68" max="68" width="10.1640625" bestFit="1" customWidth="1"/>
    <col min="69" max="69" width="17.33203125" bestFit="1" customWidth="1"/>
    <col min="70" max="72" width="9.33203125" bestFit="1" customWidth="1"/>
    <col min="73" max="73" width="6.83203125" bestFit="1" customWidth="1"/>
    <col min="74" max="74" width="9.6640625" bestFit="1" customWidth="1"/>
    <col min="75" max="77" width="10.33203125" bestFit="1" customWidth="1"/>
    <col min="78" max="78" width="13" bestFit="1" customWidth="1"/>
    <col min="79" max="81" width="10.33203125" bestFit="1" customWidth="1"/>
    <col min="82" max="82" width="12.83203125" bestFit="1" customWidth="1"/>
    <col min="83" max="84" width="10.33203125" bestFit="1" customWidth="1"/>
    <col min="85" max="86" width="12.83203125" bestFit="1" customWidth="1"/>
    <col min="87" max="87" width="7.83203125" bestFit="1" customWidth="1"/>
    <col min="88" max="88" width="29.6640625" bestFit="1" customWidth="1"/>
    <col min="89" max="89" width="13.33203125" bestFit="1" customWidth="1"/>
    <col min="90" max="90" width="11.83203125" bestFit="1" customWidth="1"/>
    <col min="91" max="91" width="37" bestFit="1" customWidth="1"/>
    <col min="92" max="92" width="9.6640625" bestFit="1" customWidth="1"/>
    <col min="93" max="95" width="11.33203125" bestFit="1" customWidth="1"/>
    <col min="96" max="96" width="13" bestFit="1" customWidth="1"/>
    <col min="97" max="99" width="10.33203125" bestFit="1" customWidth="1"/>
    <col min="100" max="100" width="12.83203125" bestFit="1" customWidth="1"/>
  </cols>
  <sheetData>
    <row r="1" spans="1:36">
      <c r="A1" s="108" t="s">
        <v>64</v>
      </c>
      <c r="B1" s="121" t="s">
        <v>66</v>
      </c>
      <c r="D1" s="121" t="s">
        <v>66</v>
      </c>
      <c r="G1" s="125" t="s">
        <v>85</v>
      </c>
      <c r="H1" s="126" t="s">
        <v>197</v>
      </c>
      <c r="K1" s="125" t="s">
        <v>85</v>
      </c>
      <c r="L1" s="126" t="s">
        <v>197</v>
      </c>
      <c r="O1" s="125" t="s">
        <v>85</v>
      </c>
      <c r="P1" s="126" t="s">
        <v>197</v>
      </c>
    </row>
    <row r="2" spans="1:36">
      <c r="A2" s="124" t="s">
        <v>65</v>
      </c>
      <c r="B2" s="131"/>
      <c r="D2" s="131"/>
      <c r="AB2" s="125" t="s">
        <v>97</v>
      </c>
      <c r="AC2" s="126" t="s">
        <v>39</v>
      </c>
      <c r="AG2" s="125" t="s">
        <v>97</v>
      </c>
      <c r="AH2" s="126" t="s">
        <v>39</v>
      </c>
    </row>
    <row r="3" spans="1:36">
      <c r="G3" s="221" t="s">
        <v>64</v>
      </c>
      <c r="H3" s="126" t="s">
        <v>66</v>
      </c>
      <c r="K3" s="108" t="s">
        <v>64</v>
      </c>
      <c r="L3" s="121" t="s">
        <v>66</v>
      </c>
      <c r="O3" s="108" t="s">
        <v>139</v>
      </c>
      <c r="P3" s="225" t="s">
        <v>140</v>
      </c>
    </row>
    <row r="4" spans="1:36">
      <c r="K4" s="124" t="s">
        <v>65</v>
      </c>
      <c r="L4" s="131">
        <v>0</v>
      </c>
      <c r="O4" s="108" t="s">
        <v>64</v>
      </c>
      <c r="P4" s="121" t="s">
        <v>65</v>
      </c>
      <c r="AB4" s="108" t="s">
        <v>64</v>
      </c>
      <c r="AC4" s="109" t="s">
        <v>142</v>
      </c>
      <c r="AD4" s="110" t="s">
        <v>135</v>
      </c>
      <c r="AE4" s="111" t="s">
        <v>151</v>
      </c>
      <c r="AG4" s="108" t="s">
        <v>64</v>
      </c>
      <c r="AH4" s="109" t="s">
        <v>142</v>
      </c>
      <c r="AI4" s="110" t="s">
        <v>135</v>
      </c>
      <c r="AJ4" s="111" t="s">
        <v>151</v>
      </c>
    </row>
    <row r="5" spans="1:36">
      <c r="O5" s="124" t="s">
        <v>65</v>
      </c>
      <c r="P5" s="134">
        <v>0</v>
      </c>
      <c r="AB5" s="127" t="s">
        <v>65</v>
      </c>
      <c r="AC5" s="128"/>
      <c r="AD5" s="129"/>
      <c r="AE5" s="130">
        <v>0</v>
      </c>
      <c r="AG5" s="127" t="s">
        <v>65</v>
      </c>
      <c r="AH5" s="128"/>
      <c r="AI5" s="129"/>
      <c r="AJ5" s="130">
        <v>0</v>
      </c>
    </row>
  </sheetData>
  <dataConsolidate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06777-6EB3-FF4F-BCFC-291B439E9129}">
  <sheetPr>
    <tabColor theme="0"/>
  </sheetPr>
  <dimension ref="A1:AC335"/>
  <sheetViews>
    <sheetView showGridLines="0" topLeftCell="P1" workbookViewId="0">
      <selection activeCell="G10" sqref="G10"/>
    </sheetView>
  </sheetViews>
  <sheetFormatPr baseColWidth="10" defaultRowHeight="16"/>
  <cols>
    <col min="1" max="1" width="13" bestFit="1" customWidth="1"/>
    <col min="2" max="2" width="10.33203125" bestFit="1" customWidth="1"/>
    <col min="3" max="3" width="8.5" bestFit="1" customWidth="1"/>
    <col min="4" max="4" width="12.5" bestFit="1" customWidth="1"/>
    <col min="5" max="5" width="11" bestFit="1" customWidth="1"/>
    <col min="6" max="6" width="13" bestFit="1" customWidth="1"/>
    <col min="7" max="7" width="9.33203125" bestFit="1" customWidth="1"/>
    <col min="8" max="8" width="11.33203125" bestFit="1" customWidth="1"/>
    <col min="9" max="9" width="13" bestFit="1" customWidth="1"/>
    <col min="10" max="10" width="16.33203125" bestFit="1" customWidth="1"/>
    <col min="11" max="11" width="14.33203125" bestFit="1" customWidth="1"/>
    <col min="12" max="12" width="13" bestFit="1" customWidth="1"/>
    <col min="13" max="13" width="13.1640625" customWidth="1"/>
    <col min="14" max="14" width="13" bestFit="1" customWidth="1"/>
    <col min="15" max="15" width="19.1640625" bestFit="1" customWidth="1"/>
    <col min="16" max="16" width="21" bestFit="1" customWidth="1"/>
    <col min="17" max="17" width="14.33203125" bestFit="1" customWidth="1"/>
    <col min="18" max="18" width="16.33203125" bestFit="1" customWidth="1"/>
    <col min="19" max="19" width="14.33203125" bestFit="1" customWidth="1"/>
    <col min="20" max="20" width="16.33203125" bestFit="1" customWidth="1"/>
    <col min="21" max="21" width="15.6640625" bestFit="1" customWidth="1"/>
    <col min="22" max="22" width="16.33203125" bestFit="1" customWidth="1"/>
    <col min="23" max="23" width="19.1640625" bestFit="1" customWidth="1"/>
    <col min="24" max="24" width="21" bestFit="1" customWidth="1"/>
    <col min="26" max="26" width="13" bestFit="1" customWidth="1"/>
    <col min="27" max="27" width="16.33203125" bestFit="1" customWidth="1"/>
    <col min="28" max="28" width="14.33203125" bestFit="1" customWidth="1"/>
    <col min="29" max="29" width="12.5" bestFit="1" customWidth="1"/>
    <col min="30" max="30" width="14.33203125" bestFit="1" customWidth="1"/>
    <col min="31" max="31" width="16.33203125" bestFit="1" customWidth="1"/>
    <col min="32" max="32" width="14.33203125" bestFit="1" customWidth="1"/>
    <col min="33" max="33" width="16.33203125" bestFit="1" customWidth="1"/>
    <col min="34" max="34" width="14.33203125" bestFit="1" customWidth="1"/>
    <col min="35" max="35" width="21" bestFit="1" customWidth="1"/>
    <col min="36" max="36" width="19.1640625" bestFit="1" customWidth="1"/>
  </cols>
  <sheetData>
    <row r="1" spans="1:29">
      <c r="A1" s="125" t="s">
        <v>95</v>
      </c>
      <c r="B1" s="126" t="s">
        <v>148</v>
      </c>
      <c r="F1" s="221" t="s">
        <v>64</v>
      </c>
      <c r="G1" s="126" t="s">
        <v>160</v>
      </c>
      <c r="I1" s="108" t="s">
        <v>64</v>
      </c>
      <c r="J1" s="109" t="s">
        <v>142</v>
      </c>
      <c r="K1" s="110" t="s">
        <v>135</v>
      </c>
      <c r="L1" s="111" t="s">
        <v>163</v>
      </c>
      <c r="N1" s="125" t="s">
        <v>95</v>
      </c>
      <c r="O1" s="126" t="s">
        <v>148</v>
      </c>
      <c r="Z1" s="125" t="s">
        <v>95</v>
      </c>
      <c r="AA1" s="126" t="s">
        <v>148</v>
      </c>
    </row>
    <row r="2" spans="1:29">
      <c r="I2" s="124" t="s">
        <v>65</v>
      </c>
      <c r="J2" s="128"/>
      <c r="K2" s="154"/>
      <c r="L2" s="130">
        <v>0</v>
      </c>
    </row>
    <row r="3" spans="1:29">
      <c r="A3" s="108" t="s">
        <v>64</v>
      </c>
      <c r="B3" s="109" t="s">
        <v>149</v>
      </c>
      <c r="C3" s="111" t="s">
        <v>150</v>
      </c>
      <c r="N3" s="109"/>
      <c r="O3" s="108" t="s">
        <v>140</v>
      </c>
      <c r="P3" s="133"/>
      <c r="Z3" s="108" t="s">
        <v>64</v>
      </c>
      <c r="AA3" s="109" t="s">
        <v>142</v>
      </c>
      <c r="AB3" s="110" t="s">
        <v>135</v>
      </c>
      <c r="AC3" s="111" t="s">
        <v>182</v>
      </c>
    </row>
    <row r="4" spans="1:29">
      <c r="A4" s="124" t="s">
        <v>65</v>
      </c>
      <c r="B4" s="128"/>
      <c r="C4" s="140"/>
      <c r="N4" s="138"/>
      <c r="O4" s="109" t="s">
        <v>158</v>
      </c>
      <c r="P4" s="121" t="s">
        <v>159</v>
      </c>
      <c r="Z4" s="124" t="s">
        <v>65</v>
      </c>
      <c r="AA4" s="128"/>
      <c r="AB4" s="129"/>
      <c r="AC4" s="130">
        <v>0</v>
      </c>
    </row>
    <row r="5" spans="1:29">
      <c r="N5" s="108" t="s">
        <v>64</v>
      </c>
      <c r="O5" s="138"/>
      <c r="P5" s="139"/>
    </row>
    <row r="6" spans="1:29">
      <c r="N6" s="124" t="s">
        <v>65</v>
      </c>
      <c r="O6" s="128"/>
      <c r="P6" s="137"/>
    </row>
    <row r="129" spans="8:8">
      <c r="H129" s="141"/>
    </row>
    <row r="130" spans="8:8">
      <c r="H130" s="141"/>
    </row>
    <row r="131" spans="8:8">
      <c r="H131" s="141"/>
    </row>
    <row r="132" spans="8:8">
      <c r="H132" s="141"/>
    </row>
    <row r="133" spans="8:8">
      <c r="H133" s="141"/>
    </row>
    <row r="134" spans="8:8">
      <c r="H134" s="141"/>
    </row>
    <row r="135" spans="8:8">
      <c r="H135" s="141"/>
    </row>
    <row r="136" spans="8:8">
      <c r="H136" s="141"/>
    </row>
    <row r="137" spans="8:8">
      <c r="H137" s="141"/>
    </row>
    <row r="138" spans="8:8">
      <c r="H138" s="141"/>
    </row>
    <row r="139" spans="8:8">
      <c r="H139" s="141"/>
    </row>
    <row r="140" spans="8:8">
      <c r="H140" s="141"/>
    </row>
    <row r="141" spans="8:8">
      <c r="H141" s="141"/>
    </row>
    <row r="142" spans="8:8">
      <c r="H142" s="141"/>
    </row>
    <row r="143" spans="8:8">
      <c r="H143" s="141"/>
    </row>
    <row r="144" spans="8:8">
      <c r="H144" s="141"/>
    </row>
    <row r="145" spans="8:8">
      <c r="H145" s="141"/>
    </row>
    <row r="146" spans="8:8">
      <c r="H146" s="141"/>
    </row>
    <row r="147" spans="8:8">
      <c r="H147" s="141"/>
    </row>
    <row r="148" spans="8:8">
      <c r="H148" s="141"/>
    </row>
    <row r="149" spans="8:8">
      <c r="H149" s="141"/>
    </row>
    <row r="150" spans="8:8">
      <c r="H150" s="141"/>
    </row>
    <row r="151" spans="8:8">
      <c r="H151" s="141"/>
    </row>
    <row r="152" spans="8:8">
      <c r="H152" s="141"/>
    </row>
    <row r="153" spans="8:8">
      <c r="H153" s="141"/>
    </row>
    <row r="154" spans="8:8">
      <c r="H154" s="141"/>
    </row>
    <row r="155" spans="8:8">
      <c r="H155" s="141"/>
    </row>
    <row r="156" spans="8:8">
      <c r="H156" s="141"/>
    </row>
    <row r="157" spans="8:8">
      <c r="H157" s="141"/>
    </row>
    <row r="158" spans="8:8">
      <c r="H158" s="141"/>
    </row>
    <row r="159" spans="8:8">
      <c r="H159" s="141"/>
    </row>
    <row r="160" spans="8:8">
      <c r="H160" s="141"/>
    </row>
    <row r="161" spans="8:8">
      <c r="H161" s="141"/>
    </row>
    <row r="162" spans="8:8">
      <c r="H162" s="141"/>
    </row>
    <row r="163" spans="8:8">
      <c r="H163" s="141"/>
    </row>
    <row r="164" spans="8:8">
      <c r="H164" s="141"/>
    </row>
    <row r="165" spans="8:8">
      <c r="H165" s="141"/>
    </row>
    <row r="166" spans="8:8">
      <c r="H166" s="141"/>
    </row>
    <row r="167" spans="8:8">
      <c r="H167" s="141"/>
    </row>
    <row r="168" spans="8:8">
      <c r="H168" s="141"/>
    </row>
    <row r="169" spans="8:8">
      <c r="H169" s="141"/>
    </row>
    <row r="170" spans="8:8">
      <c r="H170" s="141"/>
    </row>
    <row r="171" spans="8:8">
      <c r="H171" s="141"/>
    </row>
    <row r="172" spans="8:8">
      <c r="H172" s="141"/>
    </row>
    <row r="173" spans="8:8">
      <c r="H173" s="141"/>
    </row>
    <row r="174" spans="8:8">
      <c r="H174" s="141"/>
    </row>
    <row r="175" spans="8:8">
      <c r="H175" s="141"/>
    </row>
    <row r="176" spans="8:8">
      <c r="H176" s="141"/>
    </row>
    <row r="177" spans="8:8">
      <c r="H177" s="141"/>
    </row>
    <row r="178" spans="8:8">
      <c r="H178" s="141"/>
    </row>
    <row r="179" spans="8:8">
      <c r="H179" s="141"/>
    </row>
    <row r="180" spans="8:8">
      <c r="H180" s="141"/>
    </row>
    <row r="181" spans="8:8">
      <c r="H181" s="141"/>
    </row>
    <row r="182" spans="8:8">
      <c r="H182" s="141"/>
    </row>
    <row r="183" spans="8:8">
      <c r="H183" s="141"/>
    </row>
    <row r="184" spans="8:8">
      <c r="H184" s="141"/>
    </row>
    <row r="185" spans="8:8">
      <c r="H185" s="141"/>
    </row>
    <row r="186" spans="8:8">
      <c r="H186" s="141"/>
    </row>
    <row r="187" spans="8:8">
      <c r="H187" s="141"/>
    </row>
    <row r="188" spans="8:8">
      <c r="H188" s="141"/>
    </row>
    <row r="189" spans="8:8">
      <c r="H189" s="141"/>
    </row>
    <row r="190" spans="8:8">
      <c r="H190" s="141"/>
    </row>
    <row r="191" spans="8:8">
      <c r="H191" s="141"/>
    </row>
    <row r="192" spans="8:8">
      <c r="H192" s="141"/>
    </row>
    <row r="193" spans="8:8">
      <c r="H193" s="141"/>
    </row>
    <row r="194" spans="8:8">
      <c r="H194" s="141"/>
    </row>
    <row r="195" spans="8:8">
      <c r="H195" s="141"/>
    </row>
    <row r="196" spans="8:8">
      <c r="H196" s="141"/>
    </row>
    <row r="197" spans="8:8">
      <c r="H197" s="141"/>
    </row>
    <row r="198" spans="8:8">
      <c r="H198" s="141"/>
    </row>
    <row r="199" spans="8:8">
      <c r="H199" s="141"/>
    </row>
    <row r="200" spans="8:8">
      <c r="H200" s="141"/>
    </row>
    <row r="201" spans="8:8">
      <c r="H201" s="141"/>
    </row>
    <row r="202" spans="8:8">
      <c r="H202" s="141"/>
    </row>
    <row r="203" spans="8:8">
      <c r="H203" s="141"/>
    </row>
    <row r="204" spans="8:8">
      <c r="H204" s="141"/>
    </row>
    <row r="205" spans="8:8">
      <c r="H205" s="141"/>
    </row>
    <row r="206" spans="8:8">
      <c r="H206" s="141"/>
    </row>
    <row r="207" spans="8:8">
      <c r="H207" s="141"/>
    </row>
    <row r="208" spans="8:8">
      <c r="H208" s="141"/>
    </row>
    <row r="209" spans="8:8">
      <c r="H209" s="141"/>
    </row>
    <row r="210" spans="8:8">
      <c r="H210" s="141"/>
    </row>
    <row r="211" spans="8:8">
      <c r="H211" s="141"/>
    </row>
    <row r="212" spans="8:8">
      <c r="H212" s="141"/>
    </row>
    <row r="213" spans="8:8">
      <c r="H213" s="141"/>
    </row>
    <row r="214" spans="8:8">
      <c r="H214" s="141"/>
    </row>
    <row r="215" spans="8:8">
      <c r="H215" s="141"/>
    </row>
    <row r="216" spans="8:8">
      <c r="H216" s="141"/>
    </row>
    <row r="217" spans="8:8">
      <c r="H217" s="141"/>
    </row>
    <row r="218" spans="8:8">
      <c r="H218" s="141"/>
    </row>
    <row r="219" spans="8:8">
      <c r="H219" s="141"/>
    </row>
    <row r="220" spans="8:8">
      <c r="H220" s="141"/>
    </row>
    <row r="221" spans="8:8">
      <c r="H221" s="141"/>
    </row>
    <row r="222" spans="8:8">
      <c r="H222" s="141"/>
    </row>
    <row r="223" spans="8:8">
      <c r="H223" s="141"/>
    </row>
    <row r="224" spans="8:8">
      <c r="H224" s="141"/>
    </row>
    <row r="225" spans="8:8">
      <c r="H225" s="141"/>
    </row>
    <row r="226" spans="8:8">
      <c r="H226" s="141"/>
    </row>
    <row r="227" spans="8:8">
      <c r="H227" s="141"/>
    </row>
    <row r="228" spans="8:8">
      <c r="H228" s="141"/>
    </row>
    <row r="229" spans="8:8">
      <c r="H229" s="141"/>
    </row>
    <row r="230" spans="8:8">
      <c r="H230" s="141"/>
    </row>
    <row r="231" spans="8:8">
      <c r="H231" s="141"/>
    </row>
    <row r="232" spans="8:8">
      <c r="H232" s="141"/>
    </row>
    <row r="233" spans="8:8">
      <c r="H233" s="141"/>
    </row>
    <row r="234" spans="8:8">
      <c r="H234" s="141"/>
    </row>
    <row r="235" spans="8:8">
      <c r="H235" s="141"/>
    </row>
    <row r="236" spans="8:8">
      <c r="H236" s="141"/>
    </row>
    <row r="237" spans="8:8">
      <c r="H237" s="141"/>
    </row>
    <row r="238" spans="8:8">
      <c r="H238" s="141"/>
    </row>
    <row r="239" spans="8:8">
      <c r="H239" s="141"/>
    </row>
    <row r="240" spans="8:8">
      <c r="H240" s="141"/>
    </row>
    <row r="241" spans="8:8">
      <c r="H241" s="141"/>
    </row>
    <row r="242" spans="8:8">
      <c r="H242" s="141"/>
    </row>
    <row r="243" spans="8:8">
      <c r="H243" s="141"/>
    </row>
    <row r="244" spans="8:8">
      <c r="H244" s="141"/>
    </row>
    <row r="245" spans="8:8">
      <c r="H245" s="141"/>
    </row>
    <row r="246" spans="8:8">
      <c r="H246" s="141"/>
    </row>
    <row r="247" spans="8:8">
      <c r="H247" s="141"/>
    </row>
    <row r="248" spans="8:8">
      <c r="H248" s="141"/>
    </row>
    <row r="249" spans="8:8">
      <c r="H249" s="141"/>
    </row>
    <row r="250" spans="8:8">
      <c r="H250" s="141"/>
    </row>
    <row r="251" spans="8:8">
      <c r="H251" s="141"/>
    </row>
    <row r="252" spans="8:8">
      <c r="H252" s="141"/>
    </row>
    <row r="253" spans="8:8">
      <c r="H253" s="141"/>
    </row>
    <row r="254" spans="8:8">
      <c r="H254" s="141"/>
    </row>
    <row r="255" spans="8:8">
      <c r="H255" s="141"/>
    </row>
    <row r="256" spans="8:8">
      <c r="H256" s="141"/>
    </row>
    <row r="257" spans="8:8">
      <c r="H257" s="141"/>
    </row>
    <row r="258" spans="8:8">
      <c r="H258" s="141"/>
    </row>
    <row r="259" spans="8:8">
      <c r="H259" s="141"/>
    </row>
    <row r="260" spans="8:8">
      <c r="H260" s="141"/>
    </row>
    <row r="261" spans="8:8">
      <c r="H261" s="141"/>
    </row>
    <row r="262" spans="8:8">
      <c r="H262" s="141"/>
    </row>
    <row r="263" spans="8:8">
      <c r="H263" s="141"/>
    </row>
    <row r="264" spans="8:8">
      <c r="H264" s="141"/>
    </row>
    <row r="265" spans="8:8">
      <c r="H265" s="141"/>
    </row>
    <row r="266" spans="8:8">
      <c r="H266" s="141"/>
    </row>
    <row r="267" spans="8:8">
      <c r="H267" s="141"/>
    </row>
    <row r="268" spans="8:8">
      <c r="H268" s="141"/>
    </row>
    <row r="269" spans="8:8">
      <c r="H269" s="141"/>
    </row>
    <row r="270" spans="8:8">
      <c r="H270" s="141"/>
    </row>
    <row r="271" spans="8:8">
      <c r="H271" s="141"/>
    </row>
    <row r="272" spans="8:8">
      <c r="H272" s="141"/>
    </row>
    <row r="273" spans="8:8">
      <c r="H273" s="141"/>
    </row>
    <row r="274" spans="8:8">
      <c r="H274" s="141"/>
    </row>
    <row r="275" spans="8:8">
      <c r="H275" s="141"/>
    </row>
    <row r="276" spans="8:8">
      <c r="H276" s="141"/>
    </row>
    <row r="277" spans="8:8">
      <c r="H277" s="141"/>
    </row>
    <row r="278" spans="8:8">
      <c r="H278" s="141"/>
    </row>
    <row r="279" spans="8:8">
      <c r="H279" s="141"/>
    </row>
    <row r="280" spans="8:8">
      <c r="H280" s="141"/>
    </row>
    <row r="281" spans="8:8">
      <c r="H281" s="141"/>
    </row>
    <row r="282" spans="8:8">
      <c r="H282" s="141"/>
    </row>
    <row r="283" spans="8:8">
      <c r="H283" s="141"/>
    </row>
    <row r="284" spans="8:8">
      <c r="H284" s="141"/>
    </row>
    <row r="285" spans="8:8">
      <c r="H285" s="141"/>
    </row>
    <row r="286" spans="8:8">
      <c r="H286" s="141"/>
    </row>
    <row r="287" spans="8:8">
      <c r="H287" s="141"/>
    </row>
    <row r="288" spans="8:8">
      <c r="H288" s="141"/>
    </row>
    <row r="289" spans="8:8">
      <c r="H289" s="141"/>
    </row>
    <row r="290" spans="8:8">
      <c r="H290" s="141"/>
    </row>
    <row r="291" spans="8:8">
      <c r="H291" s="141"/>
    </row>
    <row r="292" spans="8:8">
      <c r="H292" s="141"/>
    </row>
    <row r="293" spans="8:8">
      <c r="H293" s="141"/>
    </row>
    <row r="294" spans="8:8">
      <c r="H294" s="141"/>
    </row>
    <row r="295" spans="8:8">
      <c r="H295" s="141"/>
    </row>
    <row r="296" spans="8:8">
      <c r="H296" s="141"/>
    </row>
    <row r="297" spans="8:8">
      <c r="H297" s="141"/>
    </row>
    <row r="298" spans="8:8">
      <c r="H298" s="141"/>
    </row>
    <row r="299" spans="8:8">
      <c r="H299" s="141"/>
    </row>
    <row r="300" spans="8:8">
      <c r="H300" s="141"/>
    </row>
    <row r="301" spans="8:8">
      <c r="H301" s="141"/>
    </row>
    <row r="302" spans="8:8">
      <c r="H302" s="141"/>
    </row>
    <row r="303" spans="8:8">
      <c r="H303" s="141"/>
    </row>
    <row r="304" spans="8:8">
      <c r="H304" s="141"/>
    </row>
    <row r="305" spans="8:8">
      <c r="H305" s="141"/>
    </row>
    <row r="306" spans="8:8">
      <c r="H306" s="141"/>
    </row>
    <row r="307" spans="8:8">
      <c r="H307" s="141"/>
    </row>
    <row r="308" spans="8:8">
      <c r="H308" s="141"/>
    </row>
    <row r="309" spans="8:8">
      <c r="H309" s="141"/>
    </row>
    <row r="310" spans="8:8">
      <c r="H310" s="141"/>
    </row>
    <row r="311" spans="8:8">
      <c r="H311" s="141"/>
    </row>
    <row r="312" spans="8:8">
      <c r="H312" s="141"/>
    </row>
    <row r="313" spans="8:8">
      <c r="H313" s="141"/>
    </row>
    <row r="314" spans="8:8">
      <c r="H314" s="141"/>
    </row>
    <row r="315" spans="8:8">
      <c r="H315" s="141"/>
    </row>
    <row r="316" spans="8:8">
      <c r="H316" s="141"/>
    </row>
    <row r="317" spans="8:8">
      <c r="H317" s="141"/>
    </row>
    <row r="318" spans="8:8">
      <c r="H318" s="141"/>
    </row>
    <row r="319" spans="8:8">
      <c r="H319" s="141"/>
    </row>
    <row r="320" spans="8:8">
      <c r="H320" s="141"/>
    </row>
    <row r="321" spans="8:8">
      <c r="H321" s="141"/>
    </row>
    <row r="322" spans="8:8">
      <c r="H322" s="141"/>
    </row>
    <row r="323" spans="8:8">
      <c r="H323" s="141"/>
    </row>
    <row r="324" spans="8:8">
      <c r="H324" s="141"/>
    </row>
    <row r="325" spans="8:8">
      <c r="H325" s="141"/>
    </row>
    <row r="326" spans="8:8">
      <c r="H326" s="141"/>
    </row>
    <row r="327" spans="8:8">
      <c r="H327" s="141"/>
    </row>
    <row r="328" spans="8:8">
      <c r="H328" s="141"/>
    </row>
    <row r="329" spans="8:8">
      <c r="H329" s="141"/>
    </row>
    <row r="330" spans="8:8">
      <c r="H330" s="141"/>
    </row>
    <row r="331" spans="8:8">
      <c r="H331" s="141"/>
    </row>
    <row r="332" spans="8:8">
      <c r="H332" s="141"/>
    </row>
    <row r="333" spans="8:8">
      <c r="H333" s="141"/>
    </row>
    <row r="334" spans="8:8">
      <c r="H334" s="141"/>
    </row>
    <row r="335" spans="8:8">
      <c r="H335" s="14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49617-5A79-4547-8BF6-7BB74AA756B1}">
  <sheetPr>
    <tabColor theme="0"/>
  </sheetPr>
  <dimension ref="A1:N34"/>
  <sheetViews>
    <sheetView topLeftCell="B1" workbookViewId="0">
      <selection activeCell="N26" sqref="N26"/>
    </sheetView>
  </sheetViews>
  <sheetFormatPr baseColWidth="10" defaultRowHeight="16"/>
  <cols>
    <col min="1" max="1" width="13" bestFit="1" customWidth="1"/>
    <col min="2" max="2" width="16.33203125" bestFit="1" customWidth="1"/>
    <col min="3" max="3" width="14.33203125" bestFit="1" customWidth="1"/>
    <col min="4" max="4" width="16.33203125" bestFit="1" customWidth="1"/>
    <col min="5" max="5" width="14.33203125" bestFit="1" customWidth="1"/>
    <col min="6" max="6" width="16.33203125" bestFit="1" customWidth="1"/>
    <col min="7" max="7" width="14.33203125" bestFit="1" customWidth="1"/>
    <col min="8" max="8" width="21" bestFit="1" customWidth="1"/>
    <col min="9" max="9" width="19.1640625" bestFit="1" customWidth="1"/>
    <col min="11" max="11" width="13" bestFit="1" customWidth="1"/>
    <col min="12" max="12" width="16.6640625" bestFit="1" customWidth="1"/>
    <col min="13" max="13" width="15.5" bestFit="1" customWidth="1"/>
    <col min="14" max="14" width="12.1640625" style="158" bestFit="1" customWidth="1"/>
    <col min="15" max="15" width="20.33203125" bestFit="1" customWidth="1"/>
    <col min="16" max="16" width="16.33203125" bestFit="1" customWidth="1"/>
    <col min="17" max="17" width="14.33203125" bestFit="1" customWidth="1"/>
    <col min="18" max="18" width="21" bestFit="1" customWidth="1"/>
    <col min="19" max="19" width="19.1640625" bestFit="1" customWidth="1"/>
  </cols>
  <sheetData>
    <row r="1" spans="1:14">
      <c r="A1" s="109"/>
      <c r="B1" s="108" t="s">
        <v>140</v>
      </c>
      <c r="C1" s="132"/>
      <c r="D1" s="132"/>
      <c r="E1" s="132"/>
      <c r="F1" s="132"/>
      <c r="G1" s="132"/>
      <c r="H1" s="132"/>
      <c r="I1" s="133"/>
      <c r="K1" s="125" t="s">
        <v>106</v>
      </c>
      <c r="L1" s="126" t="s">
        <v>46</v>
      </c>
    </row>
    <row r="2" spans="1:14">
      <c r="A2" s="138"/>
      <c r="B2" s="109" t="s">
        <v>47</v>
      </c>
      <c r="C2" s="132"/>
      <c r="D2" s="109" t="s">
        <v>53</v>
      </c>
      <c r="E2" s="132"/>
      <c r="F2" s="109" t="s">
        <v>155</v>
      </c>
      <c r="G2" s="132"/>
      <c r="H2" s="109" t="s">
        <v>159</v>
      </c>
      <c r="I2" s="121" t="s">
        <v>158</v>
      </c>
    </row>
    <row r="3" spans="1:14">
      <c r="A3" s="108" t="s">
        <v>64</v>
      </c>
      <c r="B3" s="109" t="s">
        <v>142</v>
      </c>
      <c r="C3" s="110" t="s">
        <v>135</v>
      </c>
      <c r="D3" s="109" t="s">
        <v>142</v>
      </c>
      <c r="E3" s="110" t="s">
        <v>135</v>
      </c>
      <c r="F3" s="109" t="s">
        <v>142</v>
      </c>
      <c r="G3" s="110" t="s">
        <v>135</v>
      </c>
      <c r="H3" s="138"/>
      <c r="I3" s="139"/>
      <c r="K3" s="109"/>
      <c r="L3" s="108" t="s">
        <v>140</v>
      </c>
      <c r="M3" s="132"/>
      <c r="N3" s="159"/>
    </row>
    <row r="4" spans="1:14">
      <c r="A4" s="122" t="s">
        <v>46</v>
      </c>
      <c r="B4" s="113">
        <v>202383.81</v>
      </c>
      <c r="C4" s="114">
        <v>102360</v>
      </c>
      <c r="D4" s="113"/>
      <c r="E4" s="114"/>
      <c r="F4" s="113"/>
      <c r="G4" s="114">
        <v>235100</v>
      </c>
      <c r="H4" s="113">
        <v>202383.81</v>
      </c>
      <c r="I4" s="135">
        <v>337460</v>
      </c>
      <c r="K4" s="138"/>
      <c r="L4" s="163" t="s">
        <v>47</v>
      </c>
      <c r="M4" s="164"/>
      <c r="N4" s="159"/>
    </row>
    <row r="5" spans="1:14">
      <c r="A5" s="123" t="s">
        <v>156</v>
      </c>
      <c r="B5" s="116"/>
      <c r="C5" s="117"/>
      <c r="D5" s="116"/>
      <c r="E5" s="117">
        <v>17150</v>
      </c>
      <c r="F5" s="116"/>
      <c r="G5" s="117"/>
      <c r="H5" s="116"/>
      <c r="I5" s="136">
        <v>17150</v>
      </c>
      <c r="K5" s="108" t="s">
        <v>64</v>
      </c>
      <c r="L5" s="109" t="s">
        <v>173</v>
      </c>
      <c r="M5" s="110" t="s">
        <v>174</v>
      </c>
      <c r="N5" s="160" t="s">
        <v>175</v>
      </c>
    </row>
    <row r="6" spans="1:14">
      <c r="A6" s="124" t="s">
        <v>65</v>
      </c>
      <c r="B6" s="128">
        <v>202383.81</v>
      </c>
      <c r="C6" s="129">
        <v>102360</v>
      </c>
      <c r="D6" s="128"/>
      <c r="E6" s="129">
        <v>17150</v>
      </c>
      <c r="F6" s="128"/>
      <c r="G6" s="129">
        <v>235100</v>
      </c>
      <c r="H6" s="128">
        <v>202383.81</v>
      </c>
      <c r="I6" s="137">
        <v>354610</v>
      </c>
      <c r="K6" s="112">
        <v>42728</v>
      </c>
      <c r="L6" s="113"/>
      <c r="M6" s="114">
        <v>-502713.33</v>
      </c>
      <c r="N6" s="160">
        <v>0</v>
      </c>
    </row>
    <row r="7" spans="1:14">
      <c r="K7" s="115">
        <v>42763</v>
      </c>
      <c r="L7" s="116"/>
      <c r="M7" s="117">
        <v>-497093.33</v>
      </c>
      <c r="N7" s="161">
        <v>0</v>
      </c>
    </row>
    <row r="8" spans="1:14">
      <c r="K8" s="115">
        <v>42793</v>
      </c>
      <c r="L8" s="116"/>
      <c r="M8" s="117">
        <v>-491473.33</v>
      </c>
      <c r="N8" s="161">
        <v>0</v>
      </c>
    </row>
    <row r="9" spans="1:14">
      <c r="K9" s="115">
        <v>42821</v>
      </c>
      <c r="L9" s="116"/>
      <c r="M9" s="117">
        <v>-485473.33</v>
      </c>
      <c r="N9" s="161">
        <v>0</v>
      </c>
    </row>
    <row r="10" spans="1:14">
      <c r="K10" s="115">
        <v>42851</v>
      </c>
      <c r="L10" s="116"/>
      <c r="M10" s="117">
        <v>-478473.33</v>
      </c>
      <c r="N10" s="161">
        <v>0</v>
      </c>
    </row>
    <row r="11" spans="1:14">
      <c r="K11" s="115">
        <v>42881</v>
      </c>
      <c r="L11" s="116"/>
      <c r="M11" s="117">
        <v>-472473.33</v>
      </c>
      <c r="N11" s="161">
        <v>0</v>
      </c>
    </row>
    <row r="12" spans="1:14">
      <c r="K12" s="115">
        <v>42886</v>
      </c>
      <c r="L12" s="116">
        <v>14964.99</v>
      </c>
      <c r="M12" s="117">
        <v>-487438.32</v>
      </c>
      <c r="N12" s="161">
        <v>3.070129980753257E-2</v>
      </c>
    </row>
    <row r="13" spans="1:14">
      <c r="K13" s="115">
        <v>42913</v>
      </c>
      <c r="L13" s="116"/>
      <c r="M13" s="117">
        <v>-481438.32</v>
      </c>
      <c r="N13" s="161">
        <v>0</v>
      </c>
    </row>
    <row r="14" spans="1:14">
      <c r="K14" s="115">
        <v>42943</v>
      </c>
      <c r="L14" s="116"/>
      <c r="M14" s="117">
        <v>-475438.32</v>
      </c>
      <c r="N14" s="161">
        <v>0</v>
      </c>
    </row>
    <row r="15" spans="1:14">
      <c r="K15" s="115">
        <v>42968</v>
      </c>
      <c r="L15" s="116">
        <v>4667.6499999999996</v>
      </c>
      <c r="M15" s="117">
        <v>-480105.97000000003</v>
      </c>
      <c r="N15" s="161">
        <v>9.7221244718119198E-3</v>
      </c>
    </row>
    <row r="16" spans="1:14">
      <c r="K16" s="115">
        <v>42972</v>
      </c>
      <c r="L16" s="116"/>
      <c r="M16" s="117">
        <v>-474105.97000000003</v>
      </c>
      <c r="N16" s="161">
        <v>0</v>
      </c>
    </row>
    <row r="17" spans="11:14">
      <c r="K17" s="115">
        <v>43005</v>
      </c>
      <c r="L17" s="116"/>
      <c r="M17" s="117">
        <v>-468105.97000000003</v>
      </c>
      <c r="N17" s="161">
        <v>0</v>
      </c>
    </row>
    <row r="18" spans="11:14">
      <c r="K18" s="115">
        <v>43035</v>
      </c>
      <c r="L18" s="116"/>
      <c r="M18" s="117">
        <v>-462105.97000000003</v>
      </c>
      <c r="N18" s="161">
        <v>0</v>
      </c>
    </row>
    <row r="19" spans="11:14">
      <c r="K19" s="115">
        <v>43060</v>
      </c>
      <c r="L19" s="116">
        <v>12925.03</v>
      </c>
      <c r="M19" s="117">
        <v>-475031.00000000006</v>
      </c>
      <c r="N19" s="161">
        <v>2.7208813740576928E-2</v>
      </c>
    </row>
    <row r="20" spans="11:14">
      <c r="K20" s="115">
        <v>43081</v>
      </c>
      <c r="L20" s="116"/>
      <c r="M20" s="117">
        <v>-465031.00000000006</v>
      </c>
      <c r="N20" s="161">
        <v>0</v>
      </c>
    </row>
    <row r="21" spans="11:14">
      <c r="K21" s="115">
        <v>43090</v>
      </c>
      <c r="L21" s="116"/>
      <c r="M21" s="117">
        <v>-462531.00000000006</v>
      </c>
      <c r="N21" s="161">
        <v>0</v>
      </c>
    </row>
    <row r="22" spans="11:14">
      <c r="K22" s="115">
        <v>43126</v>
      </c>
      <c r="L22" s="116"/>
      <c r="M22" s="117">
        <v>-456531.00000000006</v>
      </c>
      <c r="N22" s="161">
        <v>0</v>
      </c>
    </row>
    <row r="23" spans="11:14">
      <c r="K23" s="115">
        <v>43146</v>
      </c>
      <c r="L23" s="116">
        <v>12224.8</v>
      </c>
      <c r="M23" s="117">
        <v>-468755.80000000005</v>
      </c>
      <c r="N23" s="161">
        <v>2.6079250646072003E-2</v>
      </c>
    </row>
    <row r="24" spans="11:14">
      <c r="K24" s="115">
        <v>43158</v>
      </c>
      <c r="L24" s="116"/>
      <c r="M24" s="117">
        <v>-462755.80000000005</v>
      </c>
      <c r="N24" s="161">
        <v>0</v>
      </c>
    </row>
    <row r="25" spans="11:14">
      <c r="K25" s="115">
        <v>43186</v>
      </c>
      <c r="L25" s="116"/>
      <c r="M25" s="117">
        <v>-456755.80000000005</v>
      </c>
      <c r="N25" s="161">
        <v>0</v>
      </c>
    </row>
    <row r="26" spans="11:14">
      <c r="K26" s="115">
        <v>43216</v>
      </c>
      <c r="L26" s="116"/>
      <c r="M26" s="117">
        <v>-450755.80000000005</v>
      </c>
      <c r="N26" s="161">
        <v>0</v>
      </c>
    </row>
    <row r="27" spans="11:14">
      <c r="K27" s="115">
        <v>43241</v>
      </c>
      <c r="L27" s="116">
        <v>6801.4</v>
      </c>
      <c r="M27" s="117">
        <v>-457557.20000000007</v>
      </c>
      <c r="N27" s="161">
        <v>1.4864589607594413E-2</v>
      </c>
    </row>
    <row r="28" spans="11:14">
      <c r="K28" s="115">
        <v>43333</v>
      </c>
      <c r="L28" s="116">
        <v>12430.8</v>
      </c>
      <c r="M28" s="117">
        <v>-451988.00000000006</v>
      </c>
      <c r="N28" s="161">
        <v>2.7502500066373437E-2</v>
      </c>
    </row>
    <row r="29" spans="11:14">
      <c r="K29" s="115">
        <v>43419</v>
      </c>
      <c r="L29" s="116">
        <v>12768.4</v>
      </c>
      <c r="M29" s="117">
        <v>-446756.40000000008</v>
      </c>
      <c r="N29" s="161">
        <v>2.8580228509317376E-2</v>
      </c>
    </row>
    <row r="30" spans="11:14">
      <c r="K30" s="115">
        <v>43517</v>
      </c>
      <c r="L30" s="116">
        <v>20798.3</v>
      </c>
      <c r="M30" s="117">
        <v>-430554.70000000007</v>
      </c>
      <c r="N30" s="161">
        <v>4.8305825020607131E-2</v>
      </c>
    </row>
    <row r="31" spans="11:14">
      <c r="K31" s="115">
        <v>43606</v>
      </c>
      <c r="L31" s="116">
        <v>11459.6</v>
      </c>
      <c r="M31" s="117">
        <v>-421014.30000000005</v>
      </c>
      <c r="N31" s="161">
        <v>2.72190279522572E-2</v>
      </c>
    </row>
    <row r="32" spans="11:14">
      <c r="K32" s="115">
        <v>43698</v>
      </c>
      <c r="L32" s="116">
        <v>16789.310000000001</v>
      </c>
      <c r="M32" s="117">
        <v>-413803.61000000004</v>
      </c>
      <c r="N32" s="161">
        <v>4.057313564760829E-2</v>
      </c>
    </row>
    <row r="33" spans="11:14">
      <c r="K33" s="115">
        <v>43882</v>
      </c>
      <c r="L33" s="116">
        <v>63148.083333333001</v>
      </c>
      <c r="M33" s="117">
        <v>-399851.69333333307</v>
      </c>
      <c r="N33" s="161">
        <v>0.15792876305438108</v>
      </c>
    </row>
    <row r="34" spans="11:14">
      <c r="K34" s="118">
        <v>44064</v>
      </c>
      <c r="L34" s="119">
        <v>13405.446666667005</v>
      </c>
      <c r="M34" s="120">
        <v>-378257.14000000007</v>
      </c>
      <c r="N34" s="162">
        <v>3.5440036020647228E-2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94EB4-5C3F-EC44-B5D3-589CE9270138}">
  <sheetPr>
    <tabColor theme="0"/>
  </sheetPr>
  <dimension ref="A1:Z35"/>
  <sheetViews>
    <sheetView workbookViewId="0">
      <selection activeCell="B2" sqref="B2"/>
    </sheetView>
  </sheetViews>
  <sheetFormatPr baseColWidth="10" defaultRowHeight="16"/>
  <sheetData>
    <row r="1" spans="1:26">
      <c r="A1" t="s">
        <v>5</v>
      </c>
      <c r="B1">
        <v>37</v>
      </c>
      <c r="C1">
        <v>36</v>
      </c>
      <c r="D1">
        <v>35</v>
      </c>
      <c r="E1">
        <v>25</v>
      </c>
      <c r="F1">
        <v>24</v>
      </c>
      <c r="G1">
        <v>23</v>
      </c>
      <c r="H1">
        <v>13</v>
      </c>
      <c r="I1">
        <v>12</v>
      </c>
      <c r="J1">
        <v>11</v>
      </c>
      <c r="K1">
        <v>10</v>
      </c>
      <c r="L1">
        <v>9</v>
      </c>
      <c r="M1">
        <v>8</v>
      </c>
      <c r="N1">
        <v>7</v>
      </c>
      <c r="O1">
        <v>6</v>
      </c>
      <c r="P1">
        <v>5</v>
      </c>
      <c r="Q1">
        <v>4</v>
      </c>
      <c r="R1">
        <v>3</v>
      </c>
      <c r="S1">
        <v>2</v>
      </c>
      <c r="T1">
        <v>1</v>
      </c>
    </row>
    <row r="2" spans="1:26">
      <c r="B2">
        <f t="shared" ref="B2:T2" ca="1" si="0">DATE(IF(MONTH(TODAY()) &lt; 1, YEAR(TODAY()) -B1, YEAR(TODAY())),IF(MONTH(TODAY()) &lt; 1, 12 + (MONTH(TODAY()) - B1), MONTH(TODAY()) - B1),1)</f>
        <v>43009</v>
      </c>
      <c r="C2">
        <f t="shared" ca="1" si="0"/>
        <v>43040</v>
      </c>
      <c r="D2">
        <f t="shared" ca="1" si="0"/>
        <v>43070</v>
      </c>
      <c r="E2">
        <f t="shared" ca="1" si="0"/>
        <v>43374</v>
      </c>
      <c r="F2">
        <f t="shared" ca="1" si="0"/>
        <v>43405</v>
      </c>
      <c r="G2">
        <f t="shared" ca="1" si="0"/>
        <v>43435</v>
      </c>
      <c r="H2">
        <f t="shared" ca="1" si="0"/>
        <v>43739</v>
      </c>
      <c r="I2">
        <f t="shared" ca="1" si="0"/>
        <v>43770</v>
      </c>
      <c r="J2">
        <f t="shared" ca="1" si="0"/>
        <v>43800</v>
      </c>
      <c r="K2">
        <f t="shared" ca="1" si="0"/>
        <v>43831</v>
      </c>
      <c r="L2">
        <f t="shared" ca="1" si="0"/>
        <v>43862</v>
      </c>
      <c r="M2">
        <f t="shared" ca="1" si="0"/>
        <v>43891</v>
      </c>
      <c r="N2">
        <f t="shared" ca="1" si="0"/>
        <v>43922</v>
      </c>
      <c r="O2">
        <f t="shared" ca="1" si="0"/>
        <v>43952</v>
      </c>
      <c r="P2">
        <f t="shared" ca="1" si="0"/>
        <v>43983</v>
      </c>
      <c r="Q2">
        <f t="shared" ca="1" si="0"/>
        <v>44013</v>
      </c>
      <c r="R2">
        <f t="shared" ca="1" si="0"/>
        <v>44044</v>
      </c>
      <c r="S2">
        <f t="shared" ca="1" si="0"/>
        <v>44075</v>
      </c>
      <c r="T2">
        <f t="shared" ca="1" si="0"/>
        <v>44105</v>
      </c>
      <c r="U2">
        <f ca="1">DATE(YEAR(TODAY()),MONTH(TODAY()),1)</f>
        <v>44136</v>
      </c>
      <c r="V2" t="s">
        <v>74</v>
      </c>
      <c r="W2" t="s">
        <v>87</v>
      </c>
      <c r="X2" t="s">
        <v>75</v>
      </c>
      <c r="Y2" t="s">
        <v>91</v>
      </c>
      <c r="Z2" t="s">
        <v>88</v>
      </c>
    </row>
    <row r="3" spans="1:26">
      <c r="A3" t="s">
        <v>34</v>
      </c>
      <c r="B3">
        <f ca="1">SUMIFS('± Transactions'!$K:$K, '± Transactions'!$B:$B,"&gt;=" &amp; (B$2), '± Transactions'!$B:$B,"&lt;" &amp; DATE(YEAR(B$2),MONTH(B$2)+1,1),'± Transactions'!$G:$G,"=" &amp; $A$3)</f>
        <v>0</v>
      </c>
      <c r="C3">
        <f ca="1">SUMIFS('± Transactions'!$K:$K, '± Transactions'!$B:$B,"&gt;=" &amp; (C$2), '± Transactions'!$B:$B,"&lt;" &amp; DATE(YEAR(C$2),MONTH(C$2)+1,1),'± Transactions'!$G:$G,"=" &amp; $A$3)</f>
        <v>0</v>
      </c>
      <c r="D3">
        <f ca="1">SUMIFS('± Transactions'!$K:$K, '± Transactions'!$B:$B,"&gt;=" &amp; (D$2), '± Transactions'!$B:$B,"&lt;" &amp; DATE(YEAR(D$2),MONTH(D$2)+1,1),'± Transactions'!$G:$G,"=" &amp; $A$3)</f>
        <v>0</v>
      </c>
      <c r="E3">
        <f ca="1">SUMIFS('± Transactions'!$K:$K, '± Transactions'!$B:$B,"&gt;=" &amp; (E$2), '± Transactions'!$B:$B,"&lt;" &amp; DATE(YEAR(E$2),MONTH(E$2)+1,1),'± Transactions'!$G:$G,"=" &amp; $A$3)</f>
        <v>0</v>
      </c>
      <c r="F3">
        <f ca="1">SUMIFS('± Transactions'!$K:$K, '± Transactions'!$B:$B,"&gt;=" &amp; (F$2), '± Transactions'!$B:$B,"&lt;" &amp; DATE(YEAR(F$2),MONTH(F$2)+1,1),'± Transactions'!$G:$G,"=" &amp; $A$3)</f>
        <v>0</v>
      </c>
      <c r="G3">
        <f ca="1">SUMIFS('± Transactions'!$K:$K, '± Transactions'!$B:$B,"&gt;=" &amp; (G$2), '± Transactions'!$B:$B,"&lt;" &amp; DATE(YEAR(G$2),MONTH(G$2)+1,1),'± Transactions'!$G:$G,"=" &amp; $A$3)</f>
        <v>0</v>
      </c>
      <c r="H3">
        <f ca="1">SUMIFS('± Transactions'!$K:$K, '± Transactions'!$B:$B,"&gt;=" &amp; (H$2), '± Transactions'!$B:$B,"&lt;" &amp; DATE(YEAR(H$2),MONTH(H$2)+1,1),'± Transactions'!$G:$G,"=" &amp; $A$3)</f>
        <v>0</v>
      </c>
      <c r="I3">
        <f ca="1">SUMIFS('± Transactions'!$K:$K, '± Transactions'!$B:$B,"&gt;=" &amp; (I$2), '± Transactions'!$B:$B,"&lt;" &amp; DATE(YEAR(I$2),MONTH(I$2)+1,1),'± Transactions'!$G:$G,"=" &amp; $A$3)</f>
        <v>0</v>
      </c>
      <c r="J3">
        <f ca="1">SUMIFS('± Transactions'!$K:$K, '± Transactions'!$B:$B,"&gt;=" &amp; (J$2), '± Transactions'!$B:$B,"&lt;" &amp; DATE(YEAR(J$2),MONTH(J$2)+1,1),'± Transactions'!$G:$G,"=" &amp; $A$3)</f>
        <v>0</v>
      </c>
      <c r="K3">
        <f ca="1">SUMIFS('± Transactions'!$K:$K, '± Transactions'!$B:$B,"&gt;=" &amp; (K$2), '± Transactions'!$B:$B,"&lt;" &amp; DATE(YEAR(K$2),MONTH(K$2)+1,1),'± Transactions'!$G:$G,"=" &amp; $A$3)</f>
        <v>0</v>
      </c>
      <c r="L3">
        <f ca="1">SUMIFS('± Transactions'!$K:$K, '± Transactions'!$B:$B,"&gt;=" &amp; (L$2), '± Transactions'!$B:$B,"&lt;" &amp; DATE(YEAR(L$2),MONTH(L$2)+1,1),'± Transactions'!$G:$G,"=" &amp; $A$3)</f>
        <v>0</v>
      </c>
      <c r="M3">
        <f ca="1">SUMIFS('± Transactions'!$K:$K, '± Transactions'!$B:$B,"&gt;=" &amp; (M$2), '± Transactions'!$B:$B,"&lt;" &amp; DATE(YEAR(M$2),MONTH(M$2)+1,1),'± Transactions'!$G:$G,"=" &amp; $A$3)</f>
        <v>0</v>
      </c>
      <c r="N3">
        <f ca="1">SUMIFS('± Transactions'!$K:$K, '± Transactions'!$B:$B,"&gt;=" &amp; (N$2), '± Transactions'!$B:$B,"&lt;" &amp; DATE(YEAR(N$2),MONTH(N$2)+1,1),'± Transactions'!$G:$G,"=" &amp; $A$3)</f>
        <v>0</v>
      </c>
      <c r="O3">
        <f ca="1">SUMIFS('± Transactions'!$K:$K, '± Transactions'!$B:$B,"&gt;=" &amp; (O$2), '± Transactions'!$B:$B,"&lt;" &amp; DATE(YEAR(O$2),MONTH(O$2)+1,1),'± Transactions'!$G:$G,"=" &amp; $A$3)</f>
        <v>0</v>
      </c>
      <c r="P3">
        <f ca="1">SUMIFS('± Transactions'!$K:$K, '± Transactions'!$B:$B,"&gt;=" &amp; (P$2), '± Transactions'!$B:$B,"&lt;" &amp; DATE(YEAR(P$2),MONTH(P$2)+1,1),'± Transactions'!$G:$G,"=" &amp; $A$3)</f>
        <v>0</v>
      </c>
      <c r="Q3">
        <f ca="1">SUMIFS('± Transactions'!$K:$K, '± Transactions'!$B:$B,"&gt;=" &amp; (Q$2), '± Transactions'!$B:$B,"&lt;" &amp; DATE(YEAR(Q$2),MONTH(Q$2)+1,1),'± Transactions'!$G:$G,"=" &amp; $A$3)</f>
        <v>0</v>
      </c>
      <c r="R3">
        <f ca="1">SUMIFS('± Transactions'!$K:$K, '± Transactions'!$B:$B,"&gt;=" &amp; (R$2), '± Transactions'!$B:$B,"&lt;" &amp; DATE(YEAR(R$2),MONTH(R$2)+1,1),'± Transactions'!$G:$G,"=" &amp; $A$3)</f>
        <v>0</v>
      </c>
      <c r="S3">
        <f ca="1">SUMIFS('± Transactions'!$K:$K, '± Transactions'!$B:$B,"&gt;=" &amp; (S$2), '± Transactions'!$B:$B,"&lt;" &amp; DATE(YEAR(S$2),MONTH(S$2)+1,1),'± Transactions'!$G:$G,"=" &amp; $A$3)</f>
        <v>0</v>
      </c>
      <c r="T3">
        <f ca="1">SUMIFS('± Transactions'!$K:$K, '± Transactions'!$B:$B,"&gt;=" &amp; (T$2), '± Transactions'!$B:$B,"&lt;" &amp; DATE(YEAR(T$2),MONTH(T$2)+1,1),'± Transactions'!$G:$G,"=" &amp; $A$3)</f>
        <v>0</v>
      </c>
      <c r="U3">
        <f ca="1">SUMIFS('± Transactions'!$K:$K, '± Transactions'!$B:$B,"&gt;=" &amp; (U$2), '± Transactions'!$B:$B,"&lt;" &amp; DATE(YEAR(U$2),MONTH(U$2)+1,1),'± Transactions'!$G:$G,"=" &amp; $A$3)</f>
        <v>0</v>
      </c>
      <c r="V3">
        <f t="shared" ref="V3:V35" ca="1" si="1">SUM(R3:T3)/3</f>
        <v>0</v>
      </c>
      <c r="W3">
        <f t="shared" ref="W3:W35" ca="1" si="2">SUM(O3:T3)/6</f>
        <v>0</v>
      </c>
      <c r="X3">
        <f t="shared" ref="X3:X35" ca="1" si="3">SUM(I3:T3)/12</f>
        <v>0</v>
      </c>
      <c r="Y3">
        <f t="shared" ref="Y3:Y35" ca="1" si="4">IFERROR(AVERAGE((V3-W3)/V3,(X3-W3)/X3,(T3-S3)/T3),0)</f>
        <v>0</v>
      </c>
    </row>
    <row r="4" spans="1:26">
      <c r="A4" t="s">
        <v>58</v>
      </c>
      <c r="B4">
        <f ca="1">SUMIFS('± Transactions'!$K:$K, '± Transactions'!$B:$B,"&gt;=" &amp; (B$2), '± Transactions'!$B:$B,"&lt;" &amp; DATE(YEAR(B$2),MONTH(B$2)+1,1),'± Transactions'!$H:$H,"=" &amp; $A$4)</f>
        <v>0</v>
      </c>
      <c r="C4">
        <f ca="1">SUMIFS('± Transactions'!$K:$K, '± Transactions'!$B:$B,"&gt;=" &amp; (C$2), '± Transactions'!$B:$B,"&lt;" &amp; DATE(YEAR(C$2),MONTH(C$2)+1,1),'± Transactions'!$H:$H,"=" &amp; $A$4)</f>
        <v>0</v>
      </c>
      <c r="D4">
        <f ca="1">SUMIFS('± Transactions'!$K:$K, '± Transactions'!$B:$B,"&gt;=" &amp; (D$2), '± Transactions'!$B:$B,"&lt;" &amp; DATE(YEAR(D$2),MONTH(D$2)+1,1),'± Transactions'!$H:$H,"=" &amp; $A$4)</f>
        <v>0</v>
      </c>
      <c r="E4">
        <f ca="1">SUMIFS('± Transactions'!$K:$K, '± Transactions'!$B:$B,"&gt;=" &amp; (E$2), '± Transactions'!$B:$B,"&lt;" &amp; DATE(YEAR(E$2),MONTH(E$2)+1,1),'± Transactions'!$H:$H,"=" &amp; $A$4)</f>
        <v>0</v>
      </c>
      <c r="F4">
        <f ca="1">SUMIFS('± Transactions'!$K:$K, '± Transactions'!$B:$B,"&gt;=" &amp; (F$2), '± Transactions'!$B:$B,"&lt;" &amp; DATE(YEAR(F$2),MONTH(F$2)+1,1),'± Transactions'!$H:$H,"=" &amp; $A$4)</f>
        <v>0</v>
      </c>
      <c r="G4">
        <f ca="1">SUMIFS('± Transactions'!$K:$K, '± Transactions'!$B:$B,"&gt;=" &amp; (G$2), '± Transactions'!$B:$B,"&lt;" &amp; DATE(YEAR(G$2),MONTH(G$2)+1,1),'± Transactions'!$H:$H,"=" &amp; $A$4)</f>
        <v>0</v>
      </c>
      <c r="H4">
        <f ca="1">SUMIFS('± Transactions'!$K:$K, '± Transactions'!$B:$B,"&gt;=" &amp; (H$2), '± Transactions'!$B:$B,"&lt;" &amp; DATE(YEAR(H$2),MONTH(H$2)+1,1),'± Transactions'!$H:$H,"=" &amp; $A$4)</f>
        <v>0</v>
      </c>
      <c r="I4">
        <f ca="1">SUMIFS('± Transactions'!$K:$K, '± Transactions'!$B:$B,"&gt;=" &amp; (I$2), '± Transactions'!$B:$B,"&lt;" &amp; DATE(YEAR(I$2),MONTH(I$2)+1,1),'± Transactions'!$H:$H,"=" &amp; $A$4)</f>
        <v>0</v>
      </c>
      <c r="J4">
        <f ca="1">SUMIFS('± Transactions'!$K:$K, '± Transactions'!$B:$B,"&gt;=" &amp; (J$2), '± Transactions'!$B:$B,"&lt;" &amp; DATE(YEAR(J$2),MONTH(J$2)+1,1),'± Transactions'!$H:$H,"=" &amp; $A$4)</f>
        <v>0</v>
      </c>
      <c r="K4">
        <f ca="1">SUMIFS('± Transactions'!$K:$K, '± Transactions'!$B:$B,"&gt;=" &amp; (K$2), '± Transactions'!$B:$B,"&lt;" &amp; DATE(YEAR(K$2),MONTH(K$2)+1,1),'± Transactions'!$H:$H,"=" &amp; $A$4)</f>
        <v>0</v>
      </c>
      <c r="L4">
        <f ca="1">SUMIFS('± Transactions'!$K:$K, '± Transactions'!$B:$B,"&gt;=" &amp; (L$2), '± Transactions'!$B:$B,"&lt;" &amp; DATE(YEAR(L$2),MONTH(L$2)+1,1),'± Transactions'!$H:$H,"=" &amp; $A$4)</f>
        <v>0</v>
      </c>
      <c r="M4">
        <f ca="1">SUMIFS('± Transactions'!$K:$K, '± Transactions'!$B:$B,"&gt;=" &amp; (M$2), '± Transactions'!$B:$B,"&lt;" &amp; DATE(YEAR(M$2),MONTH(M$2)+1,1),'± Transactions'!$H:$H,"=" &amp; $A$4)</f>
        <v>0</v>
      </c>
      <c r="N4">
        <f ca="1">SUMIFS('± Transactions'!$K:$K, '± Transactions'!$B:$B,"&gt;=" &amp; (N$2), '± Transactions'!$B:$B,"&lt;" &amp; DATE(YEAR(N$2),MONTH(N$2)+1,1),'± Transactions'!$H:$H,"=" &amp; $A$4)</f>
        <v>0</v>
      </c>
      <c r="O4">
        <f ca="1">SUMIFS('± Transactions'!$K:$K, '± Transactions'!$B:$B,"&gt;=" &amp; (O$2), '± Transactions'!$B:$B,"&lt;" &amp; DATE(YEAR(O$2),MONTH(O$2)+1,1),'± Transactions'!$H:$H,"=" &amp; $A$4)</f>
        <v>0</v>
      </c>
      <c r="P4">
        <f ca="1">SUMIFS('± Transactions'!$K:$K, '± Transactions'!$B:$B,"&gt;=" &amp; (P$2), '± Transactions'!$B:$B,"&lt;" &amp; DATE(YEAR(P$2),MONTH(P$2)+1,1),'± Transactions'!$H:$H,"=" &amp; $A$4)</f>
        <v>0</v>
      </c>
      <c r="Q4">
        <f ca="1">SUMIFS('± Transactions'!$K:$K, '± Transactions'!$B:$B,"&gt;=" &amp; (Q$2), '± Transactions'!$B:$B,"&lt;" &amp; DATE(YEAR(Q$2),MONTH(Q$2)+1,1),'± Transactions'!$H:$H,"=" &amp; $A$4)</f>
        <v>0</v>
      </c>
      <c r="R4">
        <f ca="1">SUMIFS('± Transactions'!$K:$K, '± Transactions'!$B:$B,"&gt;=" &amp; (R$2), '± Transactions'!$B:$B,"&lt;" &amp; DATE(YEAR(R$2),MONTH(R$2)+1,1),'± Transactions'!$H:$H,"=" &amp; $A$4)</f>
        <v>0</v>
      </c>
      <c r="S4">
        <f ca="1">SUMIFS('± Transactions'!$K:$K, '± Transactions'!$B:$B,"&gt;=" &amp; (S$2), '± Transactions'!$B:$B,"&lt;" &amp; DATE(YEAR(S$2),MONTH(S$2)+1,1),'± Transactions'!$H:$H,"=" &amp; $A$4)</f>
        <v>0</v>
      </c>
      <c r="T4">
        <f ca="1">SUMIFS('± Transactions'!$K:$K, '± Transactions'!$B:$B,"&gt;=" &amp; (T$2), '± Transactions'!$B:$B,"&lt;" &amp; DATE(YEAR(T$2),MONTH(T$2)+1,1),'± Transactions'!$H:$H,"=" &amp; $A$4)</f>
        <v>0</v>
      </c>
      <c r="U4">
        <f ca="1">SUMIFS('± Transactions'!$K:$K, '± Transactions'!$B:$B,"&gt;=" &amp; (U$2), '± Transactions'!$B:$B,"&lt;" &amp; DATE(YEAR(U$2),MONTH(U$2)+1,1),'± Transactions'!$H:$H,"=" &amp; $A$4)</f>
        <v>0</v>
      </c>
      <c r="V4">
        <f t="shared" ca="1" si="1"/>
        <v>0</v>
      </c>
      <c r="W4">
        <f t="shared" ca="1" si="2"/>
        <v>0</v>
      </c>
      <c r="X4">
        <f t="shared" ca="1" si="3"/>
        <v>0</v>
      </c>
      <c r="Y4">
        <f t="shared" ca="1" si="4"/>
        <v>0</v>
      </c>
    </row>
    <row r="5" spans="1:26">
      <c r="A5" t="s">
        <v>59</v>
      </c>
      <c r="B5">
        <f ca="1">SUMIFS('± Transactions'!$K:$K, '± Transactions'!$B:$B,"&gt;=" &amp; (B$2), '± Transactions'!$B:$B,"&lt;" &amp; DATE(YEAR(B$2),MONTH(B$2)+1,1),'± Transactions'!$H:$H,"=" &amp; $A$5)</f>
        <v>0</v>
      </c>
      <c r="C5">
        <f ca="1">SUMIFS('± Transactions'!$K:$K, '± Transactions'!$B:$B,"&gt;=" &amp; (C$2), '± Transactions'!$B:$B,"&lt;" &amp; DATE(YEAR(C$2),MONTH(C$2)+1,1),'± Transactions'!$H:$H,"=" &amp; $A$5)</f>
        <v>0</v>
      </c>
      <c r="D5">
        <f ca="1">SUMIFS('± Transactions'!$K:$K, '± Transactions'!$B:$B,"&gt;=" &amp; (D$2), '± Transactions'!$B:$B,"&lt;" &amp; DATE(YEAR(D$2),MONTH(D$2)+1,1),'± Transactions'!$H:$H,"=" &amp; $A$5)</f>
        <v>0</v>
      </c>
      <c r="E5">
        <f ca="1">SUMIFS('± Transactions'!$K:$K, '± Transactions'!$B:$B,"&gt;=" &amp; (E$2), '± Transactions'!$B:$B,"&lt;" &amp; DATE(YEAR(E$2),MONTH(E$2)+1,1),'± Transactions'!$H:$H,"=" &amp; $A$5)</f>
        <v>0</v>
      </c>
      <c r="F5">
        <f ca="1">SUMIFS('± Transactions'!$K:$K, '± Transactions'!$B:$B,"&gt;=" &amp; (F$2), '± Transactions'!$B:$B,"&lt;" &amp; DATE(YEAR(F$2),MONTH(F$2)+1,1),'± Transactions'!$H:$H,"=" &amp; $A$5)</f>
        <v>0</v>
      </c>
      <c r="G5">
        <f ca="1">SUMIFS('± Transactions'!$K:$K, '± Transactions'!$B:$B,"&gt;=" &amp; (G$2), '± Transactions'!$B:$B,"&lt;" &amp; DATE(YEAR(G$2),MONTH(G$2)+1,1),'± Transactions'!$H:$H,"=" &amp; $A$5)</f>
        <v>0</v>
      </c>
      <c r="H5">
        <f ca="1">SUMIFS('± Transactions'!$K:$K, '± Transactions'!$B:$B,"&gt;=" &amp; (H$2), '± Transactions'!$B:$B,"&lt;" &amp; DATE(YEAR(H$2),MONTH(H$2)+1,1),'± Transactions'!$H:$H,"=" &amp; $A$5)</f>
        <v>0</v>
      </c>
      <c r="I5">
        <f ca="1">SUMIFS('± Transactions'!$K:$K, '± Transactions'!$B:$B,"&gt;=" &amp; (I$2), '± Transactions'!$B:$B,"&lt;" &amp; DATE(YEAR(I$2),MONTH(I$2)+1,1),'± Transactions'!$H:$H,"=" &amp; $A$5)</f>
        <v>0</v>
      </c>
      <c r="J5">
        <f ca="1">SUMIFS('± Transactions'!$K:$K, '± Transactions'!$B:$B,"&gt;=" &amp; (J$2), '± Transactions'!$B:$B,"&lt;" &amp; DATE(YEAR(J$2),MONTH(J$2)+1,1),'± Transactions'!$H:$H,"=" &amp; $A$5)</f>
        <v>0</v>
      </c>
      <c r="K5">
        <f ca="1">SUMIFS('± Transactions'!$K:$K, '± Transactions'!$B:$B,"&gt;=" &amp; (K$2), '± Transactions'!$B:$B,"&lt;" &amp; DATE(YEAR(K$2),MONTH(K$2)+1,1),'± Transactions'!$H:$H,"=" &amp; $A$5)</f>
        <v>0</v>
      </c>
      <c r="L5">
        <f ca="1">SUMIFS('± Transactions'!$K:$K, '± Transactions'!$B:$B,"&gt;=" &amp; (L$2), '± Transactions'!$B:$B,"&lt;" &amp; DATE(YEAR(L$2),MONTH(L$2)+1,1),'± Transactions'!$H:$H,"=" &amp; $A$5)</f>
        <v>0</v>
      </c>
      <c r="M5">
        <f ca="1">SUMIFS('± Transactions'!$K:$K, '± Transactions'!$B:$B,"&gt;=" &amp; (M$2), '± Transactions'!$B:$B,"&lt;" &amp; DATE(YEAR(M$2),MONTH(M$2)+1,1),'± Transactions'!$H:$H,"=" &amp; $A$5)</f>
        <v>0</v>
      </c>
      <c r="N5">
        <f ca="1">SUMIFS('± Transactions'!$K:$K, '± Transactions'!$B:$B,"&gt;=" &amp; (N$2), '± Transactions'!$B:$B,"&lt;" &amp; DATE(YEAR(N$2),MONTH(N$2)+1,1),'± Transactions'!$H:$H,"=" &amp; $A$5)</f>
        <v>0</v>
      </c>
      <c r="O5">
        <f ca="1">SUMIFS('± Transactions'!$K:$K, '± Transactions'!$B:$B,"&gt;=" &amp; (O$2), '± Transactions'!$B:$B,"&lt;" &amp; DATE(YEAR(O$2),MONTH(O$2)+1,1),'± Transactions'!$H:$H,"=" &amp; $A$5)</f>
        <v>0</v>
      </c>
      <c r="P5">
        <f ca="1">SUMIFS('± Transactions'!$K:$K, '± Transactions'!$B:$B,"&gt;=" &amp; (P$2), '± Transactions'!$B:$B,"&lt;" &amp; DATE(YEAR(P$2),MONTH(P$2)+1,1),'± Transactions'!$H:$H,"=" &amp; $A$5)</f>
        <v>0</v>
      </c>
      <c r="Q5">
        <f ca="1">SUMIFS('± Transactions'!$K:$K, '± Transactions'!$B:$B,"&gt;=" &amp; (Q$2), '± Transactions'!$B:$B,"&lt;" &amp; DATE(YEAR(Q$2),MONTH(Q$2)+1,1),'± Transactions'!$H:$H,"=" &amp; $A$5)</f>
        <v>0</v>
      </c>
      <c r="R5">
        <f ca="1">SUMIFS('± Transactions'!$K:$K, '± Transactions'!$B:$B,"&gt;=" &amp; (R$2), '± Transactions'!$B:$B,"&lt;" &amp; DATE(YEAR(R$2),MONTH(R$2)+1,1),'± Transactions'!$H:$H,"=" &amp; $A$5)</f>
        <v>0</v>
      </c>
      <c r="S5">
        <f ca="1">SUMIFS('± Transactions'!$K:$K, '± Transactions'!$B:$B,"&gt;=" &amp; (S$2), '± Transactions'!$B:$B,"&lt;" &amp; DATE(YEAR(S$2),MONTH(S$2)+1,1),'± Transactions'!$H:$H,"=" &amp; $A$5)</f>
        <v>0</v>
      </c>
      <c r="T5">
        <f ca="1">SUMIFS('± Transactions'!$K:$K, '± Transactions'!$B:$B,"&gt;=" &amp; (T$2), '± Transactions'!$B:$B,"&lt;" &amp; DATE(YEAR(T$2),MONTH(T$2)+1,1),'± Transactions'!$H:$H,"=" &amp; $A$5)</f>
        <v>0</v>
      </c>
      <c r="U5">
        <f ca="1">SUMIFS('± Transactions'!$K:$K, '± Transactions'!$B:$B,"&gt;=" &amp; (U$2), '± Transactions'!$B:$B,"&lt;" &amp; DATE(YEAR(U$2),MONTH(U$2)+1,1),'± Transactions'!$H:$H,"=" &amp; $A$5)</f>
        <v>0</v>
      </c>
      <c r="V5">
        <f t="shared" ca="1" si="1"/>
        <v>0</v>
      </c>
      <c r="W5">
        <f t="shared" ca="1" si="2"/>
        <v>0</v>
      </c>
      <c r="X5">
        <f t="shared" ca="1" si="3"/>
        <v>0</v>
      </c>
      <c r="Y5">
        <f t="shared" ca="1" si="4"/>
        <v>0</v>
      </c>
    </row>
    <row r="6" spans="1:26">
      <c r="A6" t="s">
        <v>57</v>
      </c>
      <c r="B6">
        <f ca="1">SUMIFS('± Transactions'!$K:$K, '± Transactions'!$B:$B,"&gt;=" &amp; (B$2), '± Transactions'!$B:$B,"&lt;" &amp; DATE(YEAR(B$2),MONTH(B$2)+1,1),'± Transactions'!$H:$H,"=" &amp; $A$6)</f>
        <v>0</v>
      </c>
      <c r="C6">
        <f ca="1">SUMIFS('± Transactions'!$K:$K, '± Transactions'!$B:$B,"&gt;=" &amp; (C$2), '± Transactions'!$B:$B,"&lt;" &amp; DATE(YEAR(C$2),MONTH(C$2)+1,1),'± Transactions'!$H:$H,"=" &amp; $A$6)</f>
        <v>0</v>
      </c>
      <c r="D6">
        <f ca="1">SUMIFS('± Transactions'!$K:$K, '± Transactions'!$B:$B,"&gt;=" &amp; (D$2), '± Transactions'!$B:$B,"&lt;" &amp; DATE(YEAR(D$2),MONTH(D$2)+1,1),'± Transactions'!$H:$H,"=" &amp; $A$6)</f>
        <v>0</v>
      </c>
      <c r="E6">
        <f ca="1">SUMIFS('± Transactions'!$K:$K, '± Transactions'!$B:$B,"&gt;=" &amp; (E$2), '± Transactions'!$B:$B,"&lt;" &amp; DATE(YEAR(E$2),MONTH(E$2)+1,1),'± Transactions'!$H:$H,"=" &amp; $A$6)</f>
        <v>0</v>
      </c>
      <c r="F6">
        <f ca="1">SUMIFS('± Transactions'!$K:$K, '± Transactions'!$B:$B,"&gt;=" &amp; (F$2), '± Transactions'!$B:$B,"&lt;" &amp; DATE(YEAR(F$2),MONTH(F$2)+1,1),'± Transactions'!$H:$H,"=" &amp; $A$6)</f>
        <v>0</v>
      </c>
      <c r="G6">
        <f ca="1">SUMIFS('± Transactions'!$K:$K, '± Transactions'!$B:$B,"&gt;=" &amp; (G$2), '± Transactions'!$B:$B,"&lt;" &amp; DATE(YEAR(G$2),MONTH(G$2)+1,1),'± Transactions'!$H:$H,"=" &amp; $A$6)</f>
        <v>0</v>
      </c>
      <c r="H6">
        <f ca="1">SUMIFS('± Transactions'!$K:$K, '± Transactions'!$B:$B,"&gt;=" &amp; (H$2), '± Transactions'!$B:$B,"&lt;" &amp; DATE(YEAR(H$2),MONTH(H$2)+1,1),'± Transactions'!$H:$H,"=" &amp; $A$6)</f>
        <v>0</v>
      </c>
      <c r="I6">
        <f ca="1">SUMIFS('± Transactions'!$K:$K, '± Transactions'!$B:$B,"&gt;=" &amp; (I$2), '± Transactions'!$B:$B,"&lt;" &amp; DATE(YEAR(I$2),MONTH(I$2)+1,1),'± Transactions'!$H:$H,"=" &amp; $A$6)</f>
        <v>0</v>
      </c>
      <c r="J6">
        <f ca="1">SUMIFS('± Transactions'!$K:$K, '± Transactions'!$B:$B,"&gt;=" &amp; (J$2), '± Transactions'!$B:$B,"&lt;" &amp; DATE(YEAR(J$2),MONTH(J$2)+1,1),'± Transactions'!$H:$H,"=" &amp; $A$6)</f>
        <v>0</v>
      </c>
      <c r="K6">
        <f ca="1">SUMIFS('± Transactions'!$K:$K, '± Transactions'!$B:$B,"&gt;=" &amp; (K$2), '± Transactions'!$B:$B,"&lt;" &amp; DATE(YEAR(K$2),MONTH(K$2)+1,1),'± Transactions'!$H:$H,"=" &amp; $A$6)</f>
        <v>0</v>
      </c>
      <c r="L6">
        <f ca="1">SUMIFS('± Transactions'!$K:$K, '± Transactions'!$B:$B,"&gt;=" &amp; (L$2), '± Transactions'!$B:$B,"&lt;" &amp; DATE(YEAR(L$2),MONTH(L$2)+1,1),'± Transactions'!$H:$H,"=" &amp; $A$6)</f>
        <v>0</v>
      </c>
      <c r="M6">
        <f ca="1">SUMIFS('± Transactions'!$K:$K, '± Transactions'!$B:$B,"&gt;=" &amp; (M$2), '± Transactions'!$B:$B,"&lt;" &amp; DATE(YEAR(M$2),MONTH(M$2)+1,1),'± Transactions'!$H:$H,"=" &amp; $A$6)</f>
        <v>0</v>
      </c>
      <c r="N6">
        <f ca="1">SUMIFS('± Transactions'!$K:$K, '± Transactions'!$B:$B,"&gt;=" &amp; (N$2), '± Transactions'!$B:$B,"&lt;" &amp; DATE(YEAR(N$2),MONTH(N$2)+1,1),'± Transactions'!$H:$H,"=" &amp; $A$6)</f>
        <v>0</v>
      </c>
      <c r="O6">
        <f ca="1">SUMIFS('± Transactions'!$K:$K, '± Transactions'!$B:$B,"&gt;=" &amp; (O$2), '± Transactions'!$B:$B,"&lt;" &amp; DATE(YEAR(O$2),MONTH(O$2)+1,1),'± Transactions'!$H:$H,"=" &amp; $A$6)</f>
        <v>0</v>
      </c>
      <c r="P6">
        <f ca="1">SUMIFS('± Transactions'!$K:$K, '± Transactions'!$B:$B,"&gt;=" &amp; (P$2), '± Transactions'!$B:$B,"&lt;" &amp; DATE(YEAR(P$2),MONTH(P$2)+1,1),'± Transactions'!$H:$H,"=" &amp; $A$6)</f>
        <v>0</v>
      </c>
      <c r="Q6">
        <f ca="1">SUMIFS('± Transactions'!$K:$K, '± Transactions'!$B:$B,"&gt;=" &amp; (Q$2), '± Transactions'!$B:$B,"&lt;" &amp; DATE(YEAR(Q$2),MONTH(Q$2)+1,1),'± Transactions'!$H:$H,"=" &amp; $A$6)</f>
        <v>0</v>
      </c>
      <c r="R6">
        <f ca="1">SUMIFS('± Transactions'!$K:$K, '± Transactions'!$B:$B,"&gt;=" &amp; (R$2), '± Transactions'!$B:$B,"&lt;" &amp; DATE(YEAR(R$2),MONTH(R$2)+1,1),'± Transactions'!$H:$H,"=" &amp; $A$6)</f>
        <v>0</v>
      </c>
      <c r="S6">
        <f ca="1">SUMIFS('± Transactions'!$K:$K, '± Transactions'!$B:$B,"&gt;=" &amp; (S$2), '± Transactions'!$B:$B,"&lt;" &amp; DATE(YEAR(S$2),MONTH(S$2)+1,1),'± Transactions'!$H:$H,"=" &amp; $A$6)</f>
        <v>0</v>
      </c>
      <c r="T6">
        <f ca="1">SUMIFS('± Transactions'!$K:$K, '± Transactions'!$B:$B,"&gt;=" &amp; (T$2), '± Transactions'!$B:$B,"&lt;" &amp; DATE(YEAR(T$2),MONTH(T$2)+1,1),'± Transactions'!$H:$H,"=" &amp; $A$6)</f>
        <v>0</v>
      </c>
      <c r="U6">
        <f ca="1">SUMIFS('± Transactions'!$K:$K, '± Transactions'!$B:$B,"&gt;=" &amp; (U$2), '± Transactions'!$B:$B,"&lt;" &amp; DATE(YEAR(U$2),MONTH(U$2)+1,1),'± Transactions'!$H:$H,"=" &amp; $A$6)</f>
        <v>0</v>
      </c>
      <c r="V6">
        <f t="shared" ca="1" si="1"/>
        <v>0</v>
      </c>
      <c r="W6">
        <f t="shared" ca="1" si="2"/>
        <v>0</v>
      </c>
      <c r="X6">
        <f t="shared" ca="1" si="3"/>
        <v>0</v>
      </c>
      <c r="Y6">
        <f t="shared" ca="1" si="4"/>
        <v>0</v>
      </c>
    </row>
    <row r="7" spans="1:26">
      <c r="A7" t="s">
        <v>24</v>
      </c>
      <c r="B7">
        <f t="shared" ref="B7:U7" ca="1" si="5">B8-B9</f>
        <v>0</v>
      </c>
      <c r="C7">
        <f t="shared" ca="1" si="5"/>
        <v>0</v>
      </c>
      <c r="D7">
        <f t="shared" ca="1" si="5"/>
        <v>0</v>
      </c>
      <c r="E7">
        <f t="shared" ca="1" si="5"/>
        <v>0</v>
      </c>
      <c r="F7">
        <f t="shared" ca="1" si="5"/>
        <v>0</v>
      </c>
      <c r="G7">
        <f t="shared" ca="1" si="5"/>
        <v>0</v>
      </c>
      <c r="H7">
        <f t="shared" ca="1" si="5"/>
        <v>0</v>
      </c>
      <c r="I7">
        <f t="shared" ca="1" si="5"/>
        <v>0</v>
      </c>
      <c r="J7">
        <f t="shared" ca="1" si="5"/>
        <v>0</v>
      </c>
      <c r="K7">
        <f t="shared" ca="1" si="5"/>
        <v>0</v>
      </c>
      <c r="L7">
        <f t="shared" ca="1" si="5"/>
        <v>0</v>
      </c>
      <c r="M7">
        <f t="shared" ca="1" si="5"/>
        <v>0</v>
      </c>
      <c r="N7">
        <f t="shared" ca="1" si="5"/>
        <v>0</v>
      </c>
      <c r="O7">
        <f t="shared" ca="1" si="5"/>
        <v>0</v>
      </c>
      <c r="P7">
        <f t="shared" ca="1" si="5"/>
        <v>0</v>
      </c>
      <c r="Q7">
        <f t="shared" ca="1" si="5"/>
        <v>0</v>
      </c>
      <c r="R7">
        <f t="shared" ca="1" si="5"/>
        <v>0</v>
      </c>
      <c r="S7">
        <f t="shared" ca="1" si="5"/>
        <v>0</v>
      </c>
      <c r="T7">
        <f t="shared" ca="1" si="5"/>
        <v>0</v>
      </c>
      <c r="U7">
        <f t="shared" ca="1" si="5"/>
        <v>0</v>
      </c>
      <c r="V7">
        <f t="shared" ca="1" si="1"/>
        <v>0</v>
      </c>
      <c r="W7">
        <f t="shared" ca="1" si="2"/>
        <v>0</v>
      </c>
      <c r="X7">
        <f t="shared" ca="1" si="3"/>
        <v>0</v>
      </c>
      <c r="Y7">
        <f t="shared" ca="1" si="4"/>
        <v>0</v>
      </c>
    </row>
    <row r="8" spans="1:26">
      <c r="A8" t="s">
        <v>90</v>
      </c>
      <c r="B8">
        <f ca="1">SUMIFS('± Transactions'!$J:$J, '± Transactions'!$B:$B,"&gt;=" &amp; (B$2), '± Transactions'!$B:$B,"&lt;" &amp; DATE(YEAR(B$2),MONTH(B$2)+1,1),'± Transactions'!$G:$G,"=" &amp; $A$7)</f>
        <v>0</v>
      </c>
      <c r="C8">
        <f ca="1">SUMIFS('± Transactions'!$J:$J, '± Transactions'!$B:$B,"&gt;=" &amp; (C$2), '± Transactions'!$B:$B,"&lt;" &amp; DATE(YEAR(C$2),MONTH(C$2)+1,1),'± Transactions'!$G:$G,"=" &amp; $A$7)</f>
        <v>0</v>
      </c>
      <c r="D8">
        <f ca="1">SUMIFS('± Transactions'!$J:$J, '± Transactions'!$B:$B,"&gt;=" &amp; (D$2), '± Transactions'!$B:$B,"&lt;" &amp; DATE(YEAR(D$2),MONTH(D$2)+1,1),'± Transactions'!$G:$G,"=" &amp; $A$7)</f>
        <v>0</v>
      </c>
      <c r="E8">
        <f ca="1">SUMIFS('± Transactions'!$J:$J, '± Transactions'!$B:$B,"&gt;=" &amp; (E$2), '± Transactions'!$B:$B,"&lt;" &amp; DATE(YEAR(E$2),MONTH(E$2)+1,1),'± Transactions'!$G:$G,"=" &amp; $A$7)</f>
        <v>0</v>
      </c>
      <c r="F8">
        <f ca="1">SUMIFS('± Transactions'!$J:$J, '± Transactions'!$B:$B,"&gt;=" &amp; (F$2), '± Transactions'!$B:$B,"&lt;" &amp; DATE(YEAR(F$2),MONTH(F$2)+1,1),'± Transactions'!$G:$G,"=" &amp; $A$7)</f>
        <v>0</v>
      </c>
      <c r="G8">
        <f ca="1">SUMIFS('± Transactions'!$J:$J, '± Transactions'!$B:$B,"&gt;=" &amp; (G$2), '± Transactions'!$B:$B,"&lt;" &amp; DATE(YEAR(G$2),MONTH(G$2)+1,1),'± Transactions'!$G:$G,"=" &amp; $A$7)</f>
        <v>0</v>
      </c>
      <c r="H8">
        <f ca="1">SUMIFS('± Transactions'!$J:$J, '± Transactions'!$B:$B,"&gt;=" &amp; (H$2), '± Transactions'!$B:$B,"&lt;" &amp; DATE(YEAR(H$2),MONTH(H$2)+1,1),'± Transactions'!$G:$G,"=" &amp; $A$7)</f>
        <v>0</v>
      </c>
      <c r="I8">
        <f ca="1">SUMIFS('± Transactions'!$J:$J, '± Transactions'!$B:$B,"&gt;=" &amp; (I$2), '± Transactions'!$B:$B,"&lt;" &amp; DATE(YEAR(I$2),MONTH(I$2)+1,1),'± Transactions'!$G:$G,"=" &amp; $A$7)</f>
        <v>0</v>
      </c>
      <c r="J8">
        <f ca="1">SUMIFS('± Transactions'!$J:$J, '± Transactions'!$B:$B,"&gt;=" &amp; (J$2), '± Transactions'!$B:$B,"&lt;" &amp; DATE(YEAR(J$2),MONTH(J$2)+1,1),'± Transactions'!$G:$G,"=" &amp; $A$7)</f>
        <v>0</v>
      </c>
      <c r="K8">
        <f ca="1">SUMIFS('± Transactions'!$J:$J, '± Transactions'!$B:$B,"&gt;=" &amp; (K$2), '± Transactions'!$B:$B,"&lt;" &amp; DATE(YEAR(K$2),MONTH(K$2)+1,1),'± Transactions'!$G:$G,"=" &amp; $A$7)</f>
        <v>0</v>
      </c>
      <c r="L8">
        <f ca="1">SUMIFS('± Transactions'!$J:$J, '± Transactions'!$B:$B,"&gt;=" &amp; (L$2), '± Transactions'!$B:$B,"&lt;" &amp; DATE(YEAR(L$2),MONTH(L$2)+1,1),'± Transactions'!$G:$G,"=" &amp; $A$7)</f>
        <v>0</v>
      </c>
      <c r="M8">
        <f ca="1">SUMIFS('± Transactions'!$J:$J, '± Transactions'!$B:$B,"&gt;=" &amp; (M$2), '± Transactions'!$B:$B,"&lt;" &amp; DATE(YEAR(M$2),MONTH(M$2)+1,1),'± Transactions'!$G:$G,"=" &amp; $A$7)</f>
        <v>0</v>
      </c>
      <c r="N8">
        <f ca="1">SUMIFS('± Transactions'!$J:$J, '± Transactions'!$B:$B,"&gt;=" &amp; (N$2), '± Transactions'!$B:$B,"&lt;" &amp; DATE(YEAR(N$2),MONTH(N$2)+1,1),'± Transactions'!$G:$G,"=" &amp; $A$7)</f>
        <v>0</v>
      </c>
      <c r="O8">
        <f ca="1">SUMIFS('± Transactions'!$J:$J, '± Transactions'!$B:$B,"&gt;=" &amp; (O$2), '± Transactions'!$B:$B,"&lt;" &amp; DATE(YEAR(O$2),MONTH(O$2)+1,1),'± Transactions'!$G:$G,"=" &amp; $A$7)</f>
        <v>0</v>
      </c>
      <c r="P8">
        <f ca="1">SUMIFS('± Transactions'!$J:$J, '± Transactions'!$B:$B,"&gt;=" &amp; (P$2), '± Transactions'!$B:$B,"&lt;" &amp; DATE(YEAR(P$2),MONTH(P$2)+1,1),'± Transactions'!$G:$G,"=" &amp; $A$7)</f>
        <v>0</v>
      </c>
      <c r="Q8">
        <f ca="1">SUMIFS('± Transactions'!$J:$J, '± Transactions'!$B:$B,"&gt;=" &amp; (Q$2), '± Transactions'!$B:$B,"&lt;" &amp; DATE(YEAR(Q$2),MONTH(Q$2)+1,1),'± Transactions'!$G:$G,"=" &amp; $A$7)</f>
        <v>0</v>
      </c>
      <c r="R8">
        <f ca="1">SUMIFS('± Transactions'!$J:$J, '± Transactions'!$B:$B,"&gt;=" &amp; (R$2), '± Transactions'!$B:$B,"&lt;" &amp; DATE(YEAR(R$2),MONTH(R$2)+1,1),'± Transactions'!$G:$G,"=" &amp; $A$7)</f>
        <v>0</v>
      </c>
      <c r="S8">
        <f ca="1">SUMIFS('± Transactions'!$J:$J, '± Transactions'!$B:$B,"&gt;=" &amp; (S$2), '± Transactions'!$B:$B,"&lt;" &amp; DATE(YEAR(S$2),MONTH(S$2)+1,1),'± Transactions'!$G:$G,"=" &amp; $A$7)</f>
        <v>0</v>
      </c>
      <c r="T8">
        <f ca="1">SUMIFS('± Transactions'!$J:$J, '± Transactions'!$B:$B,"&gt;=" &amp; (T$2), '± Transactions'!$B:$B,"&lt;" &amp; DATE(YEAR(T$2),MONTH(T$2)+1,1),'± Transactions'!$G:$G,"=" &amp; $A$7)</f>
        <v>0</v>
      </c>
      <c r="U8">
        <f ca="1">SUMIFS('± Transactions'!$J:$J, '± Transactions'!$B:$B,"&gt;=" &amp; (U$2), '± Transactions'!$B:$B,"&lt;" &amp; DATE(YEAR(U$2),MONTH(U$2)+1,1),'± Transactions'!$G:$G,"=" &amp; $A$7)</f>
        <v>0</v>
      </c>
      <c r="V8">
        <f t="shared" ca="1" si="1"/>
        <v>0</v>
      </c>
      <c r="W8">
        <f t="shared" ca="1" si="2"/>
        <v>0</v>
      </c>
      <c r="X8">
        <f t="shared" ca="1" si="3"/>
        <v>0</v>
      </c>
      <c r="Y8">
        <f t="shared" ca="1" si="4"/>
        <v>0</v>
      </c>
    </row>
    <row r="9" spans="1:26">
      <c r="A9" t="s">
        <v>89</v>
      </c>
      <c r="B9">
        <f ca="1">SUMIFS('± Transactions'!$K:$K, '± Transactions'!$B:$B,"&gt;=" &amp; (B$2), '± Transactions'!$B:$B,"&lt;" &amp; DATE(YEAR(B$2),MONTH(B$2)+1,1),'± Transactions'!$G:$G,"=" &amp; $A$7)</f>
        <v>0</v>
      </c>
      <c r="C9">
        <f ca="1">SUMIFS('± Transactions'!$K:$K, '± Transactions'!$B:$B,"&gt;=" &amp; (C$2), '± Transactions'!$B:$B,"&lt;" &amp; DATE(YEAR(C$2),MONTH(C$2)+1,1),'± Transactions'!$G:$G,"=" &amp; $A$7)</f>
        <v>0</v>
      </c>
      <c r="D9">
        <f ca="1">SUMIFS('± Transactions'!$K:$K, '± Transactions'!$B:$B,"&gt;=" &amp; (D$2), '± Transactions'!$B:$B,"&lt;" &amp; DATE(YEAR(D$2),MONTH(D$2)+1,1),'± Transactions'!$G:$G,"=" &amp; $A$7)</f>
        <v>0</v>
      </c>
      <c r="E9">
        <f ca="1">SUMIFS('± Transactions'!$K:$K, '± Transactions'!$B:$B,"&gt;=" &amp; (E$2), '± Transactions'!$B:$B,"&lt;" &amp; DATE(YEAR(E$2),MONTH(E$2)+1,1),'± Transactions'!$G:$G,"=" &amp; $A$7)</f>
        <v>0</v>
      </c>
      <c r="F9">
        <f ca="1">SUMIFS('± Transactions'!$K:$K, '± Transactions'!$B:$B,"&gt;=" &amp; (F$2), '± Transactions'!$B:$B,"&lt;" &amp; DATE(YEAR(F$2),MONTH(F$2)+1,1),'± Transactions'!$G:$G,"=" &amp; $A$7)</f>
        <v>0</v>
      </c>
      <c r="G9">
        <f ca="1">SUMIFS('± Transactions'!$K:$K, '± Transactions'!$B:$B,"&gt;=" &amp; (G$2), '± Transactions'!$B:$B,"&lt;" &amp; DATE(YEAR(G$2),MONTH(G$2)+1,1),'± Transactions'!$G:$G,"=" &amp; $A$7)</f>
        <v>0</v>
      </c>
      <c r="H9">
        <f ca="1">SUMIFS('± Transactions'!$K:$K, '± Transactions'!$B:$B,"&gt;=" &amp; (H$2), '± Transactions'!$B:$B,"&lt;" &amp; DATE(YEAR(H$2),MONTH(H$2)+1,1),'± Transactions'!$G:$G,"=" &amp; $A$7)</f>
        <v>0</v>
      </c>
      <c r="I9">
        <f ca="1">SUMIFS('± Transactions'!$K:$K, '± Transactions'!$B:$B,"&gt;=" &amp; (I$2), '± Transactions'!$B:$B,"&lt;" &amp; DATE(YEAR(I$2),MONTH(I$2)+1,1),'± Transactions'!$G:$G,"=" &amp; $A$7)</f>
        <v>0</v>
      </c>
      <c r="J9">
        <f ca="1">SUMIFS('± Transactions'!$K:$K, '± Transactions'!$B:$B,"&gt;=" &amp; (J$2), '± Transactions'!$B:$B,"&lt;" &amp; DATE(YEAR(J$2),MONTH(J$2)+1,1),'± Transactions'!$G:$G,"=" &amp; $A$7)</f>
        <v>0</v>
      </c>
      <c r="K9">
        <f ca="1">SUMIFS('± Transactions'!$K:$K, '± Transactions'!$B:$B,"&gt;=" &amp; (K$2), '± Transactions'!$B:$B,"&lt;" &amp; DATE(YEAR(K$2),MONTH(K$2)+1,1),'± Transactions'!$G:$G,"=" &amp; $A$7)</f>
        <v>0</v>
      </c>
      <c r="L9">
        <f ca="1">SUMIFS('± Transactions'!$K:$K, '± Transactions'!$B:$B,"&gt;=" &amp; (L$2), '± Transactions'!$B:$B,"&lt;" &amp; DATE(YEAR(L$2),MONTH(L$2)+1,1),'± Transactions'!$G:$G,"=" &amp; $A$7)</f>
        <v>0</v>
      </c>
      <c r="M9">
        <f ca="1">SUMIFS('± Transactions'!$K:$K, '± Transactions'!$B:$B,"&gt;=" &amp; (M$2), '± Transactions'!$B:$B,"&lt;" &amp; DATE(YEAR(M$2),MONTH(M$2)+1,1),'± Transactions'!$G:$G,"=" &amp; $A$7)</f>
        <v>0</v>
      </c>
      <c r="N9">
        <f ca="1">SUMIFS('± Transactions'!$K:$K, '± Transactions'!$B:$B,"&gt;=" &amp; (N$2), '± Transactions'!$B:$B,"&lt;" &amp; DATE(YEAR(N$2),MONTH(N$2)+1,1),'± Transactions'!$G:$G,"=" &amp; $A$7)</f>
        <v>0</v>
      </c>
      <c r="O9">
        <f ca="1">SUMIFS('± Transactions'!$K:$K, '± Transactions'!$B:$B,"&gt;=" &amp; (O$2), '± Transactions'!$B:$B,"&lt;" &amp; DATE(YEAR(O$2),MONTH(O$2)+1,1),'± Transactions'!$G:$G,"=" &amp; $A$7)</f>
        <v>0</v>
      </c>
      <c r="P9">
        <f ca="1">SUMIFS('± Transactions'!$K:$K, '± Transactions'!$B:$B,"&gt;=" &amp; (P$2), '± Transactions'!$B:$B,"&lt;" &amp; DATE(YEAR(P$2),MONTH(P$2)+1,1),'± Transactions'!$G:$G,"=" &amp; $A$7)</f>
        <v>0</v>
      </c>
      <c r="Q9">
        <f ca="1">SUMIFS('± Transactions'!$K:$K, '± Transactions'!$B:$B,"&gt;=" &amp; (Q$2), '± Transactions'!$B:$B,"&lt;" &amp; DATE(YEAR(Q$2),MONTH(Q$2)+1,1),'± Transactions'!$G:$G,"=" &amp; $A$7)</f>
        <v>0</v>
      </c>
      <c r="R9">
        <f ca="1">SUMIFS('± Transactions'!$K:$K, '± Transactions'!$B:$B,"&gt;=" &amp; (R$2), '± Transactions'!$B:$B,"&lt;" &amp; DATE(YEAR(R$2),MONTH(R$2)+1,1),'± Transactions'!$G:$G,"=" &amp; $A$7)</f>
        <v>0</v>
      </c>
      <c r="S9">
        <f ca="1">SUMIFS('± Transactions'!$K:$K, '± Transactions'!$B:$B,"&gt;=" &amp; (S$2), '± Transactions'!$B:$B,"&lt;" &amp; DATE(YEAR(S$2),MONTH(S$2)+1,1),'± Transactions'!$G:$G,"=" &amp; $A$7)</f>
        <v>0</v>
      </c>
      <c r="T9">
        <f ca="1">SUMIFS('± Transactions'!$K:$K, '± Transactions'!$B:$B,"&gt;=" &amp; (T$2), '± Transactions'!$B:$B,"&lt;" &amp; DATE(YEAR(T$2),MONTH(T$2)+1,1),'± Transactions'!$G:$G,"=" &amp; $A$7)</f>
        <v>0</v>
      </c>
      <c r="U9">
        <f ca="1">SUMIFS('± Transactions'!$K:$K, '± Transactions'!$B:$B,"&gt;=" &amp; (U$2), '± Transactions'!$B:$B,"&lt;" &amp; DATE(YEAR(U$2),MONTH(U$2)+1,1),'± Transactions'!$G:$G,"=" &amp; $A$7)</f>
        <v>0</v>
      </c>
      <c r="V9">
        <f t="shared" ca="1" si="1"/>
        <v>0</v>
      </c>
      <c r="W9">
        <f t="shared" ca="1" si="2"/>
        <v>0</v>
      </c>
      <c r="X9">
        <f t="shared" ca="1" si="3"/>
        <v>0</v>
      </c>
      <c r="Y9">
        <f t="shared" ca="1" si="4"/>
        <v>0</v>
      </c>
    </row>
    <row r="10" spans="1:26">
      <c r="A10" t="s">
        <v>36</v>
      </c>
      <c r="B10">
        <f ca="1">SUMIFS('± Transactions'!$J:$J, '± Transactions'!$B:$B,"&gt;=" &amp; (B$2), '± Transactions'!$B:$B,"&lt;" &amp; DATE(YEAR(B$2),MONTH(B$2)+1,1),'± Transactions'!$G:$G,"&lt;&gt;" &amp; "Investment",'± Transactions'!$G:$G,"&lt;&gt;" &amp; "", '± Transactions'!$G:$G,"&lt;&gt;" &amp; "Health", '± Transactions'!$G:$G,"&lt;&gt;" &amp; "Assets",'± Transactions'!$G:$G,"&lt;&gt;" &amp; "Travel",'± Transactions'!$G:$G,"&lt;&gt;" &amp; "Tax",'± Transactions'!$G:$G,"&lt;&gt;" &amp; "Uncategorised")</f>
        <v>0</v>
      </c>
      <c r="C10">
        <f ca="1">SUMIFS('± Transactions'!$J:$J, '± Transactions'!$B:$B,"&gt;=" &amp; (C$2), '± Transactions'!$B:$B,"&lt;" &amp; DATE(YEAR(C$2),MONTH(C$2)+1,1),'± Transactions'!$G:$G,"&lt;&gt;" &amp; "Investment",'± Transactions'!$G:$G,"&lt;&gt;" &amp; "", '± Transactions'!$G:$G,"&lt;&gt;" &amp; "Health", '± Transactions'!$G:$G,"&lt;&gt;" &amp; "Assets",'± Transactions'!$G:$G,"&lt;&gt;" &amp; "Travel",'± Transactions'!$G:$G,"&lt;&gt;" &amp; "Tax",'± Transactions'!$G:$G,"&lt;&gt;" &amp; "Uncategorised")</f>
        <v>0</v>
      </c>
      <c r="D10">
        <f ca="1">SUMIFS('± Transactions'!$J:$J, '± Transactions'!$B:$B,"&gt;=" &amp; (D$2), '± Transactions'!$B:$B,"&lt;" &amp; DATE(YEAR(D$2),MONTH(D$2)+1,1),'± Transactions'!$G:$G,"&lt;&gt;" &amp; "Investment",'± Transactions'!$G:$G,"&lt;&gt;" &amp; "", '± Transactions'!$G:$G,"&lt;&gt;" &amp; "Health", '± Transactions'!$G:$G,"&lt;&gt;" &amp; "Assets",'± Transactions'!$G:$G,"&lt;&gt;" &amp; "Travel",'± Transactions'!$G:$G,"&lt;&gt;" &amp; "Tax",'± Transactions'!$G:$G,"&lt;&gt;" &amp; "Uncategorised")</f>
        <v>0</v>
      </c>
      <c r="E10">
        <f ca="1">SUMIFS('± Transactions'!$J:$J, '± Transactions'!$B:$B,"&gt;=" &amp; (E$2), '± Transactions'!$B:$B,"&lt;" &amp; DATE(YEAR(E$2),MONTH(E$2)+1,1),'± Transactions'!$G:$G,"&lt;&gt;" &amp; "Investment",'± Transactions'!$G:$G,"&lt;&gt;" &amp; "", '± Transactions'!$G:$G,"&lt;&gt;" &amp; "Health", '± Transactions'!$G:$G,"&lt;&gt;" &amp; "Assets",'± Transactions'!$G:$G,"&lt;&gt;" &amp; "Travel",'± Transactions'!$G:$G,"&lt;&gt;" &amp; "Tax",'± Transactions'!$G:$G,"&lt;&gt;" &amp; "Uncategorised")</f>
        <v>0</v>
      </c>
      <c r="F10">
        <f ca="1">SUMIFS('± Transactions'!$J:$J, '± Transactions'!$B:$B,"&gt;=" &amp; (F$2), '± Transactions'!$B:$B,"&lt;" &amp; DATE(YEAR(F$2),MONTH(F$2)+1,1),'± Transactions'!$G:$G,"&lt;&gt;" &amp; "Investment",'± Transactions'!$G:$G,"&lt;&gt;" &amp; "", '± Transactions'!$G:$G,"&lt;&gt;" &amp; "Health", '± Transactions'!$G:$G,"&lt;&gt;" &amp; "Assets",'± Transactions'!$G:$G,"&lt;&gt;" &amp; "Travel",'± Transactions'!$G:$G,"&lt;&gt;" &amp; "Tax",'± Transactions'!$G:$G,"&lt;&gt;" &amp; "Uncategorised")</f>
        <v>0</v>
      </c>
      <c r="G10">
        <f ca="1">SUMIFS('± Transactions'!$J:$J, '± Transactions'!$B:$B,"&gt;=" &amp; (G$2), '± Transactions'!$B:$B,"&lt;" &amp; DATE(YEAR(G$2),MONTH(G$2)+1,1),'± Transactions'!$G:$G,"&lt;&gt;" &amp; "Investment",'± Transactions'!$G:$G,"&lt;&gt;" &amp; "", '± Transactions'!$G:$G,"&lt;&gt;" &amp; "Health", '± Transactions'!$G:$G,"&lt;&gt;" &amp; "Assets",'± Transactions'!$G:$G,"&lt;&gt;" &amp; "Travel",'± Transactions'!$G:$G,"&lt;&gt;" &amp; "Tax",'± Transactions'!$G:$G,"&lt;&gt;" &amp; "Uncategorised")</f>
        <v>0</v>
      </c>
      <c r="H10">
        <f ca="1">SUMIFS('± Transactions'!$J:$J, '± Transactions'!$B:$B,"&gt;=" &amp; (H$2), '± Transactions'!$B:$B,"&lt;" &amp; DATE(YEAR(H$2),MONTH(H$2)+1,1),'± Transactions'!$G:$G,"&lt;&gt;" &amp; "Investment",'± Transactions'!$G:$G,"&lt;&gt;" &amp; "", '± Transactions'!$G:$G,"&lt;&gt;" &amp; "Health", '± Transactions'!$G:$G,"&lt;&gt;" &amp; "Assets",'± Transactions'!$G:$G,"&lt;&gt;" &amp; "Travel",'± Transactions'!$G:$G,"&lt;&gt;" &amp; "Tax",'± Transactions'!$G:$G,"&lt;&gt;" &amp; "Uncategorised")</f>
        <v>0</v>
      </c>
      <c r="I10">
        <f ca="1">SUMIFS('± Transactions'!$J:$J, '± Transactions'!$B:$B,"&gt;=" &amp; (I$2), '± Transactions'!$B:$B,"&lt;" &amp; DATE(YEAR(I$2),MONTH(I$2)+1,1),'± Transactions'!$G:$G,"&lt;&gt;" &amp; "Investment",'± Transactions'!$G:$G,"&lt;&gt;" &amp; "", '± Transactions'!$G:$G,"&lt;&gt;" &amp; "Health", '± Transactions'!$G:$G,"&lt;&gt;" &amp; "Assets",'± Transactions'!$G:$G,"&lt;&gt;" &amp; "Travel",'± Transactions'!$G:$G,"&lt;&gt;" &amp; "Tax",'± Transactions'!$G:$G,"&lt;&gt;" &amp; "Uncategorised")</f>
        <v>0</v>
      </c>
      <c r="J10">
        <f ca="1">SUMIFS('± Transactions'!$J:$J, '± Transactions'!$B:$B,"&gt;=" &amp; (J$2), '± Transactions'!$B:$B,"&lt;" &amp; DATE(YEAR(J$2),MONTH(J$2)+1,1),'± Transactions'!$G:$G,"&lt;&gt;" &amp; "Investment",'± Transactions'!$G:$G,"&lt;&gt;" &amp; "", '± Transactions'!$G:$G,"&lt;&gt;" &amp; "Health", '± Transactions'!$G:$G,"&lt;&gt;" &amp; "Assets",'± Transactions'!$G:$G,"&lt;&gt;" &amp; "Travel",'± Transactions'!$G:$G,"&lt;&gt;" &amp; "Tax",'± Transactions'!$G:$G,"&lt;&gt;" &amp; "Uncategorised")</f>
        <v>0</v>
      </c>
      <c r="K10">
        <f ca="1">SUMIFS('± Transactions'!$J:$J, '± Transactions'!$B:$B,"&gt;=" &amp; (K$2), '± Transactions'!$B:$B,"&lt;" &amp; DATE(YEAR(K$2),MONTH(K$2)+1,1),'± Transactions'!$G:$G,"&lt;&gt;" &amp; "Investment",'± Transactions'!$G:$G,"&lt;&gt;" &amp; "", '± Transactions'!$G:$G,"&lt;&gt;" &amp; "Health", '± Transactions'!$G:$G,"&lt;&gt;" &amp; "Assets",'± Transactions'!$G:$G,"&lt;&gt;" &amp; "Travel",'± Transactions'!$G:$G,"&lt;&gt;" &amp; "Tax",'± Transactions'!$G:$G,"&lt;&gt;" &amp; "Uncategorised")</f>
        <v>0</v>
      </c>
      <c r="L10">
        <f ca="1">SUMIFS('± Transactions'!$J:$J, '± Transactions'!$B:$B,"&gt;=" &amp; (L$2), '± Transactions'!$B:$B,"&lt;" &amp; DATE(YEAR(L$2),MONTH(L$2)+1,1),'± Transactions'!$G:$G,"&lt;&gt;" &amp; "Investment",'± Transactions'!$G:$G,"&lt;&gt;" &amp; "", '± Transactions'!$G:$G,"&lt;&gt;" &amp; "Health", '± Transactions'!$G:$G,"&lt;&gt;" &amp; "Assets",'± Transactions'!$G:$G,"&lt;&gt;" &amp; "Travel",'± Transactions'!$G:$G,"&lt;&gt;" &amp; "Tax",'± Transactions'!$G:$G,"&lt;&gt;" &amp; "Uncategorised")</f>
        <v>0</v>
      </c>
      <c r="M10">
        <f ca="1">SUMIFS('± Transactions'!$J:$J, '± Transactions'!$B:$B,"&gt;=" &amp; (M$2), '± Transactions'!$B:$B,"&lt;" &amp; DATE(YEAR(M$2),MONTH(M$2)+1,1),'± Transactions'!$G:$G,"&lt;&gt;" &amp; "Investment",'± Transactions'!$G:$G,"&lt;&gt;" &amp; "", '± Transactions'!$G:$G,"&lt;&gt;" &amp; "Health", '± Transactions'!$G:$G,"&lt;&gt;" &amp; "Assets",'± Transactions'!$G:$G,"&lt;&gt;" &amp; "Travel",'± Transactions'!$G:$G,"&lt;&gt;" &amp; "Tax",'± Transactions'!$G:$G,"&lt;&gt;" &amp; "Uncategorised")</f>
        <v>0</v>
      </c>
      <c r="N10">
        <f ca="1">SUMIFS('± Transactions'!$J:$J, '± Transactions'!$B:$B,"&gt;=" &amp; (N$2), '± Transactions'!$B:$B,"&lt;" &amp; DATE(YEAR(N$2),MONTH(N$2)+1,1),'± Transactions'!$G:$G,"&lt;&gt;" &amp; "Investment",'± Transactions'!$G:$G,"&lt;&gt;" &amp; "", '± Transactions'!$G:$G,"&lt;&gt;" &amp; "Health", '± Transactions'!$G:$G,"&lt;&gt;" &amp; "Assets",'± Transactions'!$G:$G,"&lt;&gt;" &amp; "Travel",'± Transactions'!$G:$G,"&lt;&gt;" &amp; "Tax",'± Transactions'!$G:$G,"&lt;&gt;" &amp; "Uncategorised")</f>
        <v>0</v>
      </c>
      <c r="O10">
        <f ca="1">SUMIFS('± Transactions'!$J:$J, '± Transactions'!$B:$B,"&gt;=" &amp; (O$2), '± Transactions'!$B:$B,"&lt;" &amp; DATE(YEAR(O$2),MONTH(O$2)+1,1),'± Transactions'!$G:$G,"&lt;&gt;" &amp; "Investment",'± Transactions'!$G:$G,"&lt;&gt;" &amp; "", '± Transactions'!$G:$G,"&lt;&gt;" &amp; "Health", '± Transactions'!$G:$G,"&lt;&gt;" &amp; "Assets",'± Transactions'!$G:$G,"&lt;&gt;" &amp; "Travel",'± Transactions'!$G:$G,"&lt;&gt;" &amp; "Tax",'± Transactions'!$G:$G,"&lt;&gt;" &amp; "Uncategorised")</f>
        <v>0</v>
      </c>
      <c r="P10">
        <f ca="1">SUMIFS('± Transactions'!$J:$J, '± Transactions'!$B:$B,"&gt;=" &amp; (P$2), '± Transactions'!$B:$B,"&lt;" &amp; DATE(YEAR(P$2),MONTH(P$2)+1,1),'± Transactions'!$G:$G,"&lt;&gt;" &amp; "Investment",'± Transactions'!$G:$G,"&lt;&gt;" &amp; "", '± Transactions'!$G:$G,"&lt;&gt;" &amp; "Health", '± Transactions'!$G:$G,"&lt;&gt;" &amp; "Assets",'± Transactions'!$G:$G,"&lt;&gt;" &amp; "Travel",'± Transactions'!$G:$G,"&lt;&gt;" &amp; "Tax",'± Transactions'!$G:$G,"&lt;&gt;" &amp; "Uncategorised")</f>
        <v>0</v>
      </c>
      <c r="Q10">
        <f ca="1">SUMIFS('± Transactions'!$J:$J, '± Transactions'!$B:$B,"&gt;=" &amp; (Q$2), '± Transactions'!$B:$B,"&lt;" &amp; DATE(YEAR(Q$2),MONTH(Q$2)+1,1),'± Transactions'!$G:$G,"&lt;&gt;" &amp; "Investment",'± Transactions'!$G:$G,"&lt;&gt;" &amp; "", '± Transactions'!$G:$G,"&lt;&gt;" &amp; "Health", '± Transactions'!$G:$G,"&lt;&gt;" &amp; "Assets",'± Transactions'!$G:$G,"&lt;&gt;" &amp; "Travel",'± Transactions'!$G:$G,"&lt;&gt;" &amp; "Tax",'± Transactions'!$G:$G,"&lt;&gt;" &amp; "Uncategorised")</f>
        <v>0</v>
      </c>
      <c r="R10">
        <f ca="1">SUMIFS('± Transactions'!$J:$J, '± Transactions'!$B:$B,"&gt;=" &amp; (R$2), '± Transactions'!$B:$B,"&lt;" &amp; DATE(YEAR(R$2),MONTH(R$2)+1,1),'± Transactions'!$G:$G,"&lt;&gt;" &amp; "Investment",'± Transactions'!$G:$G,"&lt;&gt;" &amp; "", '± Transactions'!$G:$G,"&lt;&gt;" &amp; "Health", '± Transactions'!$G:$G,"&lt;&gt;" &amp; "Assets",'± Transactions'!$G:$G,"&lt;&gt;" &amp; "Travel",'± Transactions'!$G:$G,"&lt;&gt;" &amp; "Tax",'± Transactions'!$G:$G,"&lt;&gt;" &amp; "Uncategorised")</f>
        <v>0</v>
      </c>
      <c r="S10">
        <f ca="1">SUMIFS('± Transactions'!$J:$J, '± Transactions'!$B:$B,"&gt;=" &amp; (S$2), '± Transactions'!$B:$B,"&lt;" &amp; DATE(YEAR(S$2),MONTH(S$2)+1,1),'± Transactions'!$G:$G,"&lt;&gt;" &amp; "Investment",'± Transactions'!$G:$G,"&lt;&gt;" &amp; "", '± Transactions'!$G:$G,"&lt;&gt;" &amp; "Health", '± Transactions'!$G:$G,"&lt;&gt;" &amp; "Assets",'± Transactions'!$G:$G,"&lt;&gt;" &amp; "Travel",'± Transactions'!$G:$G,"&lt;&gt;" &amp; "Tax",'± Transactions'!$G:$G,"&lt;&gt;" &amp; "Uncategorised")</f>
        <v>0</v>
      </c>
      <c r="T10">
        <f ca="1">SUMIFS('± Transactions'!$J:$J, '± Transactions'!$B:$B,"&gt;=" &amp; (T$2), '± Transactions'!$B:$B,"&lt;" &amp; DATE(YEAR(T$2),MONTH(T$2)+1,1),'± Transactions'!$G:$G,"&lt;&gt;" &amp; "Investment",'± Transactions'!$G:$G,"&lt;&gt;" &amp; "", '± Transactions'!$G:$G,"&lt;&gt;" &amp; "Health", '± Transactions'!$G:$G,"&lt;&gt;" &amp; "Assets",'± Transactions'!$G:$G,"&lt;&gt;" &amp; "Travel",'± Transactions'!$G:$G,"&lt;&gt;" &amp; "Tax",'± Transactions'!$G:$G,"&lt;&gt;" &amp; "Uncategorised")</f>
        <v>0</v>
      </c>
      <c r="U10">
        <f ca="1">SUMIFS('± Transactions'!$J:$J, '± Transactions'!$B:$B,"&gt;=" &amp; (U$2), '± Transactions'!$B:$B,"&lt;" &amp; DATE(YEAR(U$2),MONTH(U$2)+1,1),'± Transactions'!$G:$G,"&lt;&gt;" &amp; "Investment",'± Transactions'!$G:$G,"&lt;&gt;" &amp; "", '± Transactions'!$G:$G,"&lt;&gt;" &amp; "Health", '± Transactions'!$G:$G,"&lt;&gt;" &amp; "Assets",'± Transactions'!$G:$G,"&lt;&gt;" &amp; "Travel",'± Transactions'!$G:$G,"&lt;&gt;" &amp; "Tax",'± Transactions'!$G:$G,"&lt;&gt;" &amp; "Uncategorised")</f>
        <v>0</v>
      </c>
      <c r="V10">
        <f t="shared" ca="1" si="1"/>
        <v>0</v>
      </c>
      <c r="W10">
        <f t="shared" ca="1" si="2"/>
        <v>0</v>
      </c>
      <c r="X10">
        <f t="shared" ca="1" si="3"/>
        <v>0</v>
      </c>
      <c r="Y10">
        <f t="shared" ca="1" si="4"/>
        <v>0</v>
      </c>
      <c r="Z10">
        <f t="shared" ref="Z10:Z35" ca="1" si="6">IF(T10+(T10*Y10)&gt;0,T10+(T10*Y10),0)</f>
        <v>0</v>
      </c>
    </row>
    <row r="11" spans="1:26">
      <c r="A11" t="s">
        <v>73</v>
      </c>
      <c r="B11">
        <f t="shared" ref="B11:T11" ca="1" si="7">B$10/DAY(EOMONTH(B$2,0))</f>
        <v>0</v>
      </c>
      <c r="C11">
        <f t="shared" ca="1" si="7"/>
        <v>0</v>
      </c>
      <c r="D11">
        <f t="shared" ca="1" si="7"/>
        <v>0</v>
      </c>
      <c r="E11">
        <f t="shared" ca="1" si="7"/>
        <v>0</v>
      </c>
      <c r="F11">
        <f t="shared" ca="1" si="7"/>
        <v>0</v>
      </c>
      <c r="G11">
        <f t="shared" ca="1" si="7"/>
        <v>0</v>
      </c>
      <c r="H11">
        <f t="shared" ca="1" si="7"/>
        <v>0</v>
      </c>
      <c r="I11">
        <f t="shared" ca="1" si="7"/>
        <v>0</v>
      </c>
      <c r="J11">
        <f t="shared" ca="1" si="7"/>
        <v>0</v>
      </c>
      <c r="K11">
        <f t="shared" ca="1" si="7"/>
        <v>0</v>
      </c>
      <c r="L11">
        <f t="shared" ca="1" si="7"/>
        <v>0</v>
      </c>
      <c r="M11">
        <f t="shared" ca="1" si="7"/>
        <v>0</v>
      </c>
      <c r="N11">
        <f t="shared" ca="1" si="7"/>
        <v>0</v>
      </c>
      <c r="O11">
        <f t="shared" ca="1" si="7"/>
        <v>0</v>
      </c>
      <c r="P11">
        <f t="shared" ca="1" si="7"/>
        <v>0</v>
      </c>
      <c r="Q11">
        <f t="shared" ca="1" si="7"/>
        <v>0</v>
      </c>
      <c r="R11">
        <f t="shared" ca="1" si="7"/>
        <v>0</v>
      </c>
      <c r="S11">
        <f t="shared" ca="1" si="7"/>
        <v>0</v>
      </c>
      <c r="T11">
        <f t="shared" ca="1" si="7"/>
        <v>0</v>
      </c>
      <c r="U11">
        <f ca="1">$U$10/DAY(TODAY())</f>
        <v>0</v>
      </c>
      <c r="V11">
        <f t="shared" ca="1" si="1"/>
        <v>0</v>
      </c>
      <c r="W11">
        <f t="shared" ca="1" si="2"/>
        <v>0</v>
      </c>
      <c r="X11">
        <f t="shared" ca="1" si="3"/>
        <v>0</v>
      </c>
      <c r="Y11">
        <f t="shared" ca="1" si="4"/>
        <v>0</v>
      </c>
      <c r="Z11">
        <f t="shared" ca="1" si="6"/>
        <v>0</v>
      </c>
    </row>
    <row r="12" spans="1:26">
      <c r="A12" t="s">
        <v>11</v>
      </c>
      <c r="B12">
        <f ca="1">SUMIFS('± Transactions'!$J:$J, '± Transactions'!$B:$B,"&gt;=" &amp; (B$2), '± Transactions'!$B:$B,"&lt;" &amp; DATE(YEAR(B$2),MONTH(B$2)+1,1),'± Transactions'!$G:$G,"=" &amp; $A$12)</f>
        <v>0</v>
      </c>
      <c r="C12">
        <f ca="1">SUMIFS('± Transactions'!$J:$J, '± Transactions'!$B:$B,"&gt;=" &amp; (C$2), '± Transactions'!$B:$B,"&lt;" &amp; DATE(YEAR(C$2),MONTH(C$2)+1,1),'± Transactions'!$G:$G,"=" &amp; $A$12)</f>
        <v>0</v>
      </c>
      <c r="D12">
        <f ca="1">SUMIFS('± Transactions'!$J:$J, '± Transactions'!$B:$B,"&gt;=" &amp; (D$2), '± Transactions'!$B:$B,"&lt;" &amp; DATE(YEAR(D$2),MONTH(D$2)+1,1),'± Transactions'!$G:$G,"=" &amp; $A$12)</f>
        <v>0</v>
      </c>
      <c r="E12">
        <f ca="1">SUMIFS('± Transactions'!$J:$J, '± Transactions'!$B:$B,"&gt;=" &amp; (E$2), '± Transactions'!$B:$B,"&lt;" &amp; DATE(YEAR(E$2),MONTH(E$2)+1,1),'± Transactions'!$G:$G,"=" &amp; $A$12)</f>
        <v>0</v>
      </c>
      <c r="F12">
        <f ca="1">SUMIFS('± Transactions'!$J:$J, '± Transactions'!$B:$B,"&gt;=" &amp; (F$2), '± Transactions'!$B:$B,"&lt;" &amp; DATE(YEAR(F$2),MONTH(F$2)+1,1),'± Transactions'!$G:$G,"=" &amp; $A$12)</f>
        <v>0</v>
      </c>
      <c r="G12">
        <f ca="1">SUMIFS('± Transactions'!$J:$J, '± Transactions'!$B:$B,"&gt;=" &amp; (G$2), '± Transactions'!$B:$B,"&lt;" &amp; DATE(YEAR(G$2),MONTH(G$2)+1,1),'± Transactions'!$G:$G,"=" &amp; $A$12)</f>
        <v>0</v>
      </c>
      <c r="H12">
        <f ca="1">SUMIFS('± Transactions'!$J:$J, '± Transactions'!$B:$B,"&gt;=" &amp; (H$2), '± Transactions'!$B:$B,"&lt;" &amp; DATE(YEAR(H$2),MONTH(H$2)+1,1),'± Transactions'!$G:$G,"=" &amp; $A$12)</f>
        <v>0</v>
      </c>
      <c r="I12">
        <f ca="1">SUMIFS('± Transactions'!$J:$J, '± Transactions'!$B:$B,"&gt;=" &amp; (I$2), '± Transactions'!$B:$B,"&lt;" &amp; DATE(YEAR(I$2),MONTH(I$2)+1,1),'± Transactions'!$G:$G,"=" &amp; $A$12)</f>
        <v>0</v>
      </c>
      <c r="J12">
        <f ca="1">SUMIFS('± Transactions'!$J:$J, '± Transactions'!$B:$B,"&gt;=" &amp; (J$2), '± Transactions'!$B:$B,"&lt;" &amp; DATE(YEAR(J$2),MONTH(J$2)+1,1),'± Transactions'!$G:$G,"=" &amp; $A$12)</f>
        <v>0</v>
      </c>
      <c r="K12">
        <f ca="1">SUMIFS('± Transactions'!$J:$J, '± Transactions'!$B:$B,"&gt;=" &amp; (K$2), '± Transactions'!$B:$B,"&lt;" &amp; DATE(YEAR(K$2),MONTH(K$2)+1,1),'± Transactions'!$G:$G,"=" &amp; $A$12)</f>
        <v>0</v>
      </c>
      <c r="L12">
        <f ca="1">SUMIFS('± Transactions'!$J:$J, '± Transactions'!$B:$B,"&gt;=" &amp; (L$2), '± Transactions'!$B:$B,"&lt;" &amp; DATE(YEAR(L$2),MONTH(L$2)+1,1),'± Transactions'!$G:$G,"=" &amp; $A$12)</f>
        <v>0</v>
      </c>
      <c r="M12">
        <f ca="1">SUMIFS('± Transactions'!$J:$J, '± Transactions'!$B:$B,"&gt;=" &amp; (M$2), '± Transactions'!$B:$B,"&lt;" &amp; DATE(YEAR(M$2),MONTH(M$2)+1,1),'± Transactions'!$G:$G,"=" &amp; $A$12)</f>
        <v>0</v>
      </c>
      <c r="N12">
        <f ca="1">SUMIFS('± Transactions'!$J:$J, '± Transactions'!$B:$B,"&gt;=" &amp; (N$2), '± Transactions'!$B:$B,"&lt;" &amp; DATE(YEAR(N$2),MONTH(N$2)+1,1),'± Transactions'!$G:$G,"=" &amp; $A$12)</f>
        <v>0</v>
      </c>
      <c r="O12">
        <f ca="1">SUMIFS('± Transactions'!$J:$J, '± Transactions'!$B:$B,"&gt;=" &amp; (O$2), '± Transactions'!$B:$B,"&lt;" &amp; DATE(YEAR(O$2),MONTH(O$2)+1,1),'± Transactions'!$G:$G,"=" &amp; $A$12)</f>
        <v>0</v>
      </c>
      <c r="P12">
        <f ca="1">SUMIFS('± Transactions'!$J:$J, '± Transactions'!$B:$B,"&gt;=" &amp; (P$2), '± Transactions'!$B:$B,"&lt;" &amp; DATE(YEAR(P$2),MONTH(P$2)+1,1),'± Transactions'!$G:$G,"=" &amp; $A$12)</f>
        <v>0</v>
      </c>
      <c r="Q12">
        <f ca="1">SUMIFS('± Transactions'!$J:$J, '± Transactions'!$B:$B,"&gt;=" &amp; (Q$2), '± Transactions'!$B:$B,"&lt;" &amp; DATE(YEAR(Q$2),MONTH(Q$2)+1,1),'± Transactions'!$G:$G,"=" &amp; $A$12)</f>
        <v>0</v>
      </c>
      <c r="R12">
        <f ca="1">SUMIFS('± Transactions'!$J:$J, '± Transactions'!$B:$B,"&gt;=" &amp; (R$2), '± Transactions'!$B:$B,"&lt;" &amp; DATE(YEAR(R$2),MONTH(R$2)+1,1),'± Transactions'!$G:$G,"=" &amp; $A$12)</f>
        <v>0</v>
      </c>
      <c r="S12">
        <f ca="1">SUMIFS('± Transactions'!$J:$J, '± Transactions'!$B:$B,"&gt;=" &amp; (S$2), '± Transactions'!$B:$B,"&lt;" &amp; DATE(YEAR(S$2),MONTH(S$2)+1,1),'± Transactions'!$G:$G,"=" &amp; $A$12)</f>
        <v>0</v>
      </c>
      <c r="T12">
        <f ca="1">SUMIFS('± Transactions'!$J:$J, '± Transactions'!$B:$B,"&gt;=" &amp; (T$2), '± Transactions'!$B:$B,"&lt;" &amp; DATE(YEAR(T$2),MONTH(T$2)+1,1),'± Transactions'!$G:$G,"=" &amp; $A$12)</f>
        <v>0</v>
      </c>
      <c r="U12">
        <f ca="1">SUMIFS('± Transactions'!$J:$J, '± Transactions'!$B:$B,"&gt;=" &amp; (U$2), '± Transactions'!$B:$B,"&lt;" &amp; DATE(YEAR(U$2),MONTH(U$2)+1,1),'± Transactions'!$G:$G,"=" &amp; $A$12)</f>
        <v>0</v>
      </c>
      <c r="V12">
        <f t="shared" ca="1" si="1"/>
        <v>0</v>
      </c>
      <c r="W12">
        <f t="shared" ca="1" si="2"/>
        <v>0</v>
      </c>
      <c r="X12">
        <f t="shared" ca="1" si="3"/>
        <v>0</v>
      </c>
      <c r="Y12">
        <f t="shared" ca="1" si="4"/>
        <v>0</v>
      </c>
      <c r="Z12">
        <f t="shared" ca="1" si="6"/>
        <v>0</v>
      </c>
    </row>
    <row r="13" spans="1:26">
      <c r="A13" t="s">
        <v>72</v>
      </c>
      <c r="B13">
        <f t="shared" ref="B13:T13" ca="1" si="8">B$12/(DAY(EOMONTH(B$2,0))*4)</f>
        <v>0</v>
      </c>
      <c r="C13">
        <f t="shared" ca="1" si="8"/>
        <v>0</v>
      </c>
      <c r="D13">
        <f t="shared" ca="1" si="8"/>
        <v>0</v>
      </c>
      <c r="E13">
        <f t="shared" ca="1" si="8"/>
        <v>0</v>
      </c>
      <c r="F13">
        <f t="shared" ca="1" si="8"/>
        <v>0</v>
      </c>
      <c r="G13">
        <f t="shared" ca="1" si="8"/>
        <v>0</v>
      </c>
      <c r="H13">
        <f t="shared" ca="1" si="8"/>
        <v>0</v>
      </c>
      <c r="I13">
        <f t="shared" ca="1" si="8"/>
        <v>0</v>
      </c>
      <c r="J13">
        <f t="shared" ca="1" si="8"/>
        <v>0</v>
      </c>
      <c r="K13">
        <f t="shared" ca="1" si="8"/>
        <v>0</v>
      </c>
      <c r="L13">
        <f t="shared" ca="1" si="8"/>
        <v>0</v>
      </c>
      <c r="M13">
        <f t="shared" ca="1" si="8"/>
        <v>0</v>
      </c>
      <c r="N13">
        <f t="shared" ca="1" si="8"/>
        <v>0</v>
      </c>
      <c r="O13">
        <f t="shared" ca="1" si="8"/>
        <v>0</v>
      </c>
      <c r="P13">
        <f t="shared" ca="1" si="8"/>
        <v>0</v>
      </c>
      <c r="Q13">
        <f t="shared" ca="1" si="8"/>
        <v>0</v>
      </c>
      <c r="R13">
        <f t="shared" ca="1" si="8"/>
        <v>0</v>
      </c>
      <c r="S13">
        <f t="shared" ca="1" si="8"/>
        <v>0</v>
      </c>
      <c r="T13">
        <f t="shared" ca="1" si="8"/>
        <v>0</v>
      </c>
      <c r="U13">
        <f ca="1">$U$12/(DAY(TODAY())*4)</f>
        <v>0</v>
      </c>
      <c r="V13">
        <f t="shared" ca="1" si="1"/>
        <v>0</v>
      </c>
      <c r="W13">
        <f t="shared" ca="1" si="2"/>
        <v>0</v>
      </c>
      <c r="X13">
        <f t="shared" ca="1" si="3"/>
        <v>0</v>
      </c>
      <c r="Y13">
        <f t="shared" ca="1" si="4"/>
        <v>0</v>
      </c>
      <c r="Z13">
        <f t="shared" ca="1" si="6"/>
        <v>0</v>
      </c>
    </row>
    <row r="14" spans="1:26">
      <c r="A14" t="s">
        <v>84</v>
      </c>
      <c r="B14">
        <f t="shared" ref="B14:U14" ca="1" si="9">SUM(B15:B16)</f>
        <v>0</v>
      </c>
      <c r="C14">
        <f t="shared" ca="1" si="9"/>
        <v>0</v>
      </c>
      <c r="D14">
        <f t="shared" ca="1" si="9"/>
        <v>0</v>
      </c>
      <c r="E14">
        <f t="shared" ca="1" si="9"/>
        <v>0</v>
      </c>
      <c r="F14">
        <f t="shared" ca="1" si="9"/>
        <v>0</v>
      </c>
      <c r="G14">
        <f t="shared" ca="1" si="9"/>
        <v>0</v>
      </c>
      <c r="H14">
        <f t="shared" ca="1" si="9"/>
        <v>0</v>
      </c>
      <c r="I14">
        <f t="shared" ca="1" si="9"/>
        <v>0</v>
      </c>
      <c r="J14">
        <f t="shared" ca="1" si="9"/>
        <v>0</v>
      </c>
      <c r="K14">
        <f t="shared" ca="1" si="9"/>
        <v>0</v>
      </c>
      <c r="L14">
        <f t="shared" ca="1" si="9"/>
        <v>0</v>
      </c>
      <c r="M14">
        <f t="shared" ca="1" si="9"/>
        <v>0</v>
      </c>
      <c r="N14">
        <f t="shared" ca="1" si="9"/>
        <v>0</v>
      </c>
      <c r="O14">
        <f t="shared" ca="1" si="9"/>
        <v>0</v>
      </c>
      <c r="P14">
        <f t="shared" ca="1" si="9"/>
        <v>0</v>
      </c>
      <c r="Q14">
        <f t="shared" ca="1" si="9"/>
        <v>0</v>
      </c>
      <c r="R14">
        <f t="shared" ca="1" si="9"/>
        <v>0</v>
      </c>
      <c r="S14">
        <f t="shared" ca="1" si="9"/>
        <v>0</v>
      </c>
      <c r="T14">
        <f t="shared" ca="1" si="9"/>
        <v>0</v>
      </c>
      <c r="U14">
        <f t="shared" ca="1" si="9"/>
        <v>0</v>
      </c>
      <c r="V14">
        <f t="shared" ca="1" si="1"/>
        <v>0</v>
      </c>
      <c r="W14">
        <f t="shared" ca="1" si="2"/>
        <v>0</v>
      </c>
      <c r="X14">
        <f t="shared" ca="1" si="3"/>
        <v>0</v>
      </c>
      <c r="Y14">
        <f t="shared" ca="1" si="4"/>
        <v>0</v>
      </c>
      <c r="Z14">
        <f t="shared" ca="1" si="6"/>
        <v>0</v>
      </c>
    </row>
    <row r="15" spans="1:26">
      <c r="A15" t="s">
        <v>15</v>
      </c>
      <c r="B15">
        <f ca="1">SUMIFS('± Transactions'!$J:$J, '± Transactions'!$B:$B,"&gt;=" &amp; (B$2), '± Transactions'!$B:$B,"&lt;" &amp; DATE(YEAR(B$2),MONTH(B$2)+1,1),'± Transactions'!$H:$H,"=" &amp; $A15)</f>
        <v>0</v>
      </c>
      <c r="C15">
        <f ca="1">SUMIFS('± Transactions'!$J:$J, '± Transactions'!$B:$B,"&gt;=" &amp; (C$2), '± Transactions'!$B:$B,"&lt;" &amp; DATE(YEAR(C$2),MONTH(C$2)+1,1),'± Transactions'!$H:$H,"=" &amp; $A15)</f>
        <v>0</v>
      </c>
      <c r="D15">
        <f ca="1">SUMIFS('± Transactions'!$J:$J, '± Transactions'!$B:$B,"&gt;=" &amp; (D$2), '± Transactions'!$B:$B,"&lt;" &amp; DATE(YEAR(D$2),MONTH(D$2)+1,1),'± Transactions'!$H:$H,"=" &amp; $A15)</f>
        <v>0</v>
      </c>
      <c r="E15">
        <f ca="1">SUMIFS('± Transactions'!$J:$J, '± Transactions'!$B:$B,"&gt;=" &amp; (E$2), '± Transactions'!$B:$B,"&lt;" &amp; DATE(YEAR(E$2),MONTH(E$2)+1,1),'± Transactions'!$H:$H,"=" &amp; $A15)</f>
        <v>0</v>
      </c>
      <c r="F15">
        <f ca="1">SUMIFS('± Transactions'!$J:$J, '± Transactions'!$B:$B,"&gt;=" &amp; (F$2), '± Transactions'!$B:$B,"&lt;" &amp; DATE(YEAR(F$2),MONTH(F$2)+1,1),'± Transactions'!$H:$H,"=" &amp; $A15)</f>
        <v>0</v>
      </c>
      <c r="G15">
        <f ca="1">SUMIFS('± Transactions'!$J:$J, '± Transactions'!$B:$B,"&gt;=" &amp; (G$2), '± Transactions'!$B:$B,"&lt;" &amp; DATE(YEAR(G$2),MONTH(G$2)+1,1),'± Transactions'!$H:$H,"=" &amp; $A15)</f>
        <v>0</v>
      </c>
      <c r="H15">
        <f ca="1">SUMIFS('± Transactions'!$J:$J, '± Transactions'!$B:$B,"&gt;=" &amp; (H$2), '± Transactions'!$B:$B,"&lt;" &amp; DATE(YEAR(H$2),MONTH(H$2)+1,1),'± Transactions'!$H:$H,"=" &amp; $A15)</f>
        <v>0</v>
      </c>
      <c r="I15">
        <f ca="1">SUMIFS('± Transactions'!$J:$J, '± Transactions'!$B:$B,"&gt;=" &amp; (I$2), '± Transactions'!$B:$B,"&lt;" &amp; DATE(YEAR(I$2),MONTH(I$2)+1,1),'± Transactions'!$H:$H,"=" &amp; $A15)</f>
        <v>0</v>
      </c>
      <c r="J15">
        <f ca="1">SUMIFS('± Transactions'!$J:$J, '± Transactions'!$B:$B,"&gt;=" &amp; (J$2), '± Transactions'!$B:$B,"&lt;" &amp; DATE(YEAR(J$2),MONTH(J$2)+1,1),'± Transactions'!$H:$H,"=" &amp; $A15)</f>
        <v>0</v>
      </c>
      <c r="K15">
        <f ca="1">SUMIFS('± Transactions'!$J:$J, '± Transactions'!$B:$B,"&gt;=" &amp; (K$2), '± Transactions'!$B:$B,"&lt;" &amp; DATE(YEAR(K$2),MONTH(K$2)+1,1),'± Transactions'!$H:$H,"=" &amp; $A15)</f>
        <v>0</v>
      </c>
      <c r="L15">
        <f ca="1">SUMIFS('± Transactions'!$J:$J, '± Transactions'!$B:$B,"&gt;=" &amp; (L$2), '± Transactions'!$B:$B,"&lt;" &amp; DATE(YEAR(L$2),MONTH(L$2)+1,1),'± Transactions'!$H:$H,"=" &amp; $A15)</f>
        <v>0</v>
      </c>
      <c r="M15">
        <f ca="1">SUMIFS('± Transactions'!$J:$J, '± Transactions'!$B:$B,"&gt;=" &amp; (M$2), '± Transactions'!$B:$B,"&lt;" &amp; DATE(YEAR(M$2),MONTH(M$2)+1,1),'± Transactions'!$H:$H,"=" &amp; $A15)</f>
        <v>0</v>
      </c>
      <c r="N15">
        <f ca="1">SUMIFS('± Transactions'!$J:$J, '± Transactions'!$B:$B,"&gt;=" &amp; (N$2), '± Transactions'!$B:$B,"&lt;" &amp; DATE(YEAR(N$2),MONTH(N$2)+1,1),'± Transactions'!$H:$H,"=" &amp; $A15)</f>
        <v>0</v>
      </c>
      <c r="O15">
        <f ca="1">SUMIFS('± Transactions'!$J:$J, '± Transactions'!$B:$B,"&gt;=" &amp; (O$2), '± Transactions'!$B:$B,"&lt;" &amp; DATE(YEAR(O$2),MONTH(O$2)+1,1),'± Transactions'!$H:$H,"=" &amp; $A15)</f>
        <v>0</v>
      </c>
      <c r="P15">
        <f ca="1">SUMIFS('± Transactions'!$J:$J, '± Transactions'!$B:$B,"&gt;=" &amp; (P$2), '± Transactions'!$B:$B,"&lt;" &amp; DATE(YEAR(P$2),MONTH(P$2)+1,1),'± Transactions'!$H:$H,"=" &amp; $A15)</f>
        <v>0</v>
      </c>
      <c r="Q15">
        <f ca="1">SUMIFS('± Transactions'!$J:$J, '± Transactions'!$B:$B,"&gt;=" &amp; (Q$2), '± Transactions'!$B:$B,"&lt;" &amp; DATE(YEAR(Q$2),MONTH(Q$2)+1,1),'± Transactions'!$H:$H,"=" &amp; $A15)</f>
        <v>0</v>
      </c>
      <c r="R15">
        <f ca="1">SUMIFS('± Transactions'!$J:$J, '± Transactions'!$B:$B,"&gt;=" &amp; (R$2), '± Transactions'!$B:$B,"&lt;" &amp; DATE(YEAR(R$2),MONTH(R$2)+1,1),'± Transactions'!$H:$H,"=" &amp; $A15)</f>
        <v>0</v>
      </c>
      <c r="S15">
        <f ca="1">SUMIFS('± Transactions'!$J:$J, '± Transactions'!$B:$B,"&gt;=" &amp; (S$2), '± Transactions'!$B:$B,"&lt;" &amp; DATE(YEAR(S$2),MONTH(S$2)+1,1),'± Transactions'!$H:$H,"=" &amp; $A15)</f>
        <v>0</v>
      </c>
      <c r="T15">
        <f ca="1">SUMIFS('± Transactions'!$J:$J, '± Transactions'!$B:$B,"&gt;=" &amp; (T$2), '± Transactions'!$B:$B,"&lt;" &amp; DATE(YEAR(T$2),MONTH(T$2)+1,1),'± Transactions'!$H:$H,"=" &amp; $A15)</f>
        <v>0</v>
      </c>
      <c r="U15">
        <f ca="1">SUMIFS('± Transactions'!$J:$J, '± Transactions'!$B:$B,"&gt;=" &amp; (U$2), '± Transactions'!$B:$B,"&lt;" &amp; DATE(YEAR(U$2),MONTH(U$2)+1,1),'± Transactions'!$H:$H,"=" &amp; $A15)</f>
        <v>0</v>
      </c>
      <c r="V15">
        <f t="shared" ca="1" si="1"/>
        <v>0</v>
      </c>
      <c r="W15">
        <f t="shared" ca="1" si="2"/>
        <v>0</v>
      </c>
      <c r="X15">
        <f t="shared" ca="1" si="3"/>
        <v>0</v>
      </c>
      <c r="Y15">
        <f t="shared" ca="1" si="4"/>
        <v>0</v>
      </c>
      <c r="Z15">
        <f t="shared" ca="1" si="6"/>
        <v>0</v>
      </c>
    </row>
    <row r="16" spans="1:26">
      <c r="A16" t="s">
        <v>20</v>
      </c>
      <c r="B16">
        <f ca="1">SUMIFS('± Transactions'!$J:$J, '± Transactions'!$B:$B,"&gt;=" &amp; (B$2), '± Transactions'!$B:$B,"&lt;" &amp; DATE(YEAR(B$2),MONTH(B$2)+1,1),'± Transactions'!$H:$H,"=" &amp; $A16)</f>
        <v>0</v>
      </c>
      <c r="C16">
        <f ca="1">SUMIFS('± Transactions'!$J:$J, '± Transactions'!$B:$B,"&gt;=" &amp; (C$2), '± Transactions'!$B:$B,"&lt;" &amp; DATE(YEAR(C$2),MONTH(C$2)+1,1),'± Transactions'!$H:$H,"=" &amp; $A16)</f>
        <v>0</v>
      </c>
      <c r="D16">
        <f ca="1">SUMIFS('± Transactions'!$J:$J, '± Transactions'!$B:$B,"&gt;=" &amp; (D$2), '± Transactions'!$B:$B,"&lt;" &amp; DATE(YEAR(D$2),MONTH(D$2)+1,1),'± Transactions'!$H:$H,"=" &amp; $A16)</f>
        <v>0</v>
      </c>
      <c r="E16">
        <f ca="1">SUMIFS('± Transactions'!$J:$J, '± Transactions'!$B:$B,"&gt;=" &amp; (E$2), '± Transactions'!$B:$B,"&lt;" &amp; DATE(YEAR(E$2),MONTH(E$2)+1,1),'± Transactions'!$H:$H,"=" &amp; $A16)</f>
        <v>0</v>
      </c>
      <c r="F16">
        <f ca="1">SUMIFS('± Transactions'!$J:$J, '± Transactions'!$B:$B,"&gt;=" &amp; (F$2), '± Transactions'!$B:$B,"&lt;" &amp; DATE(YEAR(F$2),MONTH(F$2)+1,1),'± Transactions'!$H:$H,"=" &amp; $A16)</f>
        <v>0</v>
      </c>
      <c r="G16">
        <f ca="1">SUMIFS('± Transactions'!$J:$J, '± Transactions'!$B:$B,"&gt;=" &amp; (G$2), '± Transactions'!$B:$B,"&lt;" &amp; DATE(YEAR(G$2),MONTH(G$2)+1,1),'± Transactions'!$H:$H,"=" &amp; $A16)</f>
        <v>0</v>
      </c>
      <c r="H16">
        <f ca="1">SUMIFS('± Transactions'!$J:$J, '± Transactions'!$B:$B,"&gt;=" &amp; (H$2), '± Transactions'!$B:$B,"&lt;" &amp; DATE(YEAR(H$2),MONTH(H$2)+1,1),'± Transactions'!$H:$H,"=" &amp; $A16)</f>
        <v>0</v>
      </c>
      <c r="I16">
        <f ca="1">SUMIFS('± Transactions'!$J:$J, '± Transactions'!$B:$B,"&gt;=" &amp; (I$2), '± Transactions'!$B:$B,"&lt;" &amp; DATE(YEAR(I$2),MONTH(I$2)+1,1),'± Transactions'!$H:$H,"=" &amp; $A16)</f>
        <v>0</v>
      </c>
      <c r="J16">
        <f ca="1">SUMIFS('± Transactions'!$J:$J, '± Transactions'!$B:$B,"&gt;=" &amp; (J$2), '± Transactions'!$B:$B,"&lt;" &amp; DATE(YEAR(J$2),MONTH(J$2)+1,1),'± Transactions'!$H:$H,"=" &amp; $A16)</f>
        <v>0</v>
      </c>
      <c r="K16">
        <f ca="1">SUMIFS('± Transactions'!$J:$J, '± Transactions'!$B:$B,"&gt;=" &amp; (K$2), '± Transactions'!$B:$B,"&lt;" &amp; DATE(YEAR(K$2),MONTH(K$2)+1,1),'± Transactions'!$H:$H,"=" &amp; $A16)</f>
        <v>0</v>
      </c>
      <c r="L16">
        <f ca="1">SUMIFS('± Transactions'!$J:$J, '± Transactions'!$B:$B,"&gt;=" &amp; (L$2), '± Transactions'!$B:$B,"&lt;" &amp; DATE(YEAR(L$2),MONTH(L$2)+1,1),'± Transactions'!$H:$H,"=" &amp; $A16)</f>
        <v>0</v>
      </c>
      <c r="M16">
        <f ca="1">SUMIFS('± Transactions'!$J:$J, '± Transactions'!$B:$B,"&gt;=" &amp; (M$2), '± Transactions'!$B:$B,"&lt;" &amp; DATE(YEAR(M$2),MONTH(M$2)+1,1),'± Transactions'!$H:$H,"=" &amp; $A16)</f>
        <v>0</v>
      </c>
      <c r="N16">
        <f ca="1">SUMIFS('± Transactions'!$J:$J, '± Transactions'!$B:$B,"&gt;=" &amp; (N$2), '± Transactions'!$B:$B,"&lt;" &amp; DATE(YEAR(N$2),MONTH(N$2)+1,1),'± Transactions'!$H:$H,"=" &amp; $A16)</f>
        <v>0</v>
      </c>
      <c r="O16">
        <f ca="1">SUMIFS('± Transactions'!$J:$J, '± Transactions'!$B:$B,"&gt;=" &amp; (O$2), '± Transactions'!$B:$B,"&lt;" &amp; DATE(YEAR(O$2),MONTH(O$2)+1,1),'± Transactions'!$H:$H,"=" &amp; $A16)</f>
        <v>0</v>
      </c>
      <c r="P16">
        <f ca="1">SUMIFS('± Transactions'!$J:$J, '± Transactions'!$B:$B,"&gt;=" &amp; (P$2), '± Transactions'!$B:$B,"&lt;" &amp; DATE(YEAR(P$2),MONTH(P$2)+1,1),'± Transactions'!$H:$H,"=" &amp; $A16)</f>
        <v>0</v>
      </c>
      <c r="Q16">
        <f ca="1">SUMIFS('± Transactions'!$J:$J, '± Transactions'!$B:$B,"&gt;=" &amp; (Q$2), '± Transactions'!$B:$B,"&lt;" &amp; DATE(YEAR(Q$2),MONTH(Q$2)+1,1),'± Transactions'!$H:$H,"=" &amp; $A16)</f>
        <v>0</v>
      </c>
      <c r="R16">
        <f ca="1">SUMIFS('± Transactions'!$J:$J, '± Transactions'!$B:$B,"&gt;=" &amp; (R$2), '± Transactions'!$B:$B,"&lt;" &amp; DATE(YEAR(R$2),MONTH(R$2)+1,1),'± Transactions'!$H:$H,"=" &amp; $A16)</f>
        <v>0</v>
      </c>
      <c r="S16">
        <f ca="1">SUMIFS('± Transactions'!$J:$J, '± Transactions'!$B:$B,"&gt;=" &amp; (S$2), '± Transactions'!$B:$B,"&lt;" &amp; DATE(YEAR(S$2),MONTH(S$2)+1,1),'± Transactions'!$H:$H,"=" &amp; $A16)</f>
        <v>0</v>
      </c>
      <c r="T16">
        <f ca="1">SUMIFS('± Transactions'!$J:$J, '± Transactions'!$B:$B,"&gt;=" &amp; (T$2), '± Transactions'!$B:$B,"&lt;" &amp; DATE(YEAR(T$2),MONTH(T$2)+1,1),'± Transactions'!$H:$H,"=" &amp; $A16)</f>
        <v>0</v>
      </c>
      <c r="U16">
        <f ca="1">SUMIFS('± Transactions'!$J:$J, '± Transactions'!$B:$B,"&gt;=" &amp; (U$2), '± Transactions'!$B:$B,"&lt;" &amp; DATE(YEAR(U$2),MONTH(U$2)+1,1),'± Transactions'!$H:$H,"=" &amp; $A16)</f>
        <v>0</v>
      </c>
      <c r="V16">
        <f t="shared" ca="1" si="1"/>
        <v>0</v>
      </c>
      <c r="W16">
        <f t="shared" ca="1" si="2"/>
        <v>0</v>
      </c>
      <c r="X16">
        <f t="shared" ca="1" si="3"/>
        <v>0</v>
      </c>
      <c r="Y16">
        <f t="shared" ca="1" si="4"/>
        <v>0</v>
      </c>
      <c r="Z16">
        <f t="shared" ca="1" si="6"/>
        <v>0</v>
      </c>
    </row>
    <row r="17" spans="1:26">
      <c r="A17" t="s">
        <v>16</v>
      </c>
      <c r="B17">
        <f ca="1">SUMIFS('± Transactions'!$J:$J, '± Transactions'!$B:$B,"&gt;=" &amp; (B$2), '± Transactions'!$B:$B,"&lt;" &amp; DATE(YEAR(B$2),MONTH(B$2)+1,1),'± Transactions'!$H:$H,"=" &amp; $A17)</f>
        <v>0</v>
      </c>
      <c r="C17">
        <f ca="1">SUMIFS('± Transactions'!$J:$J, '± Transactions'!$B:$B,"&gt;=" &amp; (C$2), '± Transactions'!$B:$B,"&lt;" &amp; DATE(YEAR(C$2),MONTH(C$2)+1,1),'± Transactions'!$H:$H,"=" &amp; $A17)</f>
        <v>0</v>
      </c>
      <c r="D17">
        <f ca="1">SUMIFS('± Transactions'!$J:$J, '± Transactions'!$B:$B,"&gt;=" &amp; (D$2), '± Transactions'!$B:$B,"&lt;" &amp; DATE(YEAR(D$2),MONTH(D$2)+1,1),'± Transactions'!$H:$H,"=" &amp; $A17)</f>
        <v>0</v>
      </c>
      <c r="E17">
        <f ca="1">SUMIFS('± Transactions'!$J:$J, '± Transactions'!$B:$B,"&gt;=" &amp; (E$2), '± Transactions'!$B:$B,"&lt;" &amp; DATE(YEAR(E$2),MONTH(E$2)+1,1),'± Transactions'!$H:$H,"=" &amp; $A17)</f>
        <v>0</v>
      </c>
      <c r="F17">
        <f ca="1">SUMIFS('± Transactions'!$J:$J, '± Transactions'!$B:$B,"&gt;=" &amp; (F$2), '± Transactions'!$B:$B,"&lt;" &amp; DATE(YEAR(F$2),MONTH(F$2)+1,1),'± Transactions'!$H:$H,"=" &amp; $A17)</f>
        <v>0</v>
      </c>
      <c r="G17">
        <f ca="1">SUMIFS('± Transactions'!$J:$J, '± Transactions'!$B:$B,"&gt;=" &amp; (G$2), '± Transactions'!$B:$B,"&lt;" &amp; DATE(YEAR(G$2),MONTH(G$2)+1,1),'± Transactions'!$H:$H,"=" &amp; $A17)</f>
        <v>0</v>
      </c>
      <c r="H17">
        <f ca="1">SUMIFS('± Transactions'!$J:$J, '± Transactions'!$B:$B,"&gt;=" &amp; (H$2), '± Transactions'!$B:$B,"&lt;" &amp; DATE(YEAR(H$2),MONTH(H$2)+1,1),'± Transactions'!$H:$H,"=" &amp; $A17)</f>
        <v>0</v>
      </c>
      <c r="I17">
        <f ca="1">SUMIFS('± Transactions'!$J:$J, '± Transactions'!$B:$B,"&gt;=" &amp; (I$2), '± Transactions'!$B:$B,"&lt;" &amp; DATE(YEAR(I$2),MONTH(I$2)+1,1),'± Transactions'!$H:$H,"=" &amp; $A17)</f>
        <v>0</v>
      </c>
      <c r="J17">
        <f ca="1">SUMIFS('± Transactions'!$J:$J, '± Transactions'!$B:$B,"&gt;=" &amp; (J$2), '± Transactions'!$B:$B,"&lt;" &amp; DATE(YEAR(J$2),MONTH(J$2)+1,1),'± Transactions'!$H:$H,"=" &amp; $A17)</f>
        <v>0</v>
      </c>
      <c r="K17">
        <f ca="1">SUMIFS('± Transactions'!$J:$J, '± Transactions'!$B:$B,"&gt;=" &amp; (K$2), '± Transactions'!$B:$B,"&lt;" &amp; DATE(YEAR(K$2),MONTH(K$2)+1,1),'± Transactions'!$H:$H,"=" &amp; $A17)</f>
        <v>0</v>
      </c>
      <c r="L17">
        <f ca="1">SUMIFS('± Transactions'!$J:$J, '± Transactions'!$B:$B,"&gt;=" &amp; (L$2), '± Transactions'!$B:$B,"&lt;" &amp; DATE(YEAR(L$2),MONTH(L$2)+1,1),'± Transactions'!$H:$H,"=" &amp; $A17)</f>
        <v>0</v>
      </c>
      <c r="M17">
        <f ca="1">SUMIFS('± Transactions'!$J:$J, '± Transactions'!$B:$B,"&gt;=" &amp; (M$2), '± Transactions'!$B:$B,"&lt;" &amp; DATE(YEAR(M$2),MONTH(M$2)+1,1),'± Transactions'!$H:$H,"=" &amp; $A17)</f>
        <v>0</v>
      </c>
      <c r="N17">
        <f ca="1">SUMIFS('± Transactions'!$J:$J, '± Transactions'!$B:$B,"&gt;=" &amp; (N$2), '± Transactions'!$B:$B,"&lt;" &amp; DATE(YEAR(N$2),MONTH(N$2)+1,1),'± Transactions'!$H:$H,"=" &amp; $A17)</f>
        <v>0</v>
      </c>
      <c r="O17">
        <f ca="1">SUMIFS('± Transactions'!$J:$J, '± Transactions'!$B:$B,"&gt;=" &amp; (O$2), '± Transactions'!$B:$B,"&lt;" &amp; DATE(YEAR(O$2),MONTH(O$2)+1,1),'± Transactions'!$H:$H,"=" &amp; $A17)</f>
        <v>0</v>
      </c>
      <c r="P17">
        <f ca="1">SUMIFS('± Transactions'!$J:$J, '± Transactions'!$B:$B,"&gt;=" &amp; (P$2), '± Transactions'!$B:$B,"&lt;" &amp; DATE(YEAR(P$2),MONTH(P$2)+1,1),'± Transactions'!$H:$H,"=" &amp; $A17)</f>
        <v>0</v>
      </c>
      <c r="Q17">
        <f ca="1">SUMIFS('± Transactions'!$J:$J, '± Transactions'!$B:$B,"&gt;=" &amp; (Q$2), '± Transactions'!$B:$B,"&lt;" &amp; DATE(YEAR(Q$2),MONTH(Q$2)+1,1),'± Transactions'!$H:$H,"=" &amp; $A17)</f>
        <v>0</v>
      </c>
      <c r="R17">
        <f ca="1">SUMIFS('± Transactions'!$J:$J, '± Transactions'!$B:$B,"&gt;=" &amp; (R$2), '± Transactions'!$B:$B,"&lt;" &amp; DATE(YEAR(R$2),MONTH(R$2)+1,1),'± Transactions'!$H:$H,"=" &amp; $A17)</f>
        <v>0</v>
      </c>
      <c r="S17">
        <f ca="1">SUMIFS('± Transactions'!$J:$J, '± Transactions'!$B:$B,"&gt;=" &amp; (S$2), '± Transactions'!$B:$B,"&lt;" &amp; DATE(YEAR(S$2),MONTH(S$2)+1,1),'± Transactions'!$H:$H,"=" &amp; $A17)</f>
        <v>0</v>
      </c>
      <c r="T17">
        <f ca="1">SUMIFS('± Transactions'!$J:$J, '± Transactions'!$B:$B,"&gt;=" &amp; (T$2), '± Transactions'!$B:$B,"&lt;" &amp; DATE(YEAR(T$2),MONTH(T$2)+1,1),'± Transactions'!$H:$H,"=" &amp; $A17)</f>
        <v>0</v>
      </c>
      <c r="U17">
        <f ca="1">SUMIFS('± Transactions'!$J:$J, '± Transactions'!$B:$B,"&gt;=" &amp; (U$2), '± Transactions'!$B:$B,"&lt;" &amp; DATE(YEAR(U$2),MONTH(U$2)+1,1),'± Transactions'!$H:$H,"=" &amp; $A17)</f>
        <v>0</v>
      </c>
      <c r="V17">
        <f t="shared" ca="1" si="1"/>
        <v>0</v>
      </c>
      <c r="W17">
        <f t="shared" ca="1" si="2"/>
        <v>0</v>
      </c>
      <c r="X17">
        <f t="shared" ca="1" si="3"/>
        <v>0</v>
      </c>
      <c r="Y17">
        <f t="shared" ca="1" si="4"/>
        <v>0</v>
      </c>
      <c r="Z17">
        <f t="shared" ca="1" si="6"/>
        <v>0</v>
      </c>
    </row>
    <row r="18" spans="1:26">
      <c r="A18" t="s">
        <v>76</v>
      </c>
      <c r="B18">
        <f t="shared" ref="B18:U18" ca="1" si="10">SUM(B19:B23)</f>
        <v>0</v>
      </c>
      <c r="C18">
        <f t="shared" ca="1" si="10"/>
        <v>0</v>
      </c>
      <c r="D18">
        <f t="shared" ca="1" si="10"/>
        <v>0</v>
      </c>
      <c r="E18">
        <f t="shared" ca="1" si="10"/>
        <v>0</v>
      </c>
      <c r="F18">
        <f t="shared" ca="1" si="10"/>
        <v>0</v>
      </c>
      <c r="G18">
        <f t="shared" ca="1" si="10"/>
        <v>0</v>
      </c>
      <c r="H18">
        <f t="shared" ca="1" si="10"/>
        <v>0</v>
      </c>
      <c r="I18">
        <f t="shared" ca="1" si="10"/>
        <v>0</v>
      </c>
      <c r="J18">
        <f t="shared" ca="1" si="10"/>
        <v>0</v>
      </c>
      <c r="K18">
        <f t="shared" ca="1" si="10"/>
        <v>0</v>
      </c>
      <c r="L18">
        <f t="shared" ca="1" si="10"/>
        <v>0</v>
      </c>
      <c r="M18">
        <f t="shared" ca="1" si="10"/>
        <v>0</v>
      </c>
      <c r="N18">
        <f t="shared" ca="1" si="10"/>
        <v>0</v>
      </c>
      <c r="O18">
        <f t="shared" ca="1" si="10"/>
        <v>0</v>
      </c>
      <c r="P18">
        <f t="shared" ca="1" si="10"/>
        <v>0</v>
      </c>
      <c r="Q18">
        <f t="shared" ca="1" si="10"/>
        <v>0</v>
      </c>
      <c r="R18">
        <f t="shared" ca="1" si="10"/>
        <v>0</v>
      </c>
      <c r="S18">
        <f t="shared" ca="1" si="10"/>
        <v>0</v>
      </c>
      <c r="T18">
        <f t="shared" ca="1" si="10"/>
        <v>0</v>
      </c>
      <c r="U18">
        <f t="shared" ca="1" si="10"/>
        <v>0</v>
      </c>
      <c r="V18">
        <f t="shared" ca="1" si="1"/>
        <v>0</v>
      </c>
      <c r="W18">
        <f t="shared" ca="1" si="2"/>
        <v>0</v>
      </c>
      <c r="X18">
        <f t="shared" ca="1" si="3"/>
        <v>0</v>
      </c>
      <c r="Y18">
        <f t="shared" ca="1" si="4"/>
        <v>0</v>
      </c>
      <c r="Z18">
        <f t="shared" ca="1" si="6"/>
        <v>0</v>
      </c>
    </row>
    <row r="19" spans="1:26">
      <c r="A19" t="s">
        <v>12</v>
      </c>
      <c r="B19">
        <f ca="1">SUMIFS('± Transactions'!$J:$J, '± Transactions'!$B:$B,"&gt;=" &amp; (B$2), '± Transactions'!$B:$B,"&lt;" &amp; DATE(YEAR(B$2),MONTH(B$2)+1,1),'± Transactions'!$H:$H,"=" &amp; $A19)</f>
        <v>0</v>
      </c>
      <c r="C19">
        <f ca="1">SUMIFS('± Transactions'!$J:$J, '± Transactions'!$B:$B,"&gt;=" &amp; (C$2), '± Transactions'!$B:$B,"&lt;" &amp; DATE(YEAR(C$2),MONTH(C$2)+1,1),'± Transactions'!$H:$H,"=" &amp; $A19)</f>
        <v>0</v>
      </c>
      <c r="D19">
        <f ca="1">SUMIFS('± Transactions'!$J:$J, '± Transactions'!$B:$B,"&gt;=" &amp; (D$2), '± Transactions'!$B:$B,"&lt;" &amp; DATE(YEAR(D$2),MONTH(D$2)+1,1),'± Transactions'!$H:$H,"=" &amp; $A19)</f>
        <v>0</v>
      </c>
      <c r="E19">
        <f ca="1">SUMIFS('± Transactions'!$J:$J, '± Transactions'!$B:$B,"&gt;=" &amp; (E$2), '± Transactions'!$B:$B,"&lt;" &amp; DATE(YEAR(E$2),MONTH(E$2)+1,1),'± Transactions'!$H:$H,"=" &amp; $A19)</f>
        <v>0</v>
      </c>
      <c r="F19">
        <f ca="1">SUMIFS('± Transactions'!$J:$J, '± Transactions'!$B:$B,"&gt;=" &amp; (F$2), '± Transactions'!$B:$B,"&lt;" &amp; DATE(YEAR(F$2),MONTH(F$2)+1,1),'± Transactions'!$H:$H,"=" &amp; $A19)</f>
        <v>0</v>
      </c>
      <c r="G19">
        <f ca="1">SUMIFS('± Transactions'!$J:$J, '± Transactions'!$B:$B,"&gt;=" &amp; (G$2), '± Transactions'!$B:$B,"&lt;" &amp; DATE(YEAR(G$2),MONTH(G$2)+1,1),'± Transactions'!$H:$H,"=" &amp; $A19)</f>
        <v>0</v>
      </c>
      <c r="H19">
        <f ca="1">SUMIFS('± Transactions'!$J:$J, '± Transactions'!$B:$B,"&gt;=" &amp; (H$2), '± Transactions'!$B:$B,"&lt;" &amp; DATE(YEAR(H$2),MONTH(H$2)+1,1),'± Transactions'!$H:$H,"=" &amp; $A19)</f>
        <v>0</v>
      </c>
      <c r="I19">
        <f ca="1">SUMIFS('± Transactions'!$J:$J, '± Transactions'!$B:$B,"&gt;=" &amp; (I$2), '± Transactions'!$B:$B,"&lt;" &amp; DATE(YEAR(I$2),MONTH(I$2)+1,1),'± Transactions'!$H:$H,"=" &amp; $A19)</f>
        <v>0</v>
      </c>
      <c r="J19">
        <f ca="1">SUMIFS('± Transactions'!$J:$J, '± Transactions'!$B:$B,"&gt;=" &amp; (J$2), '± Transactions'!$B:$B,"&lt;" &amp; DATE(YEAR(J$2),MONTH(J$2)+1,1),'± Transactions'!$H:$H,"=" &amp; $A19)</f>
        <v>0</v>
      </c>
      <c r="K19">
        <f ca="1">SUMIFS('± Transactions'!$J:$J, '± Transactions'!$B:$B,"&gt;=" &amp; (K$2), '± Transactions'!$B:$B,"&lt;" &amp; DATE(YEAR(K$2),MONTH(K$2)+1,1),'± Transactions'!$H:$H,"=" &amp; $A19)</f>
        <v>0</v>
      </c>
      <c r="L19">
        <f ca="1">SUMIFS('± Transactions'!$J:$J, '± Transactions'!$B:$B,"&gt;=" &amp; (L$2), '± Transactions'!$B:$B,"&lt;" &amp; DATE(YEAR(L$2),MONTH(L$2)+1,1),'± Transactions'!$H:$H,"=" &amp; $A19)</f>
        <v>0</v>
      </c>
      <c r="M19">
        <f ca="1">SUMIFS('± Transactions'!$J:$J, '± Transactions'!$B:$B,"&gt;=" &amp; (M$2), '± Transactions'!$B:$B,"&lt;" &amp; DATE(YEAR(M$2),MONTH(M$2)+1,1),'± Transactions'!$H:$H,"=" &amp; $A19)</f>
        <v>0</v>
      </c>
      <c r="N19">
        <f ca="1">SUMIFS('± Transactions'!$J:$J, '± Transactions'!$B:$B,"&gt;=" &amp; (N$2), '± Transactions'!$B:$B,"&lt;" &amp; DATE(YEAR(N$2),MONTH(N$2)+1,1),'± Transactions'!$H:$H,"=" &amp; $A19)</f>
        <v>0</v>
      </c>
      <c r="O19">
        <f ca="1">SUMIFS('± Transactions'!$J:$J, '± Transactions'!$B:$B,"&gt;=" &amp; (O$2), '± Transactions'!$B:$B,"&lt;" &amp; DATE(YEAR(O$2),MONTH(O$2)+1,1),'± Transactions'!$H:$H,"=" &amp; $A19)</f>
        <v>0</v>
      </c>
      <c r="P19">
        <f ca="1">SUMIFS('± Transactions'!$J:$J, '± Transactions'!$B:$B,"&gt;=" &amp; (P$2), '± Transactions'!$B:$B,"&lt;" &amp; DATE(YEAR(P$2),MONTH(P$2)+1,1),'± Transactions'!$H:$H,"=" &amp; $A19)</f>
        <v>0</v>
      </c>
      <c r="Q19">
        <f ca="1">SUMIFS('± Transactions'!$J:$J, '± Transactions'!$B:$B,"&gt;=" &amp; (Q$2), '± Transactions'!$B:$B,"&lt;" &amp; DATE(YEAR(Q$2),MONTH(Q$2)+1,1),'± Transactions'!$H:$H,"=" &amp; $A19)</f>
        <v>0</v>
      </c>
      <c r="R19">
        <f ca="1">SUMIFS('± Transactions'!$J:$J, '± Transactions'!$B:$B,"&gt;=" &amp; (R$2), '± Transactions'!$B:$B,"&lt;" &amp; DATE(YEAR(R$2),MONTH(R$2)+1,1),'± Transactions'!$H:$H,"=" &amp; $A19)</f>
        <v>0</v>
      </c>
      <c r="S19">
        <f ca="1">SUMIFS('± Transactions'!$J:$J, '± Transactions'!$B:$B,"&gt;=" &amp; (S$2), '± Transactions'!$B:$B,"&lt;" &amp; DATE(YEAR(S$2),MONTH(S$2)+1,1),'± Transactions'!$H:$H,"=" &amp; $A19)</f>
        <v>0</v>
      </c>
      <c r="T19">
        <f ca="1">SUMIFS('± Transactions'!$J:$J, '± Transactions'!$B:$B,"&gt;=" &amp; (T$2), '± Transactions'!$B:$B,"&lt;" &amp; DATE(YEAR(T$2),MONTH(T$2)+1,1),'± Transactions'!$H:$H,"=" &amp; $A19)</f>
        <v>0</v>
      </c>
      <c r="U19">
        <f ca="1">SUMIFS('± Transactions'!$J:$J, '± Transactions'!$B:$B,"&gt;=" &amp; (U$2), '± Transactions'!$B:$B,"&lt;" &amp; DATE(YEAR(U$2),MONTH(U$2)+1,1),'± Transactions'!$H:$H,"=" &amp; $A19)</f>
        <v>0</v>
      </c>
      <c r="V19">
        <f t="shared" ca="1" si="1"/>
        <v>0</v>
      </c>
      <c r="W19">
        <f t="shared" ca="1" si="2"/>
        <v>0</v>
      </c>
      <c r="X19">
        <f t="shared" ca="1" si="3"/>
        <v>0</v>
      </c>
      <c r="Y19">
        <f t="shared" ca="1" si="4"/>
        <v>0</v>
      </c>
      <c r="Z19">
        <f t="shared" ca="1" si="6"/>
        <v>0</v>
      </c>
    </row>
    <row r="20" spans="1:26">
      <c r="A20" t="s">
        <v>13</v>
      </c>
      <c r="B20">
        <f ca="1">SUMIFS('± Transactions'!$J:$J, '± Transactions'!$B:$B,"&gt;=" &amp; (B$2), '± Transactions'!$B:$B,"&lt;" &amp; DATE(YEAR(B$2),MONTH(B$2)+1,1),'± Transactions'!$H:$H,"=" &amp; $A20)</f>
        <v>0</v>
      </c>
      <c r="C20">
        <f ca="1">SUMIFS('± Transactions'!$J:$J, '± Transactions'!$B:$B,"&gt;=" &amp; (C$2), '± Transactions'!$B:$B,"&lt;" &amp; DATE(YEAR(C$2),MONTH(C$2)+1,1),'± Transactions'!$H:$H,"=" &amp; $A20)</f>
        <v>0</v>
      </c>
      <c r="D20">
        <f ca="1">SUMIFS('± Transactions'!$J:$J, '± Transactions'!$B:$B,"&gt;=" &amp; (D$2), '± Transactions'!$B:$B,"&lt;" &amp; DATE(YEAR(D$2),MONTH(D$2)+1,1),'± Transactions'!$H:$H,"=" &amp; $A20)</f>
        <v>0</v>
      </c>
      <c r="E20">
        <f ca="1">SUMIFS('± Transactions'!$J:$J, '± Transactions'!$B:$B,"&gt;=" &amp; (E$2), '± Transactions'!$B:$B,"&lt;" &amp; DATE(YEAR(E$2),MONTH(E$2)+1,1),'± Transactions'!$H:$H,"=" &amp; $A20)</f>
        <v>0</v>
      </c>
      <c r="F20">
        <f ca="1">SUMIFS('± Transactions'!$J:$J, '± Transactions'!$B:$B,"&gt;=" &amp; (F$2), '± Transactions'!$B:$B,"&lt;" &amp; DATE(YEAR(F$2),MONTH(F$2)+1,1),'± Transactions'!$H:$H,"=" &amp; $A20)</f>
        <v>0</v>
      </c>
      <c r="G20">
        <f ca="1">SUMIFS('± Transactions'!$J:$J, '± Transactions'!$B:$B,"&gt;=" &amp; (G$2), '± Transactions'!$B:$B,"&lt;" &amp; DATE(YEAR(G$2),MONTH(G$2)+1,1),'± Transactions'!$H:$H,"=" &amp; $A20)</f>
        <v>0</v>
      </c>
      <c r="H20">
        <f ca="1">SUMIFS('± Transactions'!$J:$J, '± Transactions'!$B:$B,"&gt;=" &amp; (H$2), '± Transactions'!$B:$B,"&lt;" &amp; DATE(YEAR(H$2),MONTH(H$2)+1,1),'± Transactions'!$H:$H,"=" &amp; $A20)</f>
        <v>0</v>
      </c>
      <c r="I20">
        <f ca="1">SUMIFS('± Transactions'!$J:$J, '± Transactions'!$B:$B,"&gt;=" &amp; (I$2), '± Transactions'!$B:$B,"&lt;" &amp; DATE(YEAR(I$2),MONTH(I$2)+1,1),'± Transactions'!$H:$H,"=" &amp; $A20)</f>
        <v>0</v>
      </c>
      <c r="J20">
        <f ca="1">SUMIFS('± Transactions'!$J:$J, '± Transactions'!$B:$B,"&gt;=" &amp; (J$2), '± Transactions'!$B:$B,"&lt;" &amp; DATE(YEAR(J$2),MONTH(J$2)+1,1),'± Transactions'!$H:$H,"=" &amp; $A20)</f>
        <v>0</v>
      </c>
      <c r="K20">
        <f ca="1">SUMIFS('± Transactions'!$J:$J, '± Transactions'!$B:$B,"&gt;=" &amp; (K$2), '± Transactions'!$B:$B,"&lt;" &amp; DATE(YEAR(K$2),MONTH(K$2)+1,1),'± Transactions'!$H:$H,"=" &amp; $A20)</f>
        <v>0</v>
      </c>
      <c r="L20">
        <f ca="1">SUMIFS('± Transactions'!$J:$J, '± Transactions'!$B:$B,"&gt;=" &amp; (L$2), '± Transactions'!$B:$B,"&lt;" &amp; DATE(YEAR(L$2),MONTH(L$2)+1,1),'± Transactions'!$H:$H,"=" &amp; $A20)</f>
        <v>0</v>
      </c>
      <c r="M20">
        <f ca="1">SUMIFS('± Transactions'!$J:$J, '± Transactions'!$B:$B,"&gt;=" &amp; (M$2), '± Transactions'!$B:$B,"&lt;" &amp; DATE(YEAR(M$2),MONTH(M$2)+1,1),'± Transactions'!$H:$H,"=" &amp; $A20)</f>
        <v>0</v>
      </c>
      <c r="N20">
        <f ca="1">SUMIFS('± Transactions'!$J:$J, '± Transactions'!$B:$B,"&gt;=" &amp; (N$2), '± Transactions'!$B:$B,"&lt;" &amp; DATE(YEAR(N$2),MONTH(N$2)+1,1),'± Transactions'!$H:$H,"=" &amp; $A20)</f>
        <v>0</v>
      </c>
      <c r="O20">
        <f ca="1">SUMIFS('± Transactions'!$J:$J, '± Transactions'!$B:$B,"&gt;=" &amp; (O$2), '± Transactions'!$B:$B,"&lt;" &amp; DATE(YEAR(O$2),MONTH(O$2)+1,1),'± Transactions'!$H:$H,"=" &amp; $A20)</f>
        <v>0</v>
      </c>
      <c r="P20">
        <f ca="1">SUMIFS('± Transactions'!$J:$J, '± Transactions'!$B:$B,"&gt;=" &amp; (P$2), '± Transactions'!$B:$B,"&lt;" &amp; DATE(YEAR(P$2),MONTH(P$2)+1,1),'± Transactions'!$H:$H,"=" &amp; $A20)</f>
        <v>0</v>
      </c>
      <c r="Q20">
        <f ca="1">SUMIFS('± Transactions'!$J:$J, '± Transactions'!$B:$B,"&gt;=" &amp; (Q$2), '± Transactions'!$B:$B,"&lt;" &amp; DATE(YEAR(Q$2),MONTH(Q$2)+1,1),'± Transactions'!$H:$H,"=" &amp; $A20)</f>
        <v>0</v>
      </c>
      <c r="R20">
        <f ca="1">SUMIFS('± Transactions'!$J:$J, '± Transactions'!$B:$B,"&gt;=" &amp; (R$2), '± Transactions'!$B:$B,"&lt;" &amp; DATE(YEAR(R$2),MONTH(R$2)+1,1),'± Transactions'!$H:$H,"=" &amp; $A20)</f>
        <v>0</v>
      </c>
      <c r="S20">
        <f ca="1">SUMIFS('± Transactions'!$J:$J, '± Transactions'!$B:$B,"&gt;=" &amp; (S$2), '± Transactions'!$B:$B,"&lt;" &amp; DATE(YEAR(S$2),MONTH(S$2)+1,1),'± Transactions'!$H:$H,"=" &amp; $A20)</f>
        <v>0</v>
      </c>
      <c r="T20">
        <f ca="1">SUMIFS('± Transactions'!$J:$J, '± Transactions'!$B:$B,"&gt;=" &amp; (T$2), '± Transactions'!$B:$B,"&lt;" &amp; DATE(YEAR(T$2),MONTH(T$2)+1,1),'± Transactions'!$H:$H,"=" &amp; $A20)</f>
        <v>0</v>
      </c>
      <c r="U20">
        <f ca="1">SUMIFS('± Transactions'!$J:$J, '± Transactions'!$B:$B,"&gt;=" &amp; (U$2), '± Transactions'!$B:$B,"&lt;" &amp; DATE(YEAR(U$2),MONTH(U$2)+1,1),'± Transactions'!$H:$H,"=" &amp; $A20)</f>
        <v>0</v>
      </c>
      <c r="V20">
        <f t="shared" ca="1" si="1"/>
        <v>0</v>
      </c>
      <c r="W20">
        <f t="shared" ca="1" si="2"/>
        <v>0</v>
      </c>
      <c r="X20">
        <f t="shared" ca="1" si="3"/>
        <v>0</v>
      </c>
      <c r="Y20">
        <f t="shared" ca="1" si="4"/>
        <v>0</v>
      </c>
      <c r="Z20">
        <f t="shared" ca="1" si="6"/>
        <v>0</v>
      </c>
    </row>
    <row r="21" spans="1:26">
      <c r="A21" t="s">
        <v>14</v>
      </c>
      <c r="B21">
        <f ca="1">SUMIFS('± Transactions'!$J:$J, '± Transactions'!$B:$B,"&gt;=" &amp; (B$2), '± Transactions'!$B:$B,"&lt;" &amp; DATE(YEAR(B$2),MONTH(B$2)+1,1),'± Transactions'!$H:$H,"=" &amp; $A21)</f>
        <v>0</v>
      </c>
      <c r="C21">
        <f ca="1">SUMIFS('± Transactions'!$J:$J, '± Transactions'!$B:$B,"&gt;=" &amp; (C$2), '± Transactions'!$B:$B,"&lt;" &amp; DATE(YEAR(C$2),MONTH(C$2)+1,1),'± Transactions'!$H:$H,"=" &amp; $A21)</f>
        <v>0</v>
      </c>
      <c r="D21">
        <f ca="1">SUMIFS('± Transactions'!$J:$J, '± Transactions'!$B:$B,"&gt;=" &amp; (D$2), '± Transactions'!$B:$B,"&lt;" &amp; DATE(YEAR(D$2),MONTH(D$2)+1,1),'± Transactions'!$H:$H,"=" &amp; $A21)</f>
        <v>0</v>
      </c>
      <c r="E21">
        <f ca="1">SUMIFS('± Transactions'!$J:$J, '± Transactions'!$B:$B,"&gt;=" &amp; (E$2), '± Transactions'!$B:$B,"&lt;" &amp; DATE(YEAR(E$2),MONTH(E$2)+1,1),'± Transactions'!$H:$H,"=" &amp; $A21)</f>
        <v>0</v>
      </c>
      <c r="F21">
        <f ca="1">SUMIFS('± Transactions'!$J:$J, '± Transactions'!$B:$B,"&gt;=" &amp; (F$2), '± Transactions'!$B:$B,"&lt;" &amp; DATE(YEAR(F$2),MONTH(F$2)+1,1),'± Transactions'!$H:$H,"=" &amp; $A21)</f>
        <v>0</v>
      </c>
      <c r="G21">
        <f ca="1">SUMIFS('± Transactions'!$J:$J, '± Transactions'!$B:$B,"&gt;=" &amp; (G$2), '± Transactions'!$B:$B,"&lt;" &amp; DATE(YEAR(G$2),MONTH(G$2)+1,1),'± Transactions'!$H:$H,"=" &amp; $A21)</f>
        <v>0</v>
      </c>
      <c r="H21">
        <f ca="1">SUMIFS('± Transactions'!$J:$J, '± Transactions'!$B:$B,"&gt;=" &amp; (H$2), '± Transactions'!$B:$B,"&lt;" &amp; DATE(YEAR(H$2),MONTH(H$2)+1,1),'± Transactions'!$H:$H,"=" &amp; $A21)</f>
        <v>0</v>
      </c>
      <c r="I21">
        <f ca="1">SUMIFS('± Transactions'!$J:$J, '± Transactions'!$B:$B,"&gt;=" &amp; (I$2), '± Transactions'!$B:$B,"&lt;" &amp; DATE(YEAR(I$2),MONTH(I$2)+1,1),'± Transactions'!$H:$H,"=" &amp; $A21)</f>
        <v>0</v>
      </c>
      <c r="J21">
        <f ca="1">SUMIFS('± Transactions'!$J:$J, '± Transactions'!$B:$B,"&gt;=" &amp; (J$2), '± Transactions'!$B:$B,"&lt;" &amp; DATE(YEAR(J$2),MONTH(J$2)+1,1),'± Transactions'!$H:$H,"=" &amp; $A21)</f>
        <v>0</v>
      </c>
      <c r="K21">
        <f ca="1">SUMIFS('± Transactions'!$J:$J, '± Transactions'!$B:$B,"&gt;=" &amp; (K$2), '± Transactions'!$B:$B,"&lt;" &amp; DATE(YEAR(K$2),MONTH(K$2)+1,1),'± Transactions'!$H:$H,"=" &amp; $A21)</f>
        <v>0</v>
      </c>
      <c r="L21">
        <f ca="1">SUMIFS('± Transactions'!$J:$J, '± Transactions'!$B:$B,"&gt;=" &amp; (L$2), '± Transactions'!$B:$B,"&lt;" &amp; DATE(YEAR(L$2),MONTH(L$2)+1,1),'± Transactions'!$H:$H,"=" &amp; $A21)</f>
        <v>0</v>
      </c>
      <c r="M21">
        <f ca="1">SUMIFS('± Transactions'!$J:$J, '± Transactions'!$B:$B,"&gt;=" &amp; (M$2), '± Transactions'!$B:$B,"&lt;" &amp; DATE(YEAR(M$2),MONTH(M$2)+1,1),'± Transactions'!$H:$H,"=" &amp; $A21)</f>
        <v>0</v>
      </c>
      <c r="N21">
        <f ca="1">SUMIFS('± Transactions'!$J:$J, '± Transactions'!$B:$B,"&gt;=" &amp; (N$2), '± Transactions'!$B:$B,"&lt;" &amp; DATE(YEAR(N$2),MONTH(N$2)+1,1),'± Transactions'!$H:$H,"=" &amp; $A21)</f>
        <v>0</v>
      </c>
      <c r="O21">
        <f ca="1">SUMIFS('± Transactions'!$J:$J, '± Transactions'!$B:$B,"&gt;=" &amp; (O$2), '± Transactions'!$B:$B,"&lt;" &amp; DATE(YEAR(O$2),MONTH(O$2)+1,1),'± Transactions'!$H:$H,"=" &amp; $A21)</f>
        <v>0</v>
      </c>
      <c r="P21">
        <f ca="1">SUMIFS('± Transactions'!$J:$J, '± Transactions'!$B:$B,"&gt;=" &amp; (P$2), '± Transactions'!$B:$B,"&lt;" &amp; DATE(YEAR(P$2),MONTH(P$2)+1,1),'± Transactions'!$H:$H,"=" &amp; $A21)</f>
        <v>0</v>
      </c>
      <c r="Q21">
        <f ca="1">SUMIFS('± Transactions'!$J:$J, '± Transactions'!$B:$B,"&gt;=" &amp; (Q$2), '± Transactions'!$B:$B,"&lt;" &amp; DATE(YEAR(Q$2),MONTH(Q$2)+1,1),'± Transactions'!$H:$H,"=" &amp; $A21)</f>
        <v>0</v>
      </c>
      <c r="R21">
        <f ca="1">SUMIFS('± Transactions'!$J:$J, '± Transactions'!$B:$B,"&gt;=" &amp; (R$2), '± Transactions'!$B:$B,"&lt;" &amp; DATE(YEAR(R$2),MONTH(R$2)+1,1),'± Transactions'!$H:$H,"=" &amp; $A21)</f>
        <v>0</v>
      </c>
      <c r="S21">
        <f ca="1">SUMIFS('± Transactions'!$J:$J, '± Transactions'!$B:$B,"&gt;=" &amp; (S$2), '± Transactions'!$B:$B,"&lt;" &amp; DATE(YEAR(S$2),MONTH(S$2)+1,1),'± Transactions'!$H:$H,"=" &amp; $A21)</f>
        <v>0</v>
      </c>
      <c r="T21">
        <f ca="1">SUMIFS('± Transactions'!$J:$J, '± Transactions'!$B:$B,"&gt;=" &amp; (T$2), '± Transactions'!$B:$B,"&lt;" &amp; DATE(YEAR(T$2),MONTH(T$2)+1,1),'± Transactions'!$H:$H,"=" &amp; $A21)</f>
        <v>0</v>
      </c>
      <c r="U21">
        <f ca="1">SUMIFS('± Transactions'!$J:$J, '± Transactions'!$B:$B,"&gt;=" &amp; (U$2), '± Transactions'!$B:$B,"&lt;" &amp; DATE(YEAR(U$2),MONTH(U$2)+1,1),'± Transactions'!$H:$H,"=" &amp; $A21)</f>
        <v>0</v>
      </c>
      <c r="V21">
        <f t="shared" ca="1" si="1"/>
        <v>0</v>
      </c>
      <c r="W21">
        <f t="shared" ca="1" si="2"/>
        <v>0</v>
      </c>
      <c r="X21">
        <f t="shared" ca="1" si="3"/>
        <v>0</v>
      </c>
      <c r="Y21">
        <f t="shared" ca="1" si="4"/>
        <v>0</v>
      </c>
      <c r="Z21">
        <f t="shared" ca="1" si="6"/>
        <v>0</v>
      </c>
    </row>
    <row r="22" spans="1:26">
      <c r="A22" t="s">
        <v>17</v>
      </c>
      <c r="B22">
        <f ca="1">SUMIFS('± Transactions'!$J:$J, '± Transactions'!$B:$B,"&gt;=" &amp; (B$2), '± Transactions'!$B:$B,"&lt;" &amp; DATE(YEAR(B$2),MONTH(B$2)+1,1),'± Transactions'!$H:$H,"=" &amp; $A22)</f>
        <v>0</v>
      </c>
      <c r="C22">
        <f ca="1">SUMIFS('± Transactions'!$J:$J, '± Transactions'!$B:$B,"&gt;=" &amp; (C$2), '± Transactions'!$B:$B,"&lt;" &amp; DATE(YEAR(C$2),MONTH(C$2)+1,1),'± Transactions'!$H:$H,"=" &amp; $A22)</f>
        <v>0</v>
      </c>
      <c r="D22">
        <f ca="1">SUMIFS('± Transactions'!$J:$J, '± Transactions'!$B:$B,"&gt;=" &amp; (D$2), '± Transactions'!$B:$B,"&lt;" &amp; DATE(YEAR(D$2),MONTH(D$2)+1,1),'± Transactions'!$H:$H,"=" &amp; $A22)</f>
        <v>0</v>
      </c>
      <c r="E22">
        <f ca="1">SUMIFS('± Transactions'!$J:$J, '± Transactions'!$B:$B,"&gt;=" &amp; (E$2), '± Transactions'!$B:$B,"&lt;" &amp; DATE(YEAR(E$2),MONTH(E$2)+1,1),'± Transactions'!$H:$H,"=" &amp; $A22)</f>
        <v>0</v>
      </c>
      <c r="F22">
        <f ca="1">SUMIFS('± Transactions'!$J:$J, '± Transactions'!$B:$B,"&gt;=" &amp; (F$2), '± Transactions'!$B:$B,"&lt;" &amp; DATE(YEAR(F$2),MONTH(F$2)+1,1),'± Transactions'!$H:$H,"=" &amp; $A22)</f>
        <v>0</v>
      </c>
      <c r="G22">
        <f ca="1">SUMIFS('± Transactions'!$J:$J, '± Transactions'!$B:$B,"&gt;=" &amp; (G$2), '± Transactions'!$B:$B,"&lt;" &amp; DATE(YEAR(G$2),MONTH(G$2)+1,1),'± Transactions'!$H:$H,"=" &amp; $A22)</f>
        <v>0</v>
      </c>
      <c r="H22">
        <f ca="1">SUMIFS('± Transactions'!$J:$J, '± Transactions'!$B:$B,"&gt;=" &amp; (H$2), '± Transactions'!$B:$B,"&lt;" &amp; DATE(YEAR(H$2),MONTH(H$2)+1,1),'± Transactions'!$H:$H,"=" &amp; $A22)</f>
        <v>0</v>
      </c>
      <c r="I22">
        <f ca="1">SUMIFS('± Transactions'!$J:$J, '± Transactions'!$B:$B,"&gt;=" &amp; (I$2), '± Transactions'!$B:$B,"&lt;" &amp; DATE(YEAR(I$2),MONTH(I$2)+1,1),'± Transactions'!$H:$H,"=" &amp; $A22)</f>
        <v>0</v>
      </c>
      <c r="J22">
        <f ca="1">SUMIFS('± Transactions'!$J:$J, '± Transactions'!$B:$B,"&gt;=" &amp; (J$2), '± Transactions'!$B:$B,"&lt;" &amp; DATE(YEAR(J$2),MONTH(J$2)+1,1),'± Transactions'!$H:$H,"=" &amp; $A22)</f>
        <v>0</v>
      </c>
      <c r="K22">
        <f ca="1">SUMIFS('± Transactions'!$J:$J, '± Transactions'!$B:$B,"&gt;=" &amp; (K$2), '± Transactions'!$B:$B,"&lt;" &amp; DATE(YEAR(K$2),MONTH(K$2)+1,1),'± Transactions'!$H:$H,"=" &amp; $A22)</f>
        <v>0</v>
      </c>
      <c r="L22">
        <f ca="1">SUMIFS('± Transactions'!$J:$J, '± Transactions'!$B:$B,"&gt;=" &amp; (L$2), '± Transactions'!$B:$B,"&lt;" &amp; DATE(YEAR(L$2),MONTH(L$2)+1,1),'± Transactions'!$H:$H,"=" &amp; $A22)</f>
        <v>0</v>
      </c>
      <c r="M22">
        <f ca="1">SUMIFS('± Transactions'!$J:$J, '± Transactions'!$B:$B,"&gt;=" &amp; (M$2), '± Transactions'!$B:$B,"&lt;" &amp; DATE(YEAR(M$2),MONTH(M$2)+1,1),'± Transactions'!$H:$H,"=" &amp; $A22)</f>
        <v>0</v>
      </c>
      <c r="N22">
        <f ca="1">SUMIFS('± Transactions'!$J:$J, '± Transactions'!$B:$B,"&gt;=" &amp; (N$2), '± Transactions'!$B:$B,"&lt;" &amp; DATE(YEAR(N$2),MONTH(N$2)+1,1),'± Transactions'!$H:$H,"=" &amp; $A22)</f>
        <v>0</v>
      </c>
      <c r="O22">
        <f ca="1">SUMIFS('± Transactions'!$J:$J, '± Transactions'!$B:$B,"&gt;=" &amp; (O$2), '± Transactions'!$B:$B,"&lt;" &amp; DATE(YEAR(O$2),MONTH(O$2)+1,1),'± Transactions'!$H:$H,"=" &amp; $A22)</f>
        <v>0</v>
      </c>
      <c r="P22">
        <f ca="1">SUMIFS('± Transactions'!$J:$J, '± Transactions'!$B:$B,"&gt;=" &amp; (P$2), '± Transactions'!$B:$B,"&lt;" &amp; DATE(YEAR(P$2),MONTH(P$2)+1,1),'± Transactions'!$H:$H,"=" &amp; $A22)</f>
        <v>0</v>
      </c>
      <c r="Q22">
        <f ca="1">SUMIFS('± Transactions'!$J:$J, '± Transactions'!$B:$B,"&gt;=" &amp; (Q$2), '± Transactions'!$B:$B,"&lt;" &amp; DATE(YEAR(Q$2),MONTH(Q$2)+1,1),'± Transactions'!$H:$H,"=" &amp; $A22)</f>
        <v>0</v>
      </c>
      <c r="R22">
        <f ca="1">SUMIFS('± Transactions'!$J:$J, '± Transactions'!$B:$B,"&gt;=" &amp; (R$2), '± Transactions'!$B:$B,"&lt;" &amp; DATE(YEAR(R$2),MONTH(R$2)+1,1),'± Transactions'!$H:$H,"=" &amp; $A22)</f>
        <v>0</v>
      </c>
      <c r="S22">
        <f ca="1">SUMIFS('± Transactions'!$J:$J, '± Transactions'!$B:$B,"&gt;=" &amp; (S$2), '± Transactions'!$B:$B,"&lt;" &amp; DATE(YEAR(S$2),MONTH(S$2)+1,1),'± Transactions'!$H:$H,"=" &amp; $A22)</f>
        <v>0</v>
      </c>
      <c r="T22">
        <f ca="1">SUMIFS('± Transactions'!$J:$J, '± Transactions'!$B:$B,"&gt;=" &amp; (T$2), '± Transactions'!$B:$B,"&lt;" &amp; DATE(YEAR(T$2),MONTH(T$2)+1,1),'± Transactions'!$H:$H,"=" &amp; $A22)</f>
        <v>0</v>
      </c>
      <c r="U22">
        <f ca="1">SUMIFS('± Transactions'!$J:$J, '± Transactions'!$B:$B,"&gt;=" &amp; (U$2), '± Transactions'!$B:$B,"&lt;" &amp; DATE(YEAR(U$2),MONTH(U$2)+1,1),'± Transactions'!$H:$H,"=" &amp; $A22)</f>
        <v>0</v>
      </c>
      <c r="V22">
        <f t="shared" ca="1" si="1"/>
        <v>0</v>
      </c>
      <c r="W22">
        <f t="shared" ca="1" si="2"/>
        <v>0</v>
      </c>
      <c r="X22">
        <f t="shared" ca="1" si="3"/>
        <v>0</v>
      </c>
      <c r="Y22">
        <f t="shared" ca="1" si="4"/>
        <v>0</v>
      </c>
      <c r="Z22">
        <f t="shared" ca="1" si="6"/>
        <v>0</v>
      </c>
    </row>
    <row r="23" spans="1:26">
      <c r="A23" t="s">
        <v>18</v>
      </c>
      <c r="B23">
        <f ca="1">SUMIFS('± Transactions'!$J:$J, '± Transactions'!$B:$B,"&gt;=" &amp; (B$2), '± Transactions'!$B:$B,"&lt;" &amp; DATE(YEAR(B$2),MONTH(B$2)+1,1),'± Transactions'!$H:$H,"=" &amp; $A23)</f>
        <v>0</v>
      </c>
      <c r="C23">
        <f ca="1">SUMIFS('± Transactions'!$J:$J, '± Transactions'!$B:$B,"&gt;=" &amp; (C$2), '± Transactions'!$B:$B,"&lt;" &amp; DATE(YEAR(C$2),MONTH(C$2)+1,1),'± Transactions'!$H:$H,"=" &amp; $A23)</f>
        <v>0</v>
      </c>
      <c r="D23">
        <f ca="1">SUMIFS('± Transactions'!$J:$J, '± Transactions'!$B:$B,"&gt;=" &amp; (D$2), '± Transactions'!$B:$B,"&lt;" &amp; DATE(YEAR(D$2),MONTH(D$2)+1,1),'± Transactions'!$H:$H,"=" &amp; $A23)</f>
        <v>0</v>
      </c>
      <c r="E23">
        <f ca="1">SUMIFS('± Transactions'!$J:$J, '± Transactions'!$B:$B,"&gt;=" &amp; (E$2), '± Transactions'!$B:$B,"&lt;" &amp; DATE(YEAR(E$2),MONTH(E$2)+1,1),'± Transactions'!$H:$H,"=" &amp; $A23)</f>
        <v>0</v>
      </c>
      <c r="F23">
        <f ca="1">SUMIFS('± Transactions'!$J:$J, '± Transactions'!$B:$B,"&gt;=" &amp; (F$2), '± Transactions'!$B:$B,"&lt;" &amp; DATE(YEAR(F$2),MONTH(F$2)+1,1),'± Transactions'!$H:$H,"=" &amp; $A23)</f>
        <v>0</v>
      </c>
      <c r="G23">
        <f ca="1">SUMIFS('± Transactions'!$J:$J, '± Transactions'!$B:$B,"&gt;=" &amp; (G$2), '± Transactions'!$B:$B,"&lt;" &amp; DATE(YEAR(G$2),MONTH(G$2)+1,1),'± Transactions'!$H:$H,"=" &amp; $A23)</f>
        <v>0</v>
      </c>
      <c r="H23">
        <f ca="1">SUMIFS('± Transactions'!$J:$J, '± Transactions'!$B:$B,"&gt;=" &amp; (H$2), '± Transactions'!$B:$B,"&lt;" &amp; DATE(YEAR(H$2),MONTH(H$2)+1,1),'± Transactions'!$H:$H,"=" &amp; $A23)</f>
        <v>0</v>
      </c>
      <c r="I23">
        <f ca="1">SUMIFS('± Transactions'!$J:$J, '± Transactions'!$B:$B,"&gt;=" &amp; (I$2), '± Transactions'!$B:$B,"&lt;" &amp; DATE(YEAR(I$2),MONTH(I$2)+1,1),'± Transactions'!$H:$H,"=" &amp; $A23)</f>
        <v>0</v>
      </c>
      <c r="J23">
        <f ca="1">SUMIFS('± Transactions'!$J:$J, '± Transactions'!$B:$B,"&gt;=" &amp; (J$2), '± Transactions'!$B:$B,"&lt;" &amp; DATE(YEAR(J$2),MONTH(J$2)+1,1),'± Transactions'!$H:$H,"=" &amp; $A23)</f>
        <v>0</v>
      </c>
      <c r="K23">
        <f ca="1">SUMIFS('± Transactions'!$J:$J, '± Transactions'!$B:$B,"&gt;=" &amp; (K$2), '± Transactions'!$B:$B,"&lt;" &amp; DATE(YEAR(K$2),MONTH(K$2)+1,1),'± Transactions'!$H:$H,"=" &amp; $A23)</f>
        <v>0</v>
      </c>
      <c r="L23">
        <f ca="1">SUMIFS('± Transactions'!$J:$J, '± Transactions'!$B:$B,"&gt;=" &amp; (L$2), '± Transactions'!$B:$B,"&lt;" &amp; DATE(YEAR(L$2),MONTH(L$2)+1,1),'± Transactions'!$H:$H,"=" &amp; $A23)</f>
        <v>0</v>
      </c>
      <c r="M23">
        <f ca="1">SUMIFS('± Transactions'!$J:$J, '± Transactions'!$B:$B,"&gt;=" &amp; (M$2), '± Transactions'!$B:$B,"&lt;" &amp; DATE(YEAR(M$2),MONTH(M$2)+1,1),'± Transactions'!$H:$H,"=" &amp; $A23)</f>
        <v>0</v>
      </c>
      <c r="N23">
        <f ca="1">SUMIFS('± Transactions'!$J:$J, '± Transactions'!$B:$B,"&gt;=" &amp; (N$2), '± Transactions'!$B:$B,"&lt;" &amp; DATE(YEAR(N$2),MONTH(N$2)+1,1),'± Transactions'!$H:$H,"=" &amp; $A23)</f>
        <v>0</v>
      </c>
      <c r="O23">
        <f ca="1">SUMIFS('± Transactions'!$J:$J, '± Transactions'!$B:$B,"&gt;=" &amp; (O$2), '± Transactions'!$B:$B,"&lt;" &amp; DATE(YEAR(O$2),MONTH(O$2)+1,1),'± Transactions'!$H:$H,"=" &amp; $A23)</f>
        <v>0</v>
      </c>
      <c r="P23">
        <f ca="1">SUMIFS('± Transactions'!$J:$J, '± Transactions'!$B:$B,"&gt;=" &amp; (P$2), '± Transactions'!$B:$B,"&lt;" &amp; DATE(YEAR(P$2),MONTH(P$2)+1,1),'± Transactions'!$H:$H,"=" &amp; $A23)</f>
        <v>0</v>
      </c>
      <c r="Q23">
        <f ca="1">SUMIFS('± Transactions'!$J:$J, '± Transactions'!$B:$B,"&gt;=" &amp; (Q$2), '± Transactions'!$B:$B,"&lt;" &amp; DATE(YEAR(Q$2),MONTH(Q$2)+1,1),'± Transactions'!$H:$H,"=" &amp; $A23)</f>
        <v>0</v>
      </c>
      <c r="R23">
        <f ca="1">SUMIFS('± Transactions'!$J:$J, '± Transactions'!$B:$B,"&gt;=" &amp; (R$2), '± Transactions'!$B:$B,"&lt;" &amp; DATE(YEAR(R$2),MONTH(R$2)+1,1),'± Transactions'!$H:$H,"=" &amp; $A23)</f>
        <v>0</v>
      </c>
      <c r="S23">
        <f ca="1">SUMIFS('± Transactions'!$J:$J, '± Transactions'!$B:$B,"&gt;=" &amp; (S$2), '± Transactions'!$B:$B,"&lt;" &amp; DATE(YEAR(S$2),MONTH(S$2)+1,1),'± Transactions'!$H:$H,"=" &amp; $A23)</f>
        <v>0</v>
      </c>
      <c r="T23">
        <f ca="1">SUMIFS('± Transactions'!$J:$J, '± Transactions'!$B:$B,"&gt;=" &amp; (T$2), '± Transactions'!$B:$B,"&lt;" &amp; DATE(YEAR(T$2),MONTH(T$2)+1,1),'± Transactions'!$H:$H,"=" &amp; $A23)</f>
        <v>0</v>
      </c>
      <c r="U23">
        <f ca="1">SUMIFS('± Transactions'!$J:$J, '± Transactions'!$B:$B,"&gt;=" &amp; (U$2), '± Transactions'!$B:$B,"&lt;" &amp; DATE(YEAR(U$2),MONTH(U$2)+1,1),'± Transactions'!$H:$H,"=" &amp; $A23)</f>
        <v>0</v>
      </c>
      <c r="V23">
        <f t="shared" ca="1" si="1"/>
        <v>0</v>
      </c>
      <c r="W23">
        <f t="shared" ca="1" si="2"/>
        <v>0</v>
      </c>
      <c r="X23">
        <f t="shared" ca="1" si="3"/>
        <v>0</v>
      </c>
      <c r="Y23">
        <f t="shared" ca="1" si="4"/>
        <v>0</v>
      </c>
      <c r="Z23">
        <f t="shared" ca="1" si="6"/>
        <v>0</v>
      </c>
    </row>
    <row r="24" spans="1:26">
      <c r="A24" t="s">
        <v>19</v>
      </c>
      <c r="B24">
        <f ca="1">SUMIFS('± Transactions'!$J:$J, '± Transactions'!$B:$B,"&gt;=" &amp; (B$2), '± Transactions'!$B:$B,"&lt;" &amp; DATE(YEAR(B$2),MONTH(B$2)+1,1),'± Transactions'!$H:$H,"=" &amp; $A24)</f>
        <v>0</v>
      </c>
      <c r="C24">
        <f ca="1">SUMIFS('± Transactions'!$J:$J, '± Transactions'!$B:$B,"&gt;=" &amp; (C$2), '± Transactions'!$B:$B,"&lt;" &amp; DATE(YEAR(C$2),MONTH(C$2)+1,1),'± Transactions'!$H:$H,"=" &amp; $A24)</f>
        <v>0</v>
      </c>
      <c r="D24">
        <f ca="1">SUMIFS('± Transactions'!$J:$J, '± Transactions'!$B:$B,"&gt;=" &amp; (D$2), '± Transactions'!$B:$B,"&lt;" &amp; DATE(YEAR(D$2),MONTH(D$2)+1,1),'± Transactions'!$H:$H,"=" &amp; $A24)</f>
        <v>0</v>
      </c>
      <c r="E24">
        <f ca="1">SUMIFS('± Transactions'!$J:$J, '± Transactions'!$B:$B,"&gt;=" &amp; (E$2), '± Transactions'!$B:$B,"&lt;" &amp; DATE(YEAR(E$2),MONTH(E$2)+1,1),'± Transactions'!$H:$H,"=" &amp; $A24)</f>
        <v>0</v>
      </c>
      <c r="F24">
        <f ca="1">SUMIFS('± Transactions'!$J:$J, '± Transactions'!$B:$B,"&gt;=" &amp; (F$2), '± Transactions'!$B:$B,"&lt;" &amp; DATE(YEAR(F$2),MONTH(F$2)+1,1),'± Transactions'!$H:$H,"=" &amp; $A24)</f>
        <v>0</v>
      </c>
      <c r="G24">
        <f ca="1">SUMIFS('± Transactions'!$J:$J, '± Transactions'!$B:$B,"&gt;=" &amp; (G$2), '± Transactions'!$B:$B,"&lt;" &amp; DATE(YEAR(G$2),MONTH(G$2)+1,1),'± Transactions'!$H:$H,"=" &amp; $A24)</f>
        <v>0</v>
      </c>
      <c r="H24">
        <f ca="1">SUMIFS('± Transactions'!$J:$J, '± Transactions'!$B:$B,"&gt;=" &amp; (H$2), '± Transactions'!$B:$B,"&lt;" &amp; DATE(YEAR(H$2),MONTH(H$2)+1,1),'± Transactions'!$H:$H,"=" &amp; $A24)</f>
        <v>0</v>
      </c>
      <c r="I24">
        <f ca="1">SUMIFS('± Transactions'!$J:$J, '± Transactions'!$B:$B,"&gt;=" &amp; (I$2), '± Transactions'!$B:$B,"&lt;" &amp; DATE(YEAR(I$2),MONTH(I$2)+1,1),'± Transactions'!$H:$H,"=" &amp; $A24)</f>
        <v>0</v>
      </c>
      <c r="J24">
        <f ca="1">SUMIFS('± Transactions'!$J:$J, '± Transactions'!$B:$B,"&gt;=" &amp; (J$2), '± Transactions'!$B:$B,"&lt;" &amp; DATE(YEAR(J$2),MONTH(J$2)+1,1),'± Transactions'!$H:$H,"=" &amp; $A24)</f>
        <v>0</v>
      </c>
      <c r="K24">
        <f ca="1">SUMIFS('± Transactions'!$J:$J, '± Transactions'!$B:$B,"&gt;=" &amp; (K$2), '± Transactions'!$B:$B,"&lt;" &amp; DATE(YEAR(K$2),MONTH(K$2)+1,1),'± Transactions'!$H:$H,"=" &amp; $A24)</f>
        <v>0</v>
      </c>
      <c r="L24">
        <f ca="1">SUMIFS('± Transactions'!$J:$J, '± Transactions'!$B:$B,"&gt;=" &amp; (L$2), '± Transactions'!$B:$B,"&lt;" &amp; DATE(YEAR(L$2),MONTH(L$2)+1,1),'± Transactions'!$H:$H,"=" &amp; $A24)</f>
        <v>0</v>
      </c>
      <c r="M24">
        <f ca="1">SUMIFS('± Transactions'!$J:$J, '± Transactions'!$B:$B,"&gt;=" &amp; (M$2), '± Transactions'!$B:$B,"&lt;" &amp; DATE(YEAR(M$2),MONTH(M$2)+1,1),'± Transactions'!$H:$H,"=" &amp; $A24)</f>
        <v>0</v>
      </c>
      <c r="N24">
        <f ca="1">SUMIFS('± Transactions'!$J:$J, '± Transactions'!$B:$B,"&gt;=" &amp; (N$2), '± Transactions'!$B:$B,"&lt;" &amp; DATE(YEAR(N$2),MONTH(N$2)+1,1),'± Transactions'!$H:$H,"=" &amp; $A24)</f>
        <v>0</v>
      </c>
      <c r="O24">
        <f ca="1">SUMIFS('± Transactions'!$J:$J, '± Transactions'!$B:$B,"&gt;=" &amp; (O$2), '± Transactions'!$B:$B,"&lt;" &amp; DATE(YEAR(O$2),MONTH(O$2)+1,1),'± Transactions'!$H:$H,"=" &amp; $A24)</f>
        <v>0</v>
      </c>
      <c r="P24">
        <f ca="1">SUMIFS('± Transactions'!$J:$J, '± Transactions'!$B:$B,"&gt;=" &amp; (P$2), '± Transactions'!$B:$B,"&lt;" &amp; DATE(YEAR(P$2),MONTH(P$2)+1,1),'± Transactions'!$H:$H,"=" &amp; $A24)</f>
        <v>0</v>
      </c>
      <c r="Q24">
        <f ca="1">SUMIFS('± Transactions'!$J:$J, '± Transactions'!$B:$B,"&gt;=" &amp; (Q$2), '± Transactions'!$B:$B,"&lt;" &amp; DATE(YEAR(Q$2),MONTH(Q$2)+1,1),'± Transactions'!$H:$H,"=" &amp; $A24)</f>
        <v>0</v>
      </c>
      <c r="R24">
        <f ca="1">SUMIFS('± Transactions'!$J:$J, '± Transactions'!$B:$B,"&gt;=" &amp; (R$2), '± Transactions'!$B:$B,"&lt;" &amp; DATE(YEAR(R$2),MONTH(R$2)+1,1),'± Transactions'!$H:$H,"=" &amp; $A24)</f>
        <v>0</v>
      </c>
      <c r="S24">
        <f ca="1">SUMIFS('± Transactions'!$J:$J, '± Transactions'!$B:$B,"&gt;=" &amp; (S$2), '± Transactions'!$B:$B,"&lt;" &amp; DATE(YEAR(S$2),MONTH(S$2)+1,1),'± Transactions'!$H:$H,"=" &amp; $A24)</f>
        <v>0</v>
      </c>
      <c r="T24">
        <f ca="1">SUMIFS('± Transactions'!$J:$J, '± Transactions'!$B:$B,"&gt;=" &amp; (T$2), '± Transactions'!$B:$B,"&lt;" &amp; DATE(YEAR(T$2),MONTH(T$2)+1,1),'± Transactions'!$H:$H,"=" &amp; $A24)</f>
        <v>0</v>
      </c>
      <c r="U24">
        <f ca="1">SUMIFS('± Transactions'!$J:$J, '± Transactions'!$B:$B,"&gt;=" &amp; (U$2), '± Transactions'!$B:$B,"&lt;" &amp; DATE(YEAR(U$2),MONTH(U$2)+1,1),'± Transactions'!$H:$H,"=" &amp; $A24)</f>
        <v>0</v>
      </c>
      <c r="V24">
        <f t="shared" ca="1" si="1"/>
        <v>0</v>
      </c>
      <c r="W24">
        <f t="shared" ca="1" si="2"/>
        <v>0</v>
      </c>
      <c r="X24">
        <f t="shared" ca="1" si="3"/>
        <v>0</v>
      </c>
      <c r="Y24">
        <f t="shared" ca="1" si="4"/>
        <v>0</v>
      </c>
      <c r="Z24">
        <f t="shared" ca="1" si="6"/>
        <v>0</v>
      </c>
    </row>
    <row r="25" spans="1:26">
      <c r="A25" t="s">
        <v>71</v>
      </c>
      <c r="B25">
        <f t="shared" ref="B25:U25" ca="1" si="11">B12-B14-B17-B18-B24</f>
        <v>0</v>
      </c>
      <c r="C25">
        <f t="shared" ca="1" si="11"/>
        <v>0</v>
      </c>
      <c r="D25">
        <f t="shared" ca="1" si="11"/>
        <v>0</v>
      </c>
      <c r="E25">
        <f t="shared" ca="1" si="11"/>
        <v>0</v>
      </c>
      <c r="F25">
        <f t="shared" ca="1" si="11"/>
        <v>0</v>
      </c>
      <c r="G25">
        <f t="shared" ca="1" si="11"/>
        <v>0</v>
      </c>
      <c r="H25">
        <f t="shared" ca="1" si="11"/>
        <v>0</v>
      </c>
      <c r="I25">
        <f t="shared" ca="1" si="11"/>
        <v>0</v>
      </c>
      <c r="J25">
        <f t="shared" ca="1" si="11"/>
        <v>0</v>
      </c>
      <c r="K25">
        <f t="shared" ca="1" si="11"/>
        <v>0</v>
      </c>
      <c r="L25">
        <f t="shared" ca="1" si="11"/>
        <v>0</v>
      </c>
      <c r="M25">
        <f t="shared" ca="1" si="11"/>
        <v>0</v>
      </c>
      <c r="N25">
        <f t="shared" ca="1" si="11"/>
        <v>0</v>
      </c>
      <c r="O25">
        <f t="shared" ca="1" si="11"/>
        <v>0</v>
      </c>
      <c r="P25">
        <f t="shared" ca="1" si="11"/>
        <v>0</v>
      </c>
      <c r="Q25">
        <f t="shared" ca="1" si="11"/>
        <v>0</v>
      </c>
      <c r="R25">
        <f t="shared" ca="1" si="11"/>
        <v>0</v>
      </c>
      <c r="S25">
        <f t="shared" ca="1" si="11"/>
        <v>0</v>
      </c>
      <c r="T25">
        <f t="shared" ca="1" si="11"/>
        <v>0</v>
      </c>
      <c r="U25">
        <f t="shared" ca="1" si="11"/>
        <v>0</v>
      </c>
      <c r="V25">
        <f t="shared" ca="1" si="1"/>
        <v>0</v>
      </c>
      <c r="W25">
        <f t="shared" ca="1" si="2"/>
        <v>0</v>
      </c>
      <c r="X25">
        <f t="shared" ca="1" si="3"/>
        <v>0</v>
      </c>
      <c r="Y25">
        <f t="shared" ca="1" si="4"/>
        <v>0</v>
      </c>
      <c r="Z25">
        <f t="shared" ca="1" si="6"/>
        <v>0</v>
      </c>
    </row>
    <row r="26" spans="1:26">
      <c r="A26" t="s">
        <v>28</v>
      </c>
      <c r="B26">
        <f t="shared" ref="B26:U26" ca="1" si="12">SUM(B28:B30)</f>
        <v>0</v>
      </c>
      <c r="C26">
        <f t="shared" ca="1" si="12"/>
        <v>0</v>
      </c>
      <c r="D26">
        <f t="shared" ca="1" si="12"/>
        <v>0</v>
      </c>
      <c r="E26">
        <f t="shared" ca="1" si="12"/>
        <v>0</v>
      </c>
      <c r="F26">
        <f t="shared" ca="1" si="12"/>
        <v>0</v>
      </c>
      <c r="G26">
        <f t="shared" ca="1" si="12"/>
        <v>0</v>
      </c>
      <c r="H26">
        <f t="shared" ca="1" si="12"/>
        <v>0</v>
      </c>
      <c r="I26">
        <f t="shared" ca="1" si="12"/>
        <v>0</v>
      </c>
      <c r="J26">
        <f t="shared" ca="1" si="12"/>
        <v>0</v>
      </c>
      <c r="K26">
        <f t="shared" ca="1" si="12"/>
        <v>0</v>
      </c>
      <c r="L26">
        <f t="shared" ca="1" si="12"/>
        <v>0</v>
      </c>
      <c r="M26">
        <f t="shared" ca="1" si="12"/>
        <v>0</v>
      </c>
      <c r="N26">
        <f t="shared" ca="1" si="12"/>
        <v>0</v>
      </c>
      <c r="O26">
        <f t="shared" ca="1" si="12"/>
        <v>0</v>
      </c>
      <c r="P26">
        <f t="shared" ca="1" si="12"/>
        <v>0</v>
      </c>
      <c r="Q26">
        <f t="shared" ca="1" si="12"/>
        <v>0</v>
      </c>
      <c r="R26">
        <f t="shared" ca="1" si="12"/>
        <v>0</v>
      </c>
      <c r="S26">
        <f t="shared" ca="1" si="12"/>
        <v>0</v>
      </c>
      <c r="T26">
        <f t="shared" ca="1" si="12"/>
        <v>0</v>
      </c>
      <c r="U26">
        <f t="shared" ca="1" si="12"/>
        <v>0</v>
      </c>
      <c r="V26">
        <f t="shared" ca="1" si="1"/>
        <v>0</v>
      </c>
      <c r="W26">
        <f t="shared" ca="1" si="2"/>
        <v>0</v>
      </c>
      <c r="X26">
        <f t="shared" ca="1" si="3"/>
        <v>0</v>
      </c>
      <c r="Y26">
        <f t="shared" ca="1" si="4"/>
        <v>0</v>
      </c>
      <c r="Z26">
        <f t="shared" ca="1" si="6"/>
        <v>0</v>
      </c>
    </row>
    <row r="27" spans="1:26">
      <c r="A27" t="s">
        <v>73</v>
      </c>
      <c r="B27">
        <f t="shared" ref="B27:T27" ca="1" si="13">B$26/DAY(EOMONTH(B$2,0))</f>
        <v>0</v>
      </c>
      <c r="C27">
        <f t="shared" ca="1" si="13"/>
        <v>0</v>
      </c>
      <c r="D27">
        <f t="shared" ca="1" si="13"/>
        <v>0</v>
      </c>
      <c r="E27">
        <f t="shared" ca="1" si="13"/>
        <v>0</v>
      </c>
      <c r="F27">
        <f t="shared" ca="1" si="13"/>
        <v>0</v>
      </c>
      <c r="G27">
        <f t="shared" ca="1" si="13"/>
        <v>0</v>
      </c>
      <c r="H27">
        <f t="shared" ca="1" si="13"/>
        <v>0</v>
      </c>
      <c r="I27">
        <f t="shared" ca="1" si="13"/>
        <v>0</v>
      </c>
      <c r="J27">
        <f t="shared" ca="1" si="13"/>
        <v>0</v>
      </c>
      <c r="K27">
        <f t="shared" ca="1" si="13"/>
        <v>0</v>
      </c>
      <c r="L27">
        <f t="shared" ca="1" si="13"/>
        <v>0</v>
      </c>
      <c r="M27">
        <f t="shared" ca="1" si="13"/>
        <v>0</v>
      </c>
      <c r="N27">
        <f t="shared" ca="1" si="13"/>
        <v>0</v>
      </c>
      <c r="O27">
        <f t="shared" ca="1" si="13"/>
        <v>0</v>
      </c>
      <c r="P27">
        <f t="shared" ca="1" si="13"/>
        <v>0</v>
      </c>
      <c r="Q27">
        <f t="shared" ca="1" si="13"/>
        <v>0</v>
      </c>
      <c r="R27">
        <f t="shared" ca="1" si="13"/>
        <v>0</v>
      </c>
      <c r="S27">
        <f t="shared" ca="1" si="13"/>
        <v>0</v>
      </c>
      <c r="T27">
        <f t="shared" ca="1" si="13"/>
        <v>0</v>
      </c>
      <c r="U27">
        <f ca="1">$U$26/DAY(TODAY())</f>
        <v>0</v>
      </c>
      <c r="V27">
        <f t="shared" ca="1" si="1"/>
        <v>0</v>
      </c>
      <c r="W27">
        <f t="shared" ca="1" si="2"/>
        <v>0</v>
      </c>
      <c r="X27">
        <f t="shared" ca="1" si="3"/>
        <v>0</v>
      </c>
      <c r="Y27">
        <f t="shared" ca="1" si="4"/>
        <v>0</v>
      </c>
      <c r="Z27">
        <f t="shared" ca="1" si="6"/>
        <v>0</v>
      </c>
    </row>
    <row r="28" spans="1:26">
      <c r="A28" t="s">
        <v>5</v>
      </c>
      <c r="B28">
        <f ca="1">SUMIFS('± Transactions'!$J:$J, '± Transactions'!$B:$B,"&gt;=" &amp; (B$2), '± Transactions'!$B:$B,"&lt;" &amp; DATE(YEAR(B$2),MONTH(B$2)+1,1),'± Transactions'!$H:$H,"=" &amp; $A28)</f>
        <v>0</v>
      </c>
      <c r="C28">
        <f ca="1">SUMIFS('± Transactions'!$J:$J, '± Transactions'!$B:$B,"&gt;=" &amp; (C$2), '± Transactions'!$B:$B,"&lt;" &amp; DATE(YEAR(C$2),MONTH(C$2)+1,1),'± Transactions'!$H:$H,"=" &amp; $A28)</f>
        <v>0</v>
      </c>
      <c r="D28">
        <f ca="1">SUMIFS('± Transactions'!$J:$J, '± Transactions'!$B:$B,"&gt;=" &amp; (D$2), '± Transactions'!$B:$B,"&lt;" &amp; DATE(YEAR(D$2),MONTH(D$2)+1,1),'± Transactions'!$H:$H,"=" &amp; $A28)</f>
        <v>0</v>
      </c>
      <c r="E28">
        <f ca="1">SUMIFS('± Transactions'!$J:$J, '± Transactions'!$B:$B,"&gt;=" &amp; (E$2), '± Transactions'!$B:$B,"&lt;" &amp; DATE(YEAR(E$2),MONTH(E$2)+1,1),'± Transactions'!$H:$H,"=" &amp; $A28)</f>
        <v>0</v>
      </c>
      <c r="F28">
        <f ca="1">SUMIFS('± Transactions'!$J:$J, '± Transactions'!$B:$B,"&gt;=" &amp; (F$2), '± Transactions'!$B:$B,"&lt;" &amp; DATE(YEAR(F$2),MONTH(F$2)+1,1),'± Transactions'!$H:$H,"=" &amp; $A28)</f>
        <v>0</v>
      </c>
      <c r="G28">
        <f ca="1">SUMIFS('± Transactions'!$J:$J, '± Transactions'!$B:$B,"&gt;=" &amp; (G$2), '± Transactions'!$B:$B,"&lt;" &amp; DATE(YEAR(G$2),MONTH(G$2)+1,1),'± Transactions'!$H:$H,"=" &amp; $A28)</f>
        <v>0</v>
      </c>
      <c r="H28">
        <f ca="1">SUMIFS('± Transactions'!$J:$J, '± Transactions'!$B:$B,"&gt;=" &amp; (H$2), '± Transactions'!$B:$B,"&lt;" &amp; DATE(YEAR(H$2),MONTH(H$2)+1,1),'± Transactions'!$H:$H,"=" &amp; $A28)</f>
        <v>0</v>
      </c>
      <c r="I28">
        <f ca="1">SUMIFS('± Transactions'!$J:$J, '± Transactions'!$B:$B,"&gt;=" &amp; (I$2), '± Transactions'!$B:$B,"&lt;" &amp; DATE(YEAR(I$2),MONTH(I$2)+1,1),'± Transactions'!$H:$H,"=" &amp; $A28)</f>
        <v>0</v>
      </c>
      <c r="J28">
        <f ca="1">SUMIFS('± Transactions'!$J:$J, '± Transactions'!$B:$B,"&gt;=" &amp; (J$2), '± Transactions'!$B:$B,"&lt;" &amp; DATE(YEAR(J$2),MONTH(J$2)+1,1),'± Transactions'!$H:$H,"=" &amp; $A28)</f>
        <v>0</v>
      </c>
      <c r="K28">
        <f ca="1">SUMIFS('± Transactions'!$J:$J, '± Transactions'!$B:$B,"&gt;=" &amp; (K$2), '± Transactions'!$B:$B,"&lt;" &amp; DATE(YEAR(K$2),MONTH(K$2)+1,1),'± Transactions'!$H:$H,"=" &amp; $A28)</f>
        <v>0</v>
      </c>
      <c r="L28">
        <f ca="1">SUMIFS('± Transactions'!$J:$J, '± Transactions'!$B:$B,"&gt;=" &amp; (L$2), '± Transactions'!$B:$B,"&lt;" &amp; DATE(YEAR(L$2),MONTH(L$2)+1,1),'± Transactions'!$H:$H,"=" &amp; $A28)</f>
        <v>0</v>
      </c>
      <c r="M28">
        <f ca="1">SUMIFS('± Transactions'!$J:$J, '± Transactions'!$B:$B,"&gt;=" &amp; (M$2), '± Transactions'!$B:$B,"&lt;" &amp; DATE(YEAR(M$2),MONTH(M$2)+1,1),'± Transactions'!$H:$H,"=" &amp; $A28)</f>
        <v>0</v>
      </c>
      <c r="N28">
        <f ca="1">SUMIFS('± Transactions'!$J:$J, '± Transactions'!$B:$B,"&gt;=" &amp; (N$2), '± Transactions'!$B:$B,"&lt;" &amp; DATE(YEAR(N$2),MONTH(N$2)+1,1),'± Transactions'!$H:$H,"=" &amp; $A28)</f>
        <v>0</v>
      </c>
      <c r="O28">
        <f ca="1">SUMIFS('± Transactions'!$J:$J, '± Transactions'!$B:$B,"&gt;=" &amp; (O$2), '± Transactions'!$B:$B,"&lt;" &amp; DATE(YEAR(O$2),MONTH(O$2)+1,1),'± Transactions'!$H:$H,"=" &amp; $A28)</f>
        <v>0</v>
      </c>
      <c r="P28">
        <f ca="1">SUMIFS('± Transactions'!$J:$J, '± Transactions'!$B:$B,"&gt;=" &amp; (P$2), '± Transactions'!$B:$B,"&lt;" &amp; DATE(YEAR(P$2),MONTH(P$2)+1,1),'± Transactions'!$H:$H,"=" &amp; $A28)</f>
        <v>0</v>
      </c>
      <c r="Q28">
        <f ca="1">SUMIFS('± Transactions'!$J:$J, '± Transactions'!$B:$B,"&gt;=" &amp; (Q$2), '± Transactions'!$B:$B,"&lt;" &amp; DATE(YEAR(Q$2),MONTH(Q$2)+1,1),'± Transactions'!$H:$H,"=" &amp; $A28)</f>
        <v>0</v>
      </c>
      <c r="R28">
        <f ca="1">SUMIFS('± Transactions'!$J:$J, '± Transactions'!$B:$B,"&gt;=" &amp; (R$2), '± Transactions'!$B:$B,"&lt;" &amp; DATE(YEAR(R$2),MONTH(R$2)+1,1),'± Transactions'!$H:$H,"=" &amp; $A28)</f>
        <v>0</v>
      </c>
      <c r="S28">
        <f ca="1">SUMIFS('± Transactions'!$J:$J, '± Transactions'!$B:$B,"&gt;=" &amp; (S$2), '± Transactions'!$B:$B,"&lt;" &amp; DATE(YEAR(S$2),MONTH(S$2)+1,1),'± Transactions'!$H:$H,"=" &amp; $A28)</f>
        <v>0</v>
      </c>
      <c r="T28">
        <f ca="1">SUMIFS('± Transactions'!$J:$J, '± Transactions'!$B:$B,"&gt;=" &amp; (T$2), '± Transactions'!$B:$B,"&lt;" &amp; DATE(YEAR(T$2),MONTH(T$2)+1,1),'± Transactions'!$H:$H,"=" &amp; $A28)</f>
        <v>0</v>
      </c>
      <c r="U28">
        <f ca="1">SUMIFS('± Transactions'!$J:$J, '± Transactions'!$B:$B,"&gt;=" &amp; (U$2), '± Transactions'!$B:$B,"&lt;" &amp; DATE(YEAR(U$2),MONTH(U$2)+1,1),'± Transactions'!$H:$H,"=" &amp; $A28)</f>
        <v>0</v>
      </c>
      <c r="V28">
        <f t="shared" ca="1" si="1"/>
        <v>0</v>
      </c>
      <c r="W28">
        <f t="shared" ca="1" si="2"/>
        <v>0</v>
      </c>
      <c r="X28">
        <f t="shared" ca="1" si="3"/>
        <v>0</v>
      </c>
      <c r="Y28">
        <f t="shared" ca="1" si="4"/>
        <v>0</v>
      </c>
      <c r="Z28">
        <f t="shared" ca="1" si="6"/>
        <v>0</v>
      </c>
    </row>
    <row r="29" spans="1:26">
      <c r="A29" t="s">
        <v>29</v>
      </c>
      <c r="B29">
        <f ca="1">SUMIFS('± Transactions'!$J:$J, '± Transactions'!$B:$B,"&gt;=" &amp; (B$2), '± Transactions'!$B:$B,"&lt;" &amp; DATE(YEAR(B$2),MONTH(B$2)+1,1),'± Transactions'!$H:$H,"=" &amp; $A29)</f>
        <v>0</v>
      </c>
      <c r="C29">
        <f ca="1">SUMIFS('± Transactions'!$J:$J, '± Transactions'!$B:$B,"&gt;=" &amp; (C$2), '± Transactions'!$B:$B,"&lt;" &amp; DATE(YEAR(C$2),MONTH(C$2)+1,1),'± Transactions'!$H:$H,"=" &amp; $A29)</f>
        <v>0</v>
      </c>
      <c r="D29">
        <f ca="1">SUMIFS('± Transactions'!$J:$J, '± Transactions'!$B:$B,"&gt;=" &amp; (D$2), '± Transactions'!$B:$B,"&lt;" &amp; DATE(YEAR(D$2),MONTH(D$2)+1,1),'± Transactions'!$H:$H,"=" &amp; $A29)</f>
        <v>0</v>
      </c>
      <c r="E29">
        <f ca="1">SUMIFS('± Transactions'!$J:$J, '± Transactions'!$B:$B,"&gt;=" &amp; (E$2), '± Transactions'!$B:$B,"&lt;" &amp; DATE(YEAR(E$2),MONTH(E$2)+1,1),'± Transactions'!$H:$H,"=" &amp; $A29)</f>
        <v>0</v>
      </c>
      <c r="F29">
        <f ca="1">SUMIFS('± Transactions'!$J:$J, '± Transactions'!$B:$B,"&gt;=" &amp; (F$2), '± Transactions'!$B:$B,"&lt;" &amp; DATE(YEAR(F$2),MONTH(F$2)+1,1),'± Transactions'!$H:$H,"=" &amp; $A29)</f>
        <v>0</v>
      </c>
      <c r="G29">
        <f ca="1">SUMIFS('± Transactions'!$J:$J, '± Transactions'!$B:$B,"&gt;=" &amp; (G$2), '± Transactions'!$B:$B,"&lt;" &amp; DATE(YEAR(G$2),MONTH(G$2)+1,1),'± Transactions'!$H:$H,"=" &amp; $A29)</f>
        <v>0</v>
      </c>
      <c r="H29">
        <f ca="1">SUMIFS('± Transactions'!$J:$J, '± Transactions'!$B:$B,"&gt;=" &amp; (H$2), '± Transactions'!$B:$B,"&lt;" &amp; DATE(YEAR(H$2),MONTH(H$2)+1,1),'± Transactions'!$H:$H,"=" &amp; $A29)</f>
        <v>0</v>
      </c>
      <c r="I29">
        <f ca="1">SUMIFS('± Transactions'!$J:$J, '± Transactions'!$B:$B,"&gt;=" &amp; (I$2), '± Transactions'!$B:$B,"&lt;" &amp; DATE(YEAR(I$2),MONTH(I$2)+1,1),'± Transactions'!$H:$H,"=" &amp; $A29)</f>
        <v>0</v>
      </c>
      <c r="J29">
        <f ca="1">SUMIFS('± Transactions'!$J:$J, '± Transactions'!$B:$B,"&gt;=" &amp; (J$2), '± Transactions'!$B:$B,"&lt;" &amp; DATE(YEAR(J$2),MONTH(J$2)+1,1),'± Transactions'!$H:$H,"=" &amp; $A29)</f>
        <v>0</v>
      </c>
      <c r="K29">
        <f ca="1">SUMIFS('± Transactions'!$J:$J, '± Transactions'!$B:$B,"&gt;=" &amp; (K$2), '± Transactions'!$B:$B,"&lt;" &amp; DATE(YEAR(K$2),MONTH(K$2)+1,1),'± Transactions'!$H:$H,"=" &amp; $A29)</f>
        <v>0</v>
      </c>
      <c r="L29">
        <f ca="1">SUMIFS('± Transactions'!$J:$J, '± Transactions'!$B:$B,"&gt;=" &amp; (L$2), '± Transactions'!$B:$B,"&lt;" &amp; DATE(YEAR(L$2),MONTH(L$2)+1,1),'± Transactions'!$H:$H,"=" &amp; $A29)</f>
        <v>0</v>
      </c>
      <c r="M29">
        <f ca="1">SUMIFS('± Transactions'!$J:$J, '± Transactions'!$B:$B,"&gt;=" &amp; (M$2), '± Transactions'!$B:$B,"&lt;" &amp; DATE(YEAR(M$2),MONTH(M$2)+1,1),'± Transactions'!$H:$H,"=" &amp; $A29)</f>
        <v>0</v>
      </c>
      <c r="N29">
        <f ca="1">SUMIFS('± Transactions'!$J:$J, '± Transactions'!$B:$B,"&gt;=" &amp; (N$2), '± Transactions'!$B:$B,"&lt;" &amp; DATE(YEAR(N$2),MONTH(N$2)+1,1),'± Transactions'!$H:$H,"=" &amp; $A29)</f>
        <v>0</v>
      </c>
      <c r="O29">
        <f ca="1">SUMIFS('± Transactions'!$J:$J, '± Transactions'!$B:$B,"&gt;=" &amp; (O$2), '± Transactions'!$B:$B,"&lt;" &amp; DATE(YEAR(O$2),MONTH(O$2)+1,1),'± Transactions'!$H:$H,"=" &amp; $A29)</f>
        <v>0</v>
      </c>
      <c r="P29">
        <f ca="1">SUMIFS('± Transactions'!$J:$J, '± Transactions'!$B:$B,"&gt;=" &amp; (P$2), '± Transactions'!$B:$B,"&lt;" &amp; DATE(YEAR(P$2),MONTH(P$2)+1,1),'± Transactions'!$H:$H,"=" &amp; $A29)</f>
        <v>0</v>
      </c>
      <c r="Q29">
        <f ca="1">SUMIFS('± Transactions'!$J:$J, '± Transactions'!$B:$B,"&gt;=" &amp; (Q$2), '± Transactions'!$B:$B,"&lt;" &amp; DATE(YEAR(Q$2),MONTH(Q$2)+1,1),'± Transactions'!$H:$H,"=" &amp; $A29)</f>
        <v>0</v>
      </c>
      <c r="R29">
        <f ca="1">SUMIFS('± Transactions'!$J:$J, '± Transactions'!$B:$B,"&gt;=" &amp; (R$2), '± Transactions'!$B:$B,"&lt;" &amp; DATE(YEAR(R$2),MONTH(R$2)+1,1),'± Transactions'!$H:$H,"=" &amp; $A29)</f>
        <v>0</v>
      </c>
      <c r="S29">
        <f ca="1">SUMIFS('± Transactions'!$J:$J, '± Transactions'!$B:$B,"&gt;=" &amp; (S$2), '± Transactions'!$B:$B,"&lt;" &amp; DATE(YEAR(S$2),MONTH(S$2)+1,1),'± Transactions'!$H:$H,"=" &amp; $A29)</f>
        <v>0</v>
      </c>
      <c r="T29">
        <f ca="1">SUMIFS('± Transactions'!$J:$J, '± Transactions'!$B:$B,"&gt;=" &amp; (T$2), '± Transactions'!$B:$B,"&lt;" &amp; DATE(YEAR(T$2),MONTH(T$2)+1,1),'± Transactions'!$H:$H,"=" &amp; $A29)</f>
        <v>0</v>
      </c>
      <c r="U29">
        <f ca="1">SUMIFS('± Transactions'!$J:$J, '± Transactions'!$B:$B,"&gt;=" &amp; (U$2), '± Transactions'!$B:$B,"&lt;" &amp; DATE(YEAR(U$2),MONTH(U$2)+1,1),'± Transactions'!$H:$H,"=" &amp; $A29)</f>
        <v>0</v>
      </c>
      <c r="V29">
        <f t="shared" ca="1" si="1"/>
        <v>0</v>
      </c>
      <c r="W29">
        <f t="shared" ca="1" si="2"/>
        <v>0</v>
      </c>
      <c r="X29">
        <f t="shared" ca="1" si="3"/>
        <v>0</v>
      </c>
      <c r="Y29">
        <f t="shared" ca="1" si="4"/>
        <v>0</v>
      </c>
      <c r="Z29">
        <f t="shared" ca="1" si="6"/>
        <v>0</v>
      </c>
    </row>
    <row r="30" spans="1:26">
      <c r="A30" t="s">
        <v>26</v>
      </c>
      <c r="B30">
        <f ca="1">SUMIFS('± Transactions'!$J:$J, '± Transactions'!$B:$B,"&gt;=" &amp; (B$2), '± Transactions'!$B:$B,"&lt;" &amp; DATE(YEAR(B$2),MONTH(B$2)+1,1),'± Transactions'!$H:$H,"=" &amp; $A30)</f>
        <v>0</v>
      </c>
      <c r="C30">
        <f ca="1">SUMIFS('± Transactions'!$J:$J, '± Transactions'!$B:$B,"&gt;=" &amp; (C$2), '± Transactions'!$B:$B,"&lt;" &amp; DATE(YEAR(C$2),MONTH(C$2)+1,1),'± Transactions'!$H:$H,"=" &amp; $A30)</f>
        <v>0</v>
      </c>
      <c r="D30">
        <f ca="1">SUMIFS('± Transactions'!$J:$J, '± Transactions'!$B:$B,"&gt;=" &amp; (D$2), '± Transactions'!$B:$B,"&lt;" &amp; DATE(YEAR(D$2),MONTH(D$2)+1,1),'± Transactions'!$H:$H,"=" &amp; $A30)</f>
        <v>0</v>
      </c>
      <c r="E30">
        <f ca="1">SUMIFS('± Transactions'!$J:$J, '± Transactions'!$B:$B,"&gt;=" &amp; (E$2), '± Transactions'!$B:$B,"&lt;" &amp; DATE(YEAR(E$2),MONTH(E$2)+1,1),'± Transactions'!$H:$H,"=" &amp; $A30)</f>
        <v>0</v>
      </c>
      <c r="F30">
        <f ca="1">SUMIFS('± Transactions'!$J:$J, '± Transactions'!$B:$B,"&gt;=" &amp; (F$2), '± Transactions'!$B:$B,"&lt;" &amp; DATE(YEAR(F$2),MONTH(F$2)+1,1),'± Transactions'!$H:$H,"=" &amp; $A30)</f>
        <v>0</v>
      </c>
      <c r="G30">
        <f ca="1">SUMIFS('± Transactions'!$J:$J, '± Transactions'!$B:$B,"&gt;=" &amp; (G$2), '± Transactions'!$B:$B,"&lt;" &amp; DATE(YEAR(G$2),MONTH(G$2)+1,1),'± Transactions'!$H:$H,"=" &amp; $A30)</f>
        <v>0</v>
      </c>
      <c r="H30">
        <f ca="1">SUMIFS('± Transactions'!$J:$J, '± Transactions'!$B:$B,"&gt;=" &amp; (H$2), '± Transactions'!$B:$B,"&lt;" &amp; DATE(YEAR(H$2),MONTH(H$2)+1,1),'± Transactions'!$H:$H,"=" &amp; $A30)</f>
        <v>0</v>
      </c>
      <c r="I30">
        <f ca="1">SUMIFS('± Transactions'!$J:$J, '± Transactions'!$B:$B,"&gt;=" &amp; (I$2), '± Transactions'!$B:$B,"&lt;" &amp; DATE(YEAR(I$2),MONTH(I$2)+1,1),'± Transactions'!$H:$H,"=" &amp; $A30)</f>
        <v>0</v>
      </c>
      <c r="J30">
        <f ca="1">SUMIFS('± Transactions'!$J:$J, '± Transactions'!$B:$B,"&gt;=" &amp; (J$2), '± Transactions'!$B:$B,"&lt;" &amp; DATE(YEAR(J$2),MONTH(J$2)+1,1),'± Transactions'!$H:$H,"=" &amp; $A30)</f>
        <v>0</v>
      </c>
      <c r="K30">
        <f ca="1">SUMIFS('± Transactions'!$J:$J, '± Transactions'!$B:$B,"&gt;=" &amp; (K$2), '± Transactions'!$B:$B,"&lt;" &amp; DATE(YEAR(K$2),MONTH(K$2)+1,1),'± Transactions'!$H:$H,"=" &amp; $A30)</f>
        <v>0</v>
      </c>
      <c r="L30">
        <f ca="1">SUMIFS('± Transactions'!$J:$J, '± Transactions'!$B:$B,"&gt;=" &amp; (L$2), '± Transactions'!$B:$B,"&lt;" &amp; DATE(YEAR(L$2),MONTH(L$2)+1,1),'± Transactions'!$H:$H,"=" &amp; $A30)</f>
        <v>0</v>
      </c>
      <c r="M30">
        <f ca="1">SUMIFS('± Transactions'!$J:$J, '± Transactions'!$B:$B,"&gt;=" &amp; (M$2), '± Transactions'!$B:$B,"&lt;" &amp; DATE(YEAR(M$2),MONTH(M$2)+1,1),'± Transactions'!$H:$H,"=" &amp; $A30)</f>
        <v>0</v>
      </c>
      <c r="N30">
        <f ca="1">SUMIFS('± Transactions'!$J:$J, '± Transactions'!$B:$B,"&gt;=" &amp; (N$2), '± Transactions'!$B:$B,"&lt;" &amp; DATE(YEAR(N$2),MONTH(N$2)+1,1),'± Transactions'!$H:$H,"=" &amp; $A30)</f>
        <v>0</v>
      </c>
      <c r="O30">
        <f ca="1">SUMIFS('± Transactions'!$J:$J, '± Transactions'!$B:$B,"&gt;=" &amp; (O$2), '± Transactions'!$B:$B,"&lt;" &amp; DATE(YEAR(O$2),MONTH(O$2)+1,1),'± Transactions'!$H:$H,"=" &amp; $A30)</f>
        <v>0</v>
      </c>
      <c r="P30">
        <f ca="1">SUMIFS('± Transactions'!$J:$J, '± Transactions'!$B:$B,"&gt;=" &amp; (P$2), '± Transactions'!$B:$B,"&lt;" &amp; DATE(YEAR(P$2),MONTH(P$2)+1,1),'± Transactions'!$H:$H,"=" &amp; $A30)</f>
        <v>0</v>
      </c>
      <c r="Q30">
        <f ca="1">SUMIFS('± Transactions'!$J:$J, '± Transactions'!$B:$B,"&gt;=" &amp; (Q$2), '± Transactions'!$B:$B,"&lt;" &amp; DATE(YEAR(Q$2),MONTH(Q$2)+1,1),'± Transactions'!$H:$H,"=" &amp; $A30)</f>
        <v>0</v>
      </c>
      <c r="R30">
        <f ca="1">SUMIFS('± Transactions'!$J:$J, '± Transactions'!$B:$B,"&gt;=" &amp; (R$2), '± Transactions'!$B:$B,"&lt;" &amp; DATE(YEAR(R$2),MONTH(R$2)+1,1),'± Transactions'!$H:$H,"=" &amp; $A30)</f>
        <v>0</v>
      </c>
      <c r="S30">
        <f ca="1">SUMIFS('± Transactions'!$J:$J, '± Transactions'!$B:$B,"&gt;=" &amp; (S$2), '± Transactions'!$B:$B,"&lt;" &amp; DATE(YEAR(S$2),MONTH(S$2)+1,1),'± Transactions'!$H:$H,"=" &amp; $A30)</f>
        <v>0</v>
      </c>
      <c r="T30">
        <f ca="1">SUMIFS('± Transactions'!$J:$J, '± Transactions'!$B:$B,"&gt;=" &amp; (T$2), '± Transactions'!$B:$B,"&lt;" &amp; DATE(YEAR(T$2),MONTH(T$2)+1,1),'± Transactions'!$H:$H,"=" &amp; $A30)</f>
        <v>0</v>
      </c>
      <c r="U30">
        <f ca="1">SUMIFS('± Transactions'!$J:$J, '± Transactions'!$B:$B,"&gt;=" &amp; (U$2), '± Transactions'!$B:$B,"&lt;" &amp; DATE(YEAR(U$2),MONTH(U$2)+1,1),'± Transactions'!$H:$H,"=" &amp; $A30)</f>
        <v>0</v>
      </c>
      <c r="V30">
        <f t="shared" ca="1" si="1"/>
        <v>0</v>
      </c>
      <c r="W30">
        <f t="shared" ca="1" si="2"/>
        <v>0</v>
      </c>
      <c r="X30">
        <f t="shared" ca="1" si="3"/>
        <v>0</v>
      </c>
      <c r="Y30">
        <f t="shared" ca="1" si="4"/>
        <v>0</v>
      </c>
      <c r="Z30">
        <f t="shared" ca="1" si="6"/>
        <v>0</v>
      </c>
    </row>
    <row r="31" spans="1:26">
      <c r="A31" t="s">
        <v>30</v>
      </c>
      <c r="B31">
        <f ca="1">SUMIFS('± Transactions'!$J:$J, '± Transactions'!$B:$B,"&gt;=" &amp; (B$2), '± Transactions'!$B:$B,"&lt;" &amp; DATE(YEAR(B$2),MONTH(B$2)+1,1),'± Transactions'!$G:$G,"=" &amp; $A$31)</f>
        <v>0</v>
      </c>
      <c r="C31">
        <f ca="1">SUMIFS('± Transactions'!$J:$J, '± Transactions'!$B:$B,"&gt;=" &amp; (C$2), '± Transactions'!$B:$B,"&lt;" &amp; DATE(YEAR(C$2),MONTH(C$2)+1,1),'± Transactions'!$G:$G,"=" &amp; $A$31)</f>
        <v>0</v>
      </c>
      <c r="D31">
        <f ca="1">SUMIFS('± Transactions'!$J:$J, '± Transactions'!$B:$B,"&gt;=" &amp; (D$2), '± Transactions'!$B:$B,"&lt;" &amp; DATE(YEAR(D$2),MONTH(D$2)+1,1),'± Transactions'!$G:$G,"=" &amp; $A$31)</f>
        <v>0</v>
      </c>
      <c r="E31">
        <f ca="1">SUMIFS('± Transactions'!$J:$J, '± Transactions'!$B:$B,"&gt;=" &amp; (E$2), '± Transactions'!$B:$B,"&lt;" &amp; DATE(YEAR(E$2),MONTH(E$2)+1,1),'± Transactions'!$G:$G,"=" &amp; $A$31)</f>
        <v>0</v>
      </c>
      <c r="F31">
        <f ca="1">SUMIFS('± Transactions'!$J:$J, '± Transactions'!$B:$B,"&gt;=" &amp; (F$2), '± Transactions'!$B:$B,"&lt;" &amp; DATE(YEAR(F$2),MONTH(F$2)+1,1),'± Transactions'!$G:$G,"=" &amp; $A$31)</f>
        <v>0</v>
      </c>
      <c r="G31">
        <f ca="1">SUMIFS('± Transactions'!$J:$J, '± Transactions'!$B:$B,"&gt;=" &amp; (G$2), '± Transactions'!$B:$B,"&lt;" &amp; DATE(YEAR(G$2),MONTH(G$2)+1,1),'± Transactions'!$G:$G,"=" &amp; $A$31)</f>
        <v>0</v>
      </c>
      <c r="H31">
        <f ca="1">SUMIFS('± Transactions'!$J:$J, '± Transactions'!$B:$B,"&gt;=" &amp; (H$2), '± Transactions'!$B:$B,"&lt;" &amp; DATE(YEAR(H$2),MONTH(H$2)+1,1),'± Transactions'!$G:$G,"=" &amp; $A$31)</f>
        <v>0</v>
      </c>
      <c r="I31">
        <f ca="1">SUMIFS('± Transactions'!$J:$J, '± Transactions'!$B:$B,"&gt;=" &amp; (I$2), '± Transactions'!$B:$B,"&lt;" &amp; DATE(YEAR(I$2),MONTH(I$2)+1,1),'± Transactions'!$G:$G,"=" &amp; $A$31)</f>
        <v>0</v>
      </c>
      <c r="J31">
        <f ca="1">SUMIFS('± Transactions'!$J:$J, '± Transactions'!$B:$B,"&gt;=" &amp; (J$2), '± Transactions'!$B:$B,"&lt;" &amp; DATE(YEAR(J$2),MONTH(J$2)+1,1),'± Transactions'!$G:$G,"=" &amp; $A$31)</f>
        <v>0</v>
      </c>
      <c r="K31">
        <f ca="1">SUMIFS('± Transactions'!$J:$J, '± Transactions'!$B:$B,"&gt;=" &amp; (K$2), '± Transactions'!$B:$B,"&lt;" &amp; DATE(YEAR(K$2),MONTH(K$2)+1,1),'± Transactions'!$G:$G,"=" &amp; $A$31)</f>
        <v>0</v>
      </c>
      <c r="L31">
        <f ca="1">SUMIFS('± Transactions'!$J:$J, '± Transactions'!$B:$B,"&gt;=" &amp; (L$2), '± Transactions'!$B:$B,"&lt;" &amp; DATE(YEAR(L$2),MONTH(L$2)+1,1),'± Transactions'!$G:$G,"=" &amp; $A$31)</f>
        <v>0</v>
      </c>
      <c r="M31">
        <f ca="1">SUMIFS('± Transactions'!$J:$J, '± Transactions'!$B:$B,"&gt;=" &amp; (M$2), '± Transactions'!$B:$B,"&lt;" &amp; DATE(YEAR(M$2),MONTH(M$2)+1,1),'± Transactions'!$G:$G,"=" &amp; $A$31)</f>
        <v>0</v>
      </c>
      <c r="N31">
        <f ca="1">SUMIFS('± Transactions'!$J:$J, '± Transactions'!$B:$B,"&gt;=" &amp; (N$2), '± Transactions'!$B:$B,"&lt;" &amp; DATE(YEAR(N$2),MONTH(N$2)+1,1),'± Transactions'!$G:$G,"=" &amp; $A$31)</f>
        <v>0</v>
      </c>
      <c r="O31">
        <f ca="1">SUMIFS('± Transactions'!$J:$J, '± Transactions'!$B:$B,"&gt;=" &amp; (O$2), '± Transactions'!$B:$B,"&lt;" &amp; DATE(YEAR(O$2),MONTH(O$2)+1,1),'± Transactions'!$G:$G,"=" &amp; $A$31)</f>
        <v>0</v>
      </c>
      <c r="P31">
        <f ca="1">SUMIFS('± Transactions'!$J:$J, '± Transactions'!$B:$B,"&gt;=" &amp; (P$2), '± Transactions'!$B:$B,"&lt;" &amp; DATE(YEAR(P$2),MONTH(P$2)+1,1),'± Transactions'!$G:$G,"=" &amp; $A$31)</f>
        <v>0</v>
      </c>
      <c r="Q31">
        <f ca="1">SUMIFS('± Transactions'!$J:$J, '± Transactions'!$B:$B,"&gt;=" &amp; (Q$2), '± Transactions'!$B:$B,"&lt;" &amp; DATE(YEAR(Q$2),MONTH(Q$2)+1,1),'± Transactions'!$G:$G,"=" &amp; $A$31)</f>
        <v>0</v>
      </c>
      <c r="R31">
        <f ca="1">SUMIFS('± Transactions'!$J:$J, '± Transactions'!$B:$B,"&gt;=" &amp; (R$2), '± Transactions'!$B:$B,"&lt;" &amp; DATE(YEAR(R$2),MONTH(R$2)+1,1),'± Transactions'!$G:$G,"=" &amp; $A$31)</f>
        <v>0</v>
      </c>
      <c r="S31">
        <f ca="1">SUMIFS('± Transactions'!$J:$J, '± Transactions'!$B:$B,"&gt;=" &amp; (S$2), '± Transactions'!$B:$B,"&lt;" &amp; DATE(YEAR(S$2),MONTH(S$2)+1,1),'± Transactions'!$G:$G,"=" &amp; $A$31)</f>
        <v>0</v>
      </c>
      <c r="T31">
        <f ca="1">SUMIFS('± Transactions'!$J:$J, '± Transactions'!$B:$B,"&gt;=" &amp; (T$2), '± Transactions'!$B:$B,"&lt;" &amp; DATE(YEAR(T$2),MONTH(T$2)+1,1),'± Transactions'!$G:$G,"=" &amp; $A$31)</f>
        <v>0</v>
      </c>
      <c r="U31">
        <f ca="1">SUMIFS('± Transactions'!$J:$J, '± Transactions'!$B:$B,"&gt;=" &amp; (U$2), '± Transactions'!$B:$B,"&lt;" &amp; DATE(YEAR(U$2),MONTH(U$2)+1,1),'± Transactions'!$G:$G,"=" &amp; $A$31)</f>
        <v>0</v>
      </c>
      <c r="V31">
        <f t="shared" ca="1" si="1"/>
        <v>0</v>
      </c>
      <c r="W31">
        <f t="shared" ca="1" si="2"/>
        <v>0</v>
      </c>
      <c r="X31">
        <f t="shared" ca="1" si="3"/>
        <v>0</v>
      </c>
      <c r="Y31">
        <f t="shared" ca="1" si="4"/>
        <v>0</v>
      </c>
      <c r="Z31">
        <f t="shared" ca="1" si="6"/>
        <v>0</v>
      </c>
    </row>
    <row r="32" spans="1:26">
      <c r="A32" t="s">
        <v>73</v>
      </c>
      <c r="B32">
        <f t="shared" ref="B32:T32" ca="1" si="14">B$31/DAY(EOMONTH(B$2,0))</f>
        <v>0</v>
      </c>
      <c r="C32">
        <f t="shared" ca="1" si="14"/>
        <v>0</v>
      </c>
      <c r="D32">
        <f t="shared" ca="1" si="14"/>
        <v>0</v>
      </c>
      <c r="E32">
        <f t="shared" ca="1" si="14"/>
        <v>0</v>
      </c>
      <c r="F32">
        <f t="shared" ca="1" si="14"/>
        <v>0</v>
      </c>
      <c r="G32">
        <f t="shared" ca="1" si="14"/>
        <v>0</v>
      </c>
      <c r="H32">
        <f t="shared" ca="1" si="14"/>
        <v>0</v>
      </c>
      <c r="I32">
        <f t="shared" ca="1" si="14"/>
        <v>0</v>
      </c>
      <c r="J32">
        <f t="shared" ca="1" si="14"/>
        <v>0</v>
      </c>
      <c r="K32">
        <f t="shared" ca="1" si="14"/>
        <v>0</v>
      </c>
      <c r="L32">
        <f t="shared" ca="1" si="14"/>
        <v>0</v>
      </c>
      <c r="M32">
        <f t="shared" ca="1" si="14"/>
        <v>0</v>
      </c>
      <c r="N32">
        <f t="shared" ca="1" si="14"/>
        <v>0</v>
      </c>
      <c r="O32">
        <f t="shared" ca="1" si="14"/>
        <v>0</v>
      </c>
      <c r="P32">
        <f t="shared" ca="1" si="14"/>
        <v>0</v>
      </c>
      <c r="Q32">
        <f t="shared" ca="1" si="14"/>
        <v>0</v>
      </c>
      <c r="R32">
        <f t="shared" ca="1" si="14"/>
        <v>0</v>
      </c>
      <c r="S32">
        <f t="shared" ca="1" si="14"/>
        <v>0</v>
      </c>
      <c r="T32">
        <f t="shared" ca="1" si="14"/>
        <v>0</v>
      </c>
      <c r="U32">
        <f ca="1">$U$31/DAY(TODAY())</f>
        <v>0</v>
      </c>
      <c r="V32">
        <f t="shared" ca="1" si="1"/>
        <v>0</v>
      </c>
      <c r="W32">
        <f t="shared" ca="1" si="2"/>
        <v>0</v>
      </c>
      <c r="X32">
        <f t="shared" ca="1" si="3"/>
        <v>0</v>
      </c>
      <c r="Y32">
        <f t="shared" ca="1" si="4"/>
        <v>0</v>
      </c>
      <c r="Z32">
        <f t="shared" ca="1" si="6"/>
        <v>0</v>
      </c>
    </row>
    <row r="33" spans="1:26">
      <c r="A33" t="s">
        <v>31</v>
      </c>
      <c r="B33">
        <f ca="1">SUMIFS('± Transactions'!$J:$J, '± Transactions'!$B:$B,"&gt;=" &amp; (B$2), '± Transactions'!$B:$B,"&lt;" &amp; DATE(YEAR(B$2),MONTH(B$2)+1,1),'± Transactions'!$H:$H,"=" &amp; $A33)</f>
        <v>0</v>
      </c>
      <c r="C33">
        <f ca="1">SUMIFS('± Transactions'!$J:$J, '± Transactions'!$B:$B,"&gt;=" &amp; (C$2), '± Transactions'!$B:$B,"&lt;" &amp; DATE(YEAR(C$2),MONTH(C$2)+1,1),'± Transactions'!$H:$H,"=" &amp; $A33)</f>
        <v>0</v>
      </c>
      <c r="D33">
        <f ca="1">SUMIFS('± Transactions'!$J:$J, '± Transactions'!$B:$B,"&gt;=" &amp; (D$2), '± Transactions'!$B:$B,"&lt;" &amp; DATE(YEAR(D$2),MONTH(D$2)+1,1),'± Transactions'!$H:$H,"=" &amp; $A33)</f>
        <v>0</v>
      </c>
      <c r="E33">
        <f ca="1">SUMIFS('± Transactions'!$J:$J, '± Transactions'!$B:$B,"&gt;=" &amp; (E$2), '± Transactions'!$B:$B,"&lt;" &amp; DATE(YEAR(E$2),MONTH(E$2)+1,1),'± Transactions'!$H:$H,"=" &amp; $A33)</f>
        <v>0</v>
      </c>
      <c r="F33">
        <f ca="1">SUMIFS('± Transactions'!$J:$J, '± Transactions'!$B:$B,"&gt;=" &amp; (F$2), '± Transactions'!$B:$B,"&lt;" &amp; DATE(YEAR(F$2),MONTH(F$2)+1,1),'± Transactions'!$H:$H,"=" &amp; $A33)</f>
        <v>0</v>
      </c>
      <c r="G33">
        <f ca="1">SUMIFS('± Transactions'!$J:$J, '± Transactions'!$B:$B,"&gt;=" &amp; (G$2), '± Transactions'!$B:$B,"&lt;" &amp; DATE(YEAR(G$2),MONTH(G$2)+1,1),'± Transactions'!$H:$H,"=" &amp; $A33)</f>
        <v>0</v>
      </c>
      <c r="H33">
        <f ca="1">SUMIFS('± Transactions'!$J:$J, '± Transactions'!$B:$B,"&gt;=" &amp; (H$2), '± Transactions'!$B:$B,"&lt;" &amp; DATE(YEAR(H$2),MONTH(H$2)+1,1),'± Transactions'!$H:$H,"=" &amp; $A33)</f>
        <v>0</v>
      </c>
      <c r="I33">
        <f ca="1">SUMIFS('± Transactions'!$J:$J, '± Transactions'!$B:$B,"&gt;=" &amp; (I$2), '± Transactions'!$B:$B,"&lt;" &amp; DATE(YEAR(I$2),MONTH(I$2)+1,1),'± Transactions'!$H:$H,"=" &amp; $A33)</f>
        <v>0</v>
      </c>
      <c r="J33">
        <f ca="1">SUMIFS('± Transactions'!$J:$J, '± Transactions'!$B:$B,"&gt;=" &amp; (J$2), '± Transactions'!$B:$B,"&lt;" &amp; DATE(YEAR(J$2),MONTH(J$2)+1,1),'± Transactions'!$H:$H,"=" &amp; $A33)</f>
        <v>0</v>
      </c>
      <c r="K33">
        <f ca="1">SUMIFS('± Transactions'!$J:$J, '± Transactions'!$B:$B,"&gt;=" &amp; (K$2), '± Transactions'!$B:$B,"&lt;" &amp; DATE(YEAR(K$2),MONTH(K$2)+1,1),'± Transactions'!$H:$H,"=" &amp; $A33)</f>
        <v>0</v>
      </c>
      <c r="L33">
        <f ca="1">SUMIFS('± Transactions'!$J:$J, '± Transactions'!$B:$B,"&gt;=" &amp; (L$2), '± Transactions'!$B:$B,"&lt;" &amp; DATE(YEAR(L$2),MONTH(L$2)+1,1),'± Transactions'!$H:$H,"=" &amp; $A33)</f>
        <v>0</v>
      </c>
      <c r="M33">
        <f ca="1">SUMIFS('± Transactions'!$J:$J, '± Transactions'!$B:$B,"&gt;=" &amp; (M$2), '± Transactions'!$B:$B,"&lt;" &amp; DATE(YEAR(M$2),MONTH(M$2)+1,1),'± Transactions'!$H:$H,"=" &amp; $A33)</f>
        <v>0</v>
      </c>
      <c r="N33">
        <f ca="1">SUMIFS('± Transactions'!$J:$J, '± Transactions'!$B:$B,"&gt;=" &amp; (N$2), '± Transactions'!$B:$B,"&lt;" &amp; DATE(YEAR(N$2),MONTH(N$2)+1,1),'± Transactions'!$H:$H,"=" &amp; $A33)</f>
        <v>0</v>
      </c>
      <c r="O33">
        <f ca="1">SUMIFS('± Transactions'!$J:$J, '± Transactions'!$B:$B,"&gt;=" &amp; (O$2), '± Transactions'!$B:$B,"&lt;" &amp; DATE(YEAR(O$2),MONTH(O$2)+1,1),'± Transactions'!$H:$H,"=" &amp; $A33)</f>
        <v>0</v>
      </c>
      <c r="P33">
        <f ca="1">SUMIFS('± Transactions'!$J:$J, '± Transactions'!$B:$B,"&gt;=" &amp; (P$2), '± Transactions'!$B:$B,"&lt;" &amp; DATE(YEAR(P$2),MONTH(P$2)+1,1),'± Transactions'!$H:$H,"=" &amp; $A33)</f>
        <v>0</v>
      </c>
      <c r="Q33">
        <f ca="1">SUMIFS('± Transactions'!$J:$J, '± Transactions'!$B:$B,"&gt;=" &amp; (Q$2), '± Transactions'!$B:$B,"&lt;" &amp; DATE(YEAR(Q$2),MONTH(Q$2)+1,1),'± Transactions'!$H:$H,"=" &amp; $A33)</f>
        <v>0</v>
      </c>
      <c r="R33">
        <f ca="1">SUMIFS('± Transactions'!$J:$J, '± Transactions'!$B:$B,"&gt;=" &amp; (R$2), '± Transactions'!$B:$B,"&lt;" &amp; DATE(YEAR(R$2),MONTH(R$2)+1,1),'± Transactions'!$H:$H,"=" &amp; $A33)</f>
        <v>0</v>
      </c>
      <c r="S33">
        <f ca="1">SUMIFS('± Transactions'!$J:$J, '± Transactions'!$B:$B,"&gt;=" &amp; (S$2), '± Transactions'!$B:$B,"&lt;" &amp; DATE(YEAR(S$2),MONTH(S$2)+1,1),'± Transactions'!$H:$H,"=" &amp; $A33)</f>
        <v>0</v>
      </c>
      <c r="T33">
        <f ca="1">SUMIFS('± Transactions'!$J:$J, '± Transactions'!$B:$B,"&gt;=" &amp; (T$2), '± Transactions'!$B:$B,"&lt;" &amp; DATE(YEAR(T$2),MONTH(T$2)+1,1),'± Transactions'!$H:$H,"=" &amp; $A33)</f>
        <v>0</v>
      </c>
      <c r="U33">
        <f ca="1">SUMIFS('± Transactions'!$J:$J, '± Transactions'!$B:$B,"&gt;=" &amp; (U$2), '± Transactions'!$B:$B,"&lt;" &amp; DATE(YEAR(U$2),MONTH(U$2)+1,1),'± Transactions'!$H:$H,"=" &amp; $A33)</f>
        <v>0</v>
      </c>
      <c r="V33">
        <f t="shared" ca="1" si="1"/>
        <v>0</v>
      </c>
      <c r="W33">
        <f t="shared" ca="1" si="2"/>
        <v>0</v>
      </c>
      <c r="X33">
        <f t="shared" ca="1" si="3"/>
        <v>0</v>
      </c>
      <c r="Y33">
        <f t="shared" ca="1" si="4"/>
        <v>0</v>
      </c>
      <c r="Z33">
        <f t="shared" ca="1" si="6"/>
        <v>0</v>
      </c>
    </row>
    <row r="34" spans="1:26">
      <c r="A34" t="s">
        <v>23</v>
      </c>
      <c r="B34">
        <f ca="1">SUMIFS('± Transactions'!$J:$J, '± Transactions'!$B:$B,"&gt;=" &amp; (B$2), '± Transactions'!$B:$B,"&lt;" &amp; DATE(YEAR(B$2),MONTH(B$2)+1,1),'± Transactions'!$H:$H,"=" &amp; $A34)</f>
        <v>0</v>
      </c>
      <c r="C34">
        <f ca="1">SUMIFS('± Transactions'!$J:$J, '± Transactions'!$B:$B,"&gt;=" &amp; (C$2), '± Transactions'!$B:$B,"&lt;" &amp; DATE(YEAR(C$2),MONTH(C$2)+1,1),'± Transactions'!$H:$H,"=" &amp; $A34)</f>
        <v>0</v>
      </c>
      <c r="D34">
        <f ca="1">SUMIFS('± Transactions'!$J:$J, '± Transactions'!$B:$B,"&gt;=" &amp; (D$2), '± Transactions'!$B:$B,"&lt;" &amp; DATE(YEAR(D$2),MONTH(D$2)+1,1),'± Transactions'!$H:$H,"=" &amp; $A34)</f>
        <v>0</v>
      </c>
      <c r="E34">
        <f ca="1">SUMIFS('± Transactions'!$J:$J, '± Transactions'!$B:$B,"&gt;=" &amp; (E$2), '± Transactions'!$B:$B,"&lt;" &amp; DATE(YEAR(E$2),MONTH(E$2)+1,1),'± Transactions'!$H:$H,"=" &amp; $A34)</f>
        <v>0</v>
      </c>
      <c r="F34">
        <f ca="1">SUMIFS('± Transactions'!$J:$J, '± Transactions'!$B:$B,"&gt;=" &amp; (F$2), '± Transactions'!$B:$B,"&lt;" &amp; DATE(YEAR(F$2),MONTH(F$2)+1,1),'± Transactions'!$H:$H,"=" &amp; $A34)</f>
        <v>0</v>
      </c>
      <c r="G34">
        <f ca="1">SUMIFS('± Transactions'!$J:$J, '± Transactions'!$B:$B,"&gt;=" &amp; (G$2), '± Transactions'!$B:$B,"&lt;" &amp; DATE(YEAR(G$2),MONTH(G$2)+1,1),'± Transactions'!$H:$H,"=" &amp; $A34)</f>
        <v>0</v>
      </c>
      <c r="H34">
        <f ca="1">SUMIFS('± Transactions'!$J:$J, '± Transactions'!$B:$B,"&gt;=" &amp; (H$2), '± Transactions'!$B:$B,"&lt;" &amp; DATE(YEAR(H$2),MONTH(H$2)+1,1),'± Transactions'!$H:$H,"=" &amp; $A34)</f>
        <v>0</v>
      </c>
      <c r="I34">
        <f ca="1">SUMIFS('± Transactions'!$J:$J, '± Transactions'!$B:$B,"&gt;=" &amp; (I$2), '± Transactions'!$B:$B,"&lt;" &amp; DATE(YEAR(I$2),MONTH(I$2)+1,1),'± Transactions'!$H:$H,"=" &amp; $A34)</f>
        <v>0</v>
      </c>
      <c r="J34">
        <f ca="1">SUMIFS('± Transactions'!$J:$J, '± Transactions'!$B:$B,"&gt;=" &amp; (J$2), '± Transactions'!$B:$B,"&lt;" &amp; DATE(YEAR(J$2),MONTH(J$2)+1,1),'± Transactions'!$H:$H,"=" &amp; $A34)</f>
        <v>0</v>
      </c>
      <c r="K34">
        <f ca="1">SUMIFS('± Transactions'!$J:$J, '± Transactions'!$B:$B,"&gt;=" &amp; (K$2), '± Transactions'!$B:$B,"&lt;" &amp; DATE(YEAR(K$2),MONTH(K$2)+1,1),'± Transactions'!$H:$H,"=" &amp; $A34)</f>
        <v>0</v>
      </c>
      <c r="L34">
        <f ca="1">SUMIFS('± Transactions'!$J:$J, '± Transactions'!$B:$B,"&gt;=" &amp; (L$2), '± Transactions'!$B:$B,"&lt;" &amp; DATE(YEAR(L$2),MONTH(L$2)+1,1),'± Transactions'!$H:$H,"=" &amp; $A34)</f>
        <v>0</v>
      </c>
      <c r="M34">
        <f ca="1">SUMIFS('± Transactions'!$J:$J, '± Transactions'!$B:$B,"&gt;=" &amp; (M$2), '± Transactions'!$B:$B,"&lt;" &amp; DATE(YEAR(M$2),MONTH(M$2)+1,1),'± Transactions'!$H:$H,"=" &amp; $A34)</f>
        <v>0</v>
      </c>
      <c r="N34">
        <f ca="1">SUMIFS('± Transactions'!$J:$J, '± Transactions'!$B:$B,"&gt;=" &amp; (N$2), '± Transactions'!$B:$B,"&lt;" &amp; DATE(YEAR(N$2),MONTH(N$2)+1,1),'± Transactions'!$H:$H,"=" &amp; $A34)</f>
        <v>0</v>
      </c>
      <c r="O34">
        <f ca="1">SUMIFS('± Transactions'!$J:$J, '± Transactions'!$B:$B,"&gt;=" &amp; (O$2), '± Transactions'!$B:$B,"&lt;" &amp; DATE(YEAR(O$2),MONTH(O$2)+1,1),'± Transactions'!$H:$H,"=" &amp; $A34)</f>
        <v>0</v>
      </c>
      <c r="P34">
        <f ca="1">SUMIFS('± Transactions'!$J:$J, '± Transactions'!$B:$B,"&gt;=" &amp; (P$2), '± Transactions'!$B:$B,"&lt;" &amp; DATE(YEAR(P$2),MONTH(P$2)+1,1),'± Transactions'!$H:$H,"=" &amp; $A34)</f>
        <v>0</v>
      </c>
      <c r="Q34">
        <f ca="1">SUMIFS('± Transactions'!$J:$J, '± Transactions'!$B:$B,"&gt;=" &amp; (Q$2), '± Transactions'!$B:$B,"&lt;" &amp; DATE(YEAR(Q$2),MONTH(Q$2)+1,1),'± Transactions'!$H:$H,"=" &amp; $A34)</f>
        <v>0</v>
      </c>
      <c r="R34">
        <f ca="1">SUMIFS('± Transactions'!$J:$J, '± Transactions'!$B:$B,"&gt;=" &amp; (R$2), '± Transactions'!$B:$B,"&lt;" &amp; DATE(YEAR(R$2),MONTH(R$2)+1,1),'± Transactions'!$H:$H,"=" &amp; $A34)</f>
        <v>0</v>
      </c>
      <c r="S34">
        <f ca="1">SUMIFS('± Transactions'!$J:$J, '± Transactions'!$B:$B,"&gt;=" &amp; (S$2), '± Transactions'!$B:$B,"&lt;" &amp; DATE(YEAR(S$2),MONTH(S$2)+1,1),'± Transactions'!$H:$H,"=" &amp; $A34)</f>
        <v>0</v>
      </c>
      <c r="T34">
        <f ca="1">SUMIFS('± Transactions'!$J:$J, '± Transactions'!$B:$B,"&gt;=" &amp; (T$2), '± Transactions'!$B:$B,"&lt;" &amp; DATE(YEAR(T$2),MONTH(T$2)+1,1),'± Transactions'!$H:$H,"=" &amp; $A34)</f>
        <v>0</v>
      </c>
      <c r="U34">
        <f ca="1">SUMIFS('± Transactions'!$J:$J, '± Transactions'!$B:$B,"&gt;=" &amp; (U$2), '± Transactions'!$B:$B,"&lt;" &amp; DATE(YEAR(U$2),MONTH(U$2)+1,1),'± Transactions'!$H:$H,"=" &amp; $A34)</f>
        <v>0</v>
      </c>
      <c r="V34">
        <f t="shared" ca="1" si="1"/>
        <v>0</v>
      </c>
      <c r="W34">
        <f t="shared" ca="1" si="2"/>
        <v>0</v>
      </c>
      <c r="X34">
        <f t="shared" ca="1" si="3"/>
        <v>0</v>
      </c>
      <c r="Y34">
        <f t="shared" ca="1" si="4"/>
        <v>0</v>
      </c>
      <c r="Z34">
        <f t="shared" ca="1" si="6"/>
        <v>0</v>
      </c>
    </row>
    <row r="35" spans="1:26">
      <c r="A35" t="s">
        <v>32</v>
      </c>
      <c r="B35">
        <f ca="1">SUMIFS('± Transactions'!$J:$J, '± Transactions'!$B:$B,"&gt;=" &amp; (B$2), '± Transactions'!$B:$B,"&lt;" &amp; DATE(YEAR(B$2),MONTH(B$2)+1,1),'± Transactions'!$H:$H,"=" &amp; $A35)</f>
        <v>0</v>
      </c>
      <c r="C35">
        <f ca="1">SUMIFS('± Transactions'!$J:$J, '± Transactions'!$B:$B,"&gt;=" &amp; (C$2), '± Transactions'!$B:$B,"&lt;" &amp; DATE(YEAR(C$2),MONTH(C$2)+1,1),'± Transactions'!$H:$H,"=" &amp; $A35)</f>
        <v>0</v>
      </c>
      <c r="D35">
        <f ca="1">SUMIFS('± Transactions'!$J:$J, '± Transactions'!$B:$B,"&gt;=" &amp; (D$2), '± Transactions'!$B:$B,"&lt;" &amp; DATE(YEAR(D$2),MONTH(D$2)+1,1),'± Transactions'!$H:$H,"=" &amp; $A35)</f>
        <v>0</v>
      </c>
      <c r="E35">
        <f ca="1">SUMIFS('± Transactions'!$J:$J, '± Transactions'!$B:$B,"&gt;=" &amp; (E$2), '± Transactions'!$B:$B,"&lt;" &amp; DATE(YEAR(E$2),MONTH(E$2)+1,1),'± Transactions'!$H:$H,"=" &amp; $A35)</f>
        <v>0</v>
      </c>
      <c r="F35">
        <f ca="1">SUMIFS('± Transactions'!$J:$J, '± Transactions'!$B:$B,"&gt;=" &amp; (F$2), '± Transactions'!$B:$B,"&lt;" &amp; DATE(YEAR(F$2),MONTH(F$2)+1,1),'± Transactions'!$H:$H,"=" &amp; $A35)</f>
        <v>0</v>
      </c>
      <c r="G35">
        <f ca="1">SUMIFS('± Transactions'!$J:$J, '± Transactions'!$B:$B,"&gt;=" &amp; (G$2), '± Transactions'!$B:$B,"&lt;" &amp; DATE(YEAR(G$2),MONTH(G$2)+1,1),'± Transactions'!$H:$H,"=" &amp; $A35)</f>
        <v>0</v>
      </c>
      <c r="H35">
        <f ca="1">SUMIFS('± Transactions'!$J:$J, '± Transactions'!$B:$B,"&gt;=" &amp; (H$2), '± Transactions'!$B:$B,"&lt;" &amp; DATE(YEAR(H$2),MONTH(H$2)+1,1),'± Transactions'!$H:$H,"=" &amp; $A35)</f>
        <v>0</v>
      </c>
      <c r="I35">
        <f ca="1">SUMIFS('± Transactions'!$J:$J, '± Transactions'!$B:$B,"&gt;=" &amp; (I$2), '± Transactions'!$B:$B,"&lt;" &amp; DATE(YEAR(I$2),MONTH(I$2)+1,1),'± Transactions'!$H:$H,"=" &amp; $A35)</f>
        <v>0</v>
      </c>
      <c r="J35">
        <f ca="1">SUMIFS('± Transactions'!$J:$J, '± Transactions'!$B:$B,"&gt;=" &amp; (J$2), '± Transactions'!$B:$B,"&lt;" &amp; DATE(YEAR(J$2),MONTH(J$2)+1,1),'± Transactions'!$H:$H,"=" &amp; $A35)</f>
        <v>0</v>
      </c>
      <c r="K35">
        <f ca="1">SUMIFS('± Transactions'!$J:$J, '± Transactions'!$B:$B,"&gt;=" &amp; (K$2), '± Transactions'!$B:$B,"&lt;" &amp; DATE(YEAR(K$2),MONTH(K$2)+1,1),'± Transactions'!$H:$H,"=" &amp; $A35)</f>
        <v>0</v>
      </c>
      <c r="L35">
        <f ca="1">SUMIFS('± Transactions'!$J:$J, '± Transactions'!$B:$B,"&gt;=" &amp; (L$2), '± Transactions'!$B:$B,"&lt;" &amp; DATE(YEAR(L$2),MONTH(L$2)+1,1),'± Transactions'!$H:$H,"=" &amp; $A35)</f>
        <v>0</v>
      </c>
      <c r="M35">
        <f ca="1">SUMIFS('± Transactions'!$J:$J, '± Transactions'!$B:$B,"&gt;=" &amp; (M$2), '± Transactions'!$B:$B,"&lt;" &amp; DATE(YEAR(M$2),MONTH(M$2)+1,1),'± Transactions'!$H:$H,"=" &amp; $A35)</f>
        <v>0</v>
      </c>
      <c r="N35">
        <f ca="1">SUMIFS('± Transactions'!$J:$J, '± Transactions'!$B:$B,"&gt;=" &amp; (N$2), '± Transactions'!$B:$B,"&lt;" &amp; DATE(YEAR(N$2),MONTH(N$2)+1,1),'± Transactions'!$H:$H,"=" &amp; $A35)</f>
        <v>0</v>
      </c>
      <c r="O35">
        <f ca="1">SUMIFS('± Transactions'!$J:$J, '± Transactions'!$B:$B,"&gt;=" &amp; (O$2), '± Transactions'!$B:$B,"&lt;" &amp; DATE(YEAR(O$2),MONTH(O$2)+1,1),'± Transactions'!$H:$H,"=" &amp; $A35)</f>
        <v>0</v>
      </c>
      <c r="P35">
        <f ca="1">SUMIFS('± Transactions'!$J:$J, '± Transactions'!$B:$B,"&gt;=" &amp; (P$2), '± Transactions'!$B:$B,"&lt;" &amp; DATE(YEAR(P$2),MONTH(P$2)+1,1),'± Transactions'!$H:$H,"=" &amp; $A35)</f>
        <v>0</v>
      </c>
      <c r="Q35">
        <f ca="1">SUMIFS('± Transactions'!$J:$J, '± Transactions'!$B:$B,"&gt;=" &amp; (Q$2), '± Transactions'!$B:$B,"&lt;" &amp; DATE(YEAR(Q$2),MONTH(Q$2)+1,1),'± Transactions'!$H:$H,"=" &amp; $A35)</f>
        <v>0</v>
      </c>
      <c r="R35">
        <f ca="1">SUMIFS('± Transactions'!$J:$J, '± Transactions'!$B:$B,"&gt;=" &amp; (R$2), '± Transactions'!$B:$B,"&lt;" &amp; DATE(YEAR(R$2),MONTH(R$2)+1,1),'± Transactions'!$H:$H,"=" &amp; $A35)</f>
        <v>0</v>
      </c>
      <c r="S35">
        <f ca="1">SUMIFS('± Transactions'!$J:$J, '± Transactions'!$B:$B,"&gt;=" &amp; (S$2), '± Transactions'!$B:$B,"&lt;" &amp; DATE(YEAR(S$2),MONTH(S$2)+1,1),'± Transactions'!$H:$H,"=" &amp; $A35)</f>
        <v>0</v>
      </c>
      <c r="T35">
        <f ca="1">SUMIFS('± Transactions'!$J:$J, '± Transactions'!$B:$B,"&gt;=" &amp; (T$2), '± Transactions'!$B:$B,"&lt;" &amp; DATE(YEAR(T$2),MONTH(T$2)+1,1),'± Transactions'!$H:$H,"=" &amp; $A35)</f>
        <v>0</v>
      </c>
      <c r="U35">
        <f ca="1">SUMIFS('± Transactions'!$J:$J, '± Transactions'!$B:$B,"&gt;=" &amp; (U$2), '± Transactions'!$B:$B,"&lt;" &amp; DATE(YEAR(U$2),MONTH(U$2)+1,1),'± Transactions'!$H:$H,"=" &amp; $A35)</f>
        <v>0</v>
      </c>
      <c r="V35">
        <f t="shared" ca="1" si="1"/>
        <v>0</v>
      </c>
      <c r="W35">
        <f t="shared" ca="1" si="2"/>
        <v>0</v>
      </c>
      <c r="X35">
        <f t="shared" ca="1" si="3"/>
        <v>0</v>
      </c>
      <c r="Y35">
        <f t="shared" ca="1" si="4"/>
        <v>0</v>
      </c>
      <c r="Z35">
        <f t="shared" ca="1" si="6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⦿ Dashboard</vt:lpstr>
      <vt:lpstr>± Transactions</vt:lpstr>
      <vt:lpstr>× Investment</vt:lpstr>
      <vt:lpstr>− Debt</vt:lpstr>
      <vt:lpstr>+ Assets</vt:lpstr>
      <vt:lpstr>∷ Settings</vt:lpstr>
      <vt:lpstr>Accounts | Income</vt:lpstr>
      <vt:lpstr>Categories | Subcategories</vt:lpstr>
      <vt:lpstr>Investment</vt:lpstr>
      <vt:lpstr>Debt</vt:lpstr>
      <vt:lpstr>Data</vt:lpstr>
    </vt:vector>
  </TitlesOfParts>
  <Manager/>
  <Company>gugulet.hu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Personal Finances</dc:title>
  <dc:subject/>
  <dc:creator>Gugulethu Hlekwayo</dc:creator>
  <cp:keywords/>
  <dc:description/>
  <cp:lastModifiedBy>gugulethu</cp:lastModifiedBy>
  <cp:revision>2</cp:revision>
  <dcterms:created xsi:type="dcterms:W3CDTF">2020-03-02T08:27:13Z</dcterms:created>
  <dcterms:modified xsi:type="dcterms:W3CDTF">2020-11-02T01:17:38Z</dcterms:modified>
  <cp:category/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