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Gustavo\Downloads\"/>
    </mc:Choice>
  </mc:AlternateContent>
  <xr:revisionPtr revIDLastSave="0" documentId="13_ncr:1_{2CCA8046-404B-4B07-9C57-6CB82716F084}" xr6:coauthVersionLast="46" xr6:coauthVersionMax="47" xr10:uidLastSave="{00000000-0000-0000-0000-000000000000}"/>
  <bookViews>
    <workbookView xWindow="-108" yWindow="-108" windowWidth="23256" windowHeight="12576" tabRatio="837" firstSheet="6" activeTab="6" xr2:uid="{00000000-000D-0000-FFFF-FFFF00000000}"/>
  </bookViews>
  <sheets>
    <sheet name="GERENCIADOR" sheetId="111" state="hidden" r:id="rId1"/>
    <sheet name="MP" sheetId="129" state="hidden" r:id="rId2"/>
    <sheet name="DRE" sheetId="122" state="hidden" r:id="rId3"/>
    <sheet name="DRE LUCRO REAL INDUSTRIA" sheetId="123" state="hidden" r:id="rId4"/>
    <sheet name="LUCRO PRESUMIDO INDUSTRIA" sheetId="125" state="hidden" r:id="rId5"/>
    <sheet name="LUCRO REAL SERVIÇOS" sheetId="124" state="hidden" r:id="rId6"/>
    <sheet name="FLUXO DE CAIXA" sheetId="104" r:id="rId7"/>
    <sheet name="INDICADORES" sheetId="105" r:id="rId8"/>
    <sheet name="P. BACK" sheetId="106" r:id="rId9"/>
    <sheet name="P. BACK (2)" sheetId="119" state="hidden" r:id="rId10"/>
    <sheet name="Plan2" sheetId="121" state="hidden" r:id="rId11"/>
  </sheets>
  <definedNames>
    <definedName name="_xlnm._FilterDatabase" localSheetId="1" hidden="1">MP!$A$30:$AE$216</definedName>
    <definedName name="juro" localSheetId="9">'P. BACK (2)'!$C$8</definedName>
    <definedName name="juro">'P. BACK'!$C$7</definedName>
    <definedName name="TMA">'P. BACK'!$C$8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06" l="1"/>
  <c r="E17" i="105"/>
  <c r="E19" i="105" s="1"/>
  <c r="E20" i="105" s="1"/>
  <c r="E27" i="105" s="1"/>
  <c r="H18" i="105"/>
  <c r="I18" i="105" s="1"/>
  <c r="J18" i="105" s="1"/>
  <c r="K18" i="105" s="1"/>
  <c r="L18" i="105" s="1"/>
  <c r="M18" i="105" s="1"/>
  <c r="N18" i="105" s="1"/>
  <c r="D5" i="105"/>
  <c r="D7" i="105" s="1"/>
  <c r="D26" i="105" s="1"/>
  <c r="G9" i="104"/>
  <c r="H9" i="104"/>
  <c r="I9" i="104"/>
  <c r="J9" i="104"/>
  <c r="K9" i="104"/>
  <c r="L9" i="104"/>
  <c r="M9" i="104"/>
  <c r="N9" i="104"/>
  <c r="O9" i="104"/>
  <c r="F9" i="104"/>
  <c r="F17" i="105" l="1"/>
  <c r="F19" i="105" s="1"/>
  <c r="F20" i="105" s="1"/>
  <c r="F27" i="105" s="1"/>
  <c r="C8" i="119"/>
  <c r="C7" i="119"/>
  <c r="D12" i="119" s="1"/>
  <c r="D38" i="105"/>
  <c r="D40" i="105" s="1"/>
  <c r="C5" i="119"/>
  <c r="B12" i="119" s="1"/>
  <c r="C12" i="119" s="1"/>
  <c r="O10" i="104"/>
  <c r="N10" i="104"/>
  <c r="M10" i="104"/>
  <c r="L10" i="104"/>
  <c r="L11" i="104" s="1"/>
  <c r="K10" i="104"/>
  <c r="K11" i="104" s="1"/>
  <c r="J10" i="104"/>
  <c r="J11" i="104" s="1"/>
  <c r="I10" i="104"/>
  <c r="I11" i="104" s="1"/>
  <c r="H10" i="104"/>
  <c r="H11" i="104" s="1"/>
  <c r="G10" i="104"/>
  <c r="F10" i="104"/>
  <c r="N24" i="124"/>
  <c r="M24" i="124"/>
  <c r="L24" i="124"/>
  <c r="K24" i="124"/>
  <c r="J24" i="124"/>
  <c r="I24" i="124"/>
  <c r="H24" i="124"/>
  <c r="G24" i="124"/>
  <c r="F24" i="124"/>
  <c r="E24" i="124"/>
  <c r="D24" i="124"/>
  <c r="C24" i="124"/>
  <c r="B24" i="124"/>
  <c r="N23" i="124"/>
  <c r="M23" i="124"/>
  <c r="L23" i="124"/>
  <c r="K23" i="124"/>
  <c r="J23" i="124"/>
  <c r="I23" i="124"/>
  <c r="H23" i="124"/>
  <c r="G23" i="124"/>
  <c r="F23" i="124"/>
  <c r="E23" i="124"/>
  <c r="D23" i="124"/>
  <c r="C23" i="124"/>
  <c r="B23" i="124"/>
  <c r="M22" i="124"/>
  <c r="L22" i="124"/>
  <c r="K22" i="124"/>
  <c r="J22" i="124"/>
  <c r="I22" i="124"/>
  <c r="H22" i="124"/>
  <c r="G22" i="124"/>
  <c r="F22" i="124"/>
  <c r="E22" i="124"/>
  <c r="D22" i="124"/>
  <c r="C22" i="124"/>
  <c r="B22" i="124"/>
  <c r="N21" i="124"/>
  <c r="M21" i="124"/>
  <c r="L21" i="124"/>
  <c r="K21" i="124"/>
  <c r="J21" i="124"/>
  <c r="I21" i="124"/>
  <c r="H21" i="124"/>
  <c r="G21" i="124"/>
  <c r="F21" i="124"/>
  <c r="E21" i="124"/>
  <c r="D21" i="124"/>
  <c r="C21" i="124"/>
  <c r="B21" i="124"/>
  <c r="N20" i="124"/>
  <c r="M20" i="124"/>
  <c r="L20" i="124"/>
  <c r="K20" i="124"/>
  <c r="J20" i="124"/>
  <c r="I20" i="124"/>
  <c r="H20" i="124"/>
  <c r="G20" i="124"/>
  <c r="F20" i="124"/>
  <c r="E20" i="124"/>
  <c r="D20" i="124"/>
  <c r="C20" i="124"/>
  <c r="B20" i="124"/>
  <c r="N19" i="124"/>
  <c r="N18" i="124"/>
  <c r="M18" i="124"/>
  <c r="L18" i="124"/>
  <c r="K18" i="124"/>
  <c r="J18" i="124"/>
  <c r="I18" i="124"/>
  <c r="H18" i="124"/>
  <c r="G18" i="124"/>
  <c r="F18" i="124"/>
  <c r="E18" i="124"/>
  <c r="D18" i="124"/>
  <c r="C18" i="124"/>
  <c r="B18" i="124"/>
  <c r="N17" i="124"/>
  <c r="N16" i="124"/>
  <c r="N15" i="124"/>
  <c r="M15" i="124"/>
  <c r="L15" i="124"/>
  <c r="K15" i="124"/>
  <c r="J15" i="124"/>
  <c r="I15" i="124"/>
  <c r="H15" i="124"/>
  <c r="G15" i="124"/>
  <c r="F15" i="124"/>
  <c r="E15" i="124"/>
  <c r="D15" i="124"/>
  <c r="C15" i="124"/>
  <c r="B15" i="124"/>
  <c r="N14" i="124"/>
  <c r="N13" i="124"/>
  <c r="M13" i="124"/>
  <c r="L13" i="124"/>
  <c r="K13" i="124"/>
  <c r="J13" i="124"/>
  <c r="I13" i="124"/>
  <c r="H13" i="124"/>
  <c r="G13" i="124"/>
  <c r="F13" i="124"/>
  <c r="E13" i="124"/>
  <c r="D13" i="124"/>
  <c r="C13" i="124"/>
  <c r="B13" i="124"/>
  <c r="N12" i="124"/>
  <c r="N11" i="124"/>
  <c r="M11" i="124"/>
  <c r="L11" i="124"/>
  <c r="K11" i="124"/>
  <c r="J11" i="124"/>
  <c r="I11" i="124"/>
  <c r="H11" i="124"/>
  <c r="G11" i="124"/>
  <c r="F11" i="124"/>
  <c r="E11" i="124"/>
  <c r="D11" i="124"/>
  <c r="C11" i="124"/>
  <c r="B11" i="124"/>
  <c r="N10" i="124"/>
  <c r="M10" i="124"/>
  <c r="L10" i="124"/>
  <c r="K10" i="124"/>
  <c r="J10" i="124"/>
  <c r="I10" i="124"/>
  <c r="H10" i="124"/>
  <c r="G10" i="124"/>
  <c r="F10" i="124"/>
  <c r="E10" i="124"/>
  <c r="D10" i="124"/>
  <c r="C10" i="124"/>
  <c r="B10" i="124"/>
  <c r="N9" i="124"/>
  <c r="M9" i="124"/>
  <c r="L9" i="124"/>
  <c r="K9" i="124"/>
  <c r="J9" i="124"/>
  <c r="I9" i="124"/>
  <c r="H9" i="124"/>
  <c r="G9" i="124"/>
  <c r="F9" i="124"/>
  <c r="E9" i="124"/>
  <c r="D9" i="124"/>
  <c r="C9" i="124"/>
  <c r="B9" i="124"/>
  <c r="N8" i="124"/>
  <c r="M8" i="124"/>
  <c r="L8" i="124"/>
  <c r="K8" i="124"/>
  <c r="J8" i="124"/>
  <c r="I8" i="124"/>
  <c r="H8" i="124"/>
  <c r="G8" i="124"/>
  <c r="F8" i="124"/>
  <c r="E8" i="124"/>
  <c r="D8" i="124"/>
  <c r="C8" i="124"/>
  <c r="B8" i="124"/>
  <c r="N7" i="124"/>
  <c r="M7" i="124"/>
  <c r="L7" i="124"/>
  <c r="K7" i="124"/>
  <c r="J7" i="124"/>
  <c r="I7" i="124"/>
  <c r="H7" i="124"/>
  <c r="G7" i="124"/>
  <c r="F7" i="124"/>
  <c r="E7" i="124"/>
  <c r="D7" i="124"/>
  <c r="C7" i="124"/>
  <c r="B7" i="124"/>
  <c r="N25" i="125"/>
  <c r="N23" i="125"/>
  <c r="N22" i="125"/>
  <c r="N20" i="125"/>
  <c r="N18" i="125"/>
  <c r="M6" i="125"/>
  <c r="M7" i="125" s="1"/>
  <c r="M8" i="125" s="1"/>
  <c r="L6" i="125"/>
  <c r="L7" i="125" s="1"/>
  <c r="K6" i="125"/>
  <c r="K7" i="125" s="1"/>
  <c r="J6" i="125"/>
  <c r="I6" i="125"/>
  <c r="H6" i="125"/>
  <c r="G6" i="125"/>
  <c r="G7" i="125" s="1"/>
  <c r="F6" i="125"/>
  <c r="F7" i="125" s="1"/>
  <c r="F8" i="125" s="1"/>
  <c r="E6" i="125"/>
  <c r="E7" i="125" s="1"/>
  <c r="E8" i="125" s="1"/>
  <c r="D6" i="125"/>
  <c r="D7" i="125" s="1"/>
  <c r="C6" i="125"/>
  <c r="C7" i="125" s="1"/>
  <c r="B6" i="125"/>
  <c r="M21" i="123"/>
  <c r="L21" i="123"/>
  <c r="K21" i="123"/>
  <c r="J21" i="123"/>
  <c r="I21" i="123"/>
  <c r="H21" i="123"/>
  <c r="G21" i="123"/>
  <c r="F21" i="123"/>
  <c r="E21" i="123"/>
  <c r="D21" i="123"/>
  <c r="C21" i="123"/>
  <c r="B21" i="123"/>
  <c r="N21" i="123" s="1"/>
  <c r="M19" i="123"/>
  <c r="L19" i="123"/>
  <c r="K19" i="123"/>
  <c r="J19" i="123"/>
  <c r="I19" i="123"/>
  <c r="H19" i="123"/>
  <c r="G19" i="123"/>
  <c r="F19" i="123"/>
  <c r="E19" i="123"/>
  <c r="D19" i="123"/>
  <c r="C19" i="123"/>
  <c r="B19" i="123"/>
  <c r="N19" i="123" s="1"/>
  <c r="M18" i="123"/>
  <c r="L18" i="123"/>
  <c r="K18" i="123"/>
  <c r="J18" i="123"/>
  <c r="I18" i="123"/>
  <c r="H18" i="123"/>
  <c r="G18" i="123"/>
  <c r="F18" i="123"/>
  <c r="E18" i="123"/>
  <c r="D18" i="123"/>
  <c r="C18" i="123"/>
  <c r="B18" i="123"/>
  <c r="N18" i="123" s="1"/>
  <c r="M16" i="123"/>
  <c r="L16" i="123"/>
  <c r="K16" i="123"/>
  <c r="J16" i="123"/>
  <c r="I16" i="123"/>
  <c r="H16" i="123"/>
  <c r="G16" i="123"/>
  <c r="F16" i="123"/>
  <c r="E16" i="123"/>
  <c r="D16" i="123"/>
  <c r="C16" i="123"/>
  <c r="B16" i="123"/>
  <c r="N16" i="123" s="1"/>
  <c r="M14" i="123"/>
  <c r="L14" i="123"/>
  <c r="K14" i="123"/>
  <c r="J14" i="123"/>
  <c r="I14" i="123"/>
  <c r="H14" i="123"/>
  <c r="G14" i="123"/>
  <c r="F14" i="123"/>
  <c r="E14" i="123"/>
  <c r="D14" i="123"/>
  <c r="C14" i="123"/>
  <c r="B14" i="123"/>
  <c r="M7" i="123"/>
  <c r="M9" i="123" s="1"/>
  <c r="L7" i="123"/>
  <c r="K7" i="123"/>
  <c r="K9" i="123" s="1"/>
  <c r="J7" i="123"/>
  <c r="J9" i="123" s="1"/>
  <c r="I7" i="123"/>
  <c r="I9" i="123" s="1"/>
  <c r="I11" i="123" s="1"/>
  <c r="I10" i="123" s="1"/>
  <c r="H7" i="123"/>
  <c r="G7" i="123"/>
  <c r="F7" i="123"/>
  <c r="E7" i="123"/>
  <c r="E9" i="123" s="1"/>
  <c r="D7" i="123"/>
  <c r="C7" i="123"/>
  <c r="C9" i="123" s="1"/>
  <c r="B7" i="123"/>
  <c r="B9" i="123" s="1"/>
  <c r="K219" i="129"/>
  <c r="N216" i="129"/>
  <c r="L216" i="129"/>
  <c r="K216" i="129"/>
  <c r="AK215" i="129"/>
  <c r="AJ215" i="129"/>
  <c r="AI215" i="129"/>
  <c r="AH215" i="129"/>
  <c r="AG215" i="129"/>
  <c r="AC215" i="129"/>
  <c r="AB215" i="129"/>
  <c r="AA215" i="129"/>
  <c r="Z215" i="129"/>
  <c r="Y215" i="129"/>
  <c r="X215" i="129"/>
  <c r="W215" i="129"/>
  <c r="V215" i="129"/>
  <c r="U215" i="129"/>
  <c r="T215" i="129"/>
  <c r="S215" i="129"/>
  <c r="R215" i="129"/>
  <c r="Q215" i="129"/>
  <c r="P215" i="129"/>
  <c r="O215" i="129"/>
  <c r="K215" i="129"/>
  <c r="AK214" i="129"/>
  <c r="AJ214" i="129"/>
  <c r="AI214" i="129"/>
  <c r="AH214" i="129"/>
  <c r="AG214" i="129"/>
  <c r="AC214" i="129"/>
  <c r="AB214" i="129"/>
  <c r="AA214" i="129"/>
  <c r="Z214" i="129"/>
  <c r="Y214" i="129"/>
  <c r="X214" i="129"/>
  <c r="W214" i="129"/>
  <c r="V214" i="129"/>
  <c r="U214" i="129"/>
  <c r="T214" i="129"/>
  <c r="S214" i="129"/>
  <c r="R214" i="129"/>
  <c r="Q214" i="129"/>
  <c r="P214" i="129"/>
  <c r="O214" i="129"/>
  <c r="K214" i="129"/>
  <c r="AK213" i="129"/>
  <c r="AJ213" i="129"/>
  <c r="AI213" i="129"/>
  <c r="AH213" i="129"/>
  <c r="AG213" i="129"/>
  <c r="AC213" i="129"/>
  <c r="AB213" i="129"/>
  <c r="AA213" i="129"/>
  <c r="Z213" i="129"/>
  <c r="Y213" i="129"/>
  <c r="X213" i="129"/>
  <c r="W213" i="129"/>
  <c r="V213" i="129"/>
  <c r="U213" i="129"/>
  <c r="T213" i="129"/>
  <c r="S213" i="129"/>
  <c r="R213" i="129"/>
  <c r="Q213" i="129"/>
  <c r="P213" i="129"/>
  <c r="O213" i="129"/>
  <c r="K213" i="129"/>
  <c r="AK212" i="129"/>
  <c r="AJ212" i="129"/>
  <c r="AI212" i="129"/>
  <c r="AH212" i="129"/>
  <c r="AG212" i="129"/>
  <c r="AC212" i="129"/>
  <c r="AB212" i="129"/>
  <c r="AA212" i="129"/>
  <c r="Z212" i="129"/>
  <c r="Y212" i="129"/>
  <c r="X212" i="129"/>
  <c r="W212" i="129"/>
  <c r="V212" i="129"/>
  <c r="U212" i="129"/>
  <c r="T212" i="129"/>
  <c r="S212" i="129"/>
  <c r="R212" i="129"/>
  <c r="Q212" i="129"/>
  <c r="P212" i="129"/>
  <c r="O212" i="129"/>
  <c r="K212" i="129"/>
  <c r="AK211" i="129"/>
  <c r="AJ211" i="129"/>
  <c r="AI211" i="129"/>
  <c r="AH211" i="129"/>
  <c r="AG211" i="129"/>
  <c r="AC211" i="129"/>
  <c r="AB211" i="129"/>
  <c r="AA211" i="129"/>
  <c r="Z211" i="129"/>
  <c r="Y211" i="129"/>
  <c r="X211" i="129"/>
  <c r="W211" i="129"/>
  <c r="V211" i="129"/>
  <c r="U211" i="129"/>
  <c r="T211" i="129"/>
  <c r="S211" i="129"/>
  <c r="R211" i="129"/>
  <c r="Q211" i="129"/>
  <c r="P211" i="129"/>
  <c r="O211" i="129"/>
  <c r="K211" i="129"/>
  <c r="AK210" i="129"/>
  <c r="AA210" i="129"/>
  <c r="Z210" i="129"/>
  <c r="Y210" i="129"/>
  <c r="X210" i="129"/>
  <c r="W210" i="129"/>
  <c r="V210" i="129"/>
  <c r="U210" i="129"/>
  <c r="T210" i="129"/>
  <c r="S210" i="129"/>
  <c r="R210" i="129"/>
  <c r="Q210" i="129"/>
  <c r="P210" i="129"/>
  <c r="O210" i="129"/>
  <c r="AK209" i="129"/>
  <c r="N209" i="129"/>
  <c r="L209" i="129"/>
  <c r="K209" i="129"/>
  <c r="AK208" i="129"/>
  <c r="AJ208" i="129"/>
  <c r="AI208" i="129"/>
  <c r="AH208" i="129"/>
  <c r="AG208" i="129"/>
  <c r="AC208" i="129"/>
  <c r="AB208" i="129"/>
  <c r="AA208" i="129"/>
  <c r="Z208" i="129"/>
  <c r="Y208" i="129"/>
  <c r="X208" i="129"/>
  <c r="W208" i="129"/>
  <c r="V208" i="129"/>
  <c r="U208" i="129"/>
  <c r="T208" i="129"/>
  <c r="S208" i="129"/>
  <c r="R208" i="129"/>
  <c r="Q208" i="129"/>
  <c r="P208" i="129"/>
  <c r="O208" i="129"/>
  <c r="K208" i="129"/>
  <c r="AK207" i="129"/>
  <c r="AJ207" i="129"/>
  <c r="AI207" i="129"/>
  <c r="AH207" i="129"/>
  <c r="AG207" i="129"/>
  <c r="AC207" i="129"/>
  <c r="AB207" i="129"/>
  <c r="AA207" i="129"/>
  <c r="Z207" i="129"/>
  <c r="Y207" i="129"/>
  <c r="X207" i="129"/>
  <c r="W207" i="129"/>
  <c r="V207" i="129"/>
  <c r="U207" i="129"/>
  <c r="T207" i="129"/>
  <c r="S207" i="129"/>
  <c r="R207" i="129"/>
  <c r="Q207" i="129"/>
  <c r="P207" i="129"/>
  <c r="O207" i="129"/>
  <c r="K207" i="129"/>
  <c r="AK206" i="129"/>
  <c r="K206" i="129"/>
  <c r="AK205" i="129"/>
  <c r="K205" i="129"/>
  <c r="AK204" i="129"/>
  <c r="K204" i="129"/>
  <c r="AK203" i="129"/>
  <c r="K203" i="129"/>
  <c r="AK202" i="129"/>
  <c r="AJ202" i="129"/>
  <c r="AI202" i="129"/>
  <c r="AH202" i="129"/>
  <c r="AG202" i="129"/>
  <c r="AC202" i="129"/>
  <c r="AB202" i="129"/>
  <c r="AA202" i="129"/>
  <c r="Z202" i="129"/>
  <c r="Y202" i="129"/>
  <c r="X202" i="129"/>
  <c r="W202" i="129"/>
  <c r="V202" i="129"/>
  <c r="U202" i="129"/>
  <c r="T202" i="129"/>
  <c r="S202" i="129"/>
  <c r="R202" i="129"/>
  <c r="Q202" i="129"/>
  <c r="P202" i="129"/>
  <c r="O202" i="129"/>
  <c r="K202" i="129"/>
  <c r="AK201" i="129"/>
  <c r="AA201" i="129"/>
  <c r="Z201" i="129"/>
  <c r="Y201" i="129"/>
  <c r="X201" i="129"/>
  <c r="W201" i="129"/>
  <c r="V201" i="129"/>
  <c r="U201" i="129"/>
  <c r="T201" i="129"/>
  <c r="S201" i="129"/>
  <c r="R201" i="129"/>
  <c r="Q201" i="129"/>
  <c r="P201" i="129"/>
  <c r="O201" i="129"/>
  <c r="AK200" i="129"/>
  <c r="N200" i="129"/>
  <c r="L200" i="129"/>
  <c r="K200" i="129"/>
  <c r="AK199" i="129"/>
  <c r="K199" i="129"/>
  <c r="AK198" i="129"/>
  <c r="K198" i="129"/>
  <c r="AK197" i="129"/>
  <c r="K197" i="129"/>
  <c r="AK196" i="129"/>
  <c r="K196" i="129"/>
  <c r="AK195" i="129"/>
  <c r="K195" i="129"/>
  <c r="AK194" i="129"/>
  <c r="K194" i="129"/>
  <c r="AK193" i="129"/>
  <c r="AA193" i="129"/>
  <c r="Z193" i="129"/>
  <c r="Y193" i="129"/>
  <c r="X193" i="129"/>
  <c r="W193" i="129"/>
  <c r="V193" i="129"/>
  <c r="U193" i="129"/>
  <c r="T193" i="129"/>
  <c r="S193" i="129"/>
  <c r="R193" i="129"/>
  <c r="Q193" i="129"/>
  <c r="P193" i="129"/>
  <c r="O193" i="129"/>
  <c r="AK192" i="129"/>
  <c r="N192" i="129"/>
  <c r="L192" i="129"/>
  <c r="K192" i="129"/>
  <c r="AK191" i="129"/>
  <c r="K191" i="129"/>
  <c r="AK190" i="129"/>
  <c r="K190" i="129"/>
  <c r="AK189" i="129"/>
  <c r="K189" i="129"/>
  <c r="AK188" i="129"/>
  <c r="K188" i="129"/>
  <c r="AK187" i="129"/>
  <c r="K187" i="129"/>
  <c r="AK186" i="129"/>
  <c r="K186" i="129"/>
  <c r="AK185" i="129"/>
  <c r="K185" i="129"/>
  <c r="AK184" i="129"/>
  <c r="K184" i="129"/>
  <c r="AK183" i="129"/>
  <c r="K183" i="129"/>
  <c r="AK182" i="129"/>
  <c r="K182" i="129"/>
  <c r="AK181" i="129"/>
  <c r="K181" i="129"/>
  <c r="AK180" i="129"/>
  <c r="K180" i="129"/>
  <c r="AK179" i="129"/>
  <c r="K179" i="129"/>
  <c r="AK178" i="129"/>
  <c r="K178" i="129"/>
  <c r="AK177" i="129"/>
  <c r="K177" i="129"/>
  <c r="AK176" i="129"/>
  <c r="AJ176" i="129"/>
  <c r="AI176" i="129"/>
  <c r="AH176" i="129"/>
  <c r="AG176" i="129"/>
  <c r="AC176" i="129"/>
  <c r="AB176" i="129"/>
  <c r="AA176" i="129"/>
  <c r="Z176" i="129"/>
  <c r="Y176" i="129"/>
  <c r="X176" i="129"/>
  <c r="W176" i="129"/>
  <c r="V176" i="129"/>
  <c r="U176" i="129"/>
  <c r="T176" i="129"/>
  <c r="S176" i="129"/>
  <c r="R176" i="129"/>
  <c r="Q176" i="129"/>
  <c r="P176" i="129"/>
  <c r="O176" i="129"/>
  <c r="K176" i="129"/>
  <c r="AK175" i="129"/>
  <c r="AA175" i="129"/>
  <c r="Z175" i="129"/>
  <c r="Y175" i="129"/>
  <c r="X175" i="129"/>
  <c r="W175" i="129"/>
  <c r="V175" i="129"/>
  <c r="U175" i="129"/>
  <c r="T175" i="129"/>
  <c r="S175" i="129"/>
  <c r="R175" i="129"/>
  <c r="Q175" i="129"/>
  <c r="P175" i="129"/>
  <c r="O175" i="129"/>
  <c r="AK174" i="129"/>
  <c r="N174" i="129"/>
  <c r="L174" i="129"/>
  <c r="K174" i="129"/>
  <c r="AK173" i="129"/>
  <c r="K173" i="129"/>
  <c r="AK172" i="129"/>
  <c r="K172" i="129"/>
  <c r="AK171" i="129"/>
  <c r="K171" i="129"/>
  <c r="AK170" i="129"/>
  <c r="K170" i="129"/>
  <c r="AK169" i="129"/>
  <c r="K169" i="129"/>
  <c r="AK168" i="129"/>
  <c r="K168" i="129"/>
  <c r="AK167" i="129"/>
  <c r="K167" i="129"/>
  <c r="AK166" i="129"/>
  <c r="K166" i="129"/>
  <c r="AK165" i="129"/>
  <c r="K165" i="129"/>
  <c r="AK164" i="129"/>
  <c r="K164" i="129"/>
  <c r="AK163" i="129"/>
  <c r="K163" i="129"/>
  <c r="AK162" i="129"/>
  <c r="K162" i="129"/>
  <c r="AK161" i="129"/>
  <c r="AJ161" i="129"/>
  <c r="AI161" i="129"/>
  <c r="AH161" i="129"/>
  <c r="AG161" i="129"/>
  <c r="AC161" i="129"/>
  <c r="AB161" i="129"/>
  <c r="AA161" i="129"/>
  <c r="Z161" i="129"/>
  <c r="Y161" i="129"/>
  <c r="X161" i="129"/>
  <c r="W161" i="129"/>
  <c r="V161" i="129"/>
  <c r="U161" i="129"/>
  <c r="T161" i="129"/>
  <c r="S161" i="129"/>
  <c r="R161" i="129"/>
  <c r="Q161" i="129"/>
  <c r="P161" i="129"/>
  <c r="O161" i="129"/>
  <c r="K161" i="129"/>
  <c r="AK160" i="129"/>
  <c r="AA160" i="129"/>
  <c r="Z160" i="129"/>
  <c r="Y160" i="129"/>
  <c r="X160" i="129"/>
  <c r="W160" i="129"/>
  <c r="V160" i="129"/>
  <c r="U160" i="129"/>
  <c r="T160" i="129"/>
  <c r="S160" i="129"/>
  <c r="R160" i="129"/>
  <c r="Q160" i="129"/>
  <c r="P160" i="129"/>
  <c r="O160" i="129"/>
  <c r="AK159" i="129"/>
  <c r="N159" i="129"/>
  <c r="L159" i="129"/>
  <c r="K159" i="129"/>
  <c r="AK158" i="129"/>
  <c r="AJ158" i="129"/>
  <c r="AI158" i="129"/>
  <c r="AH158" i="129"/>
  <c r="AG158" i="129"/>
  <c r="AC158" i="129"/>
  <c r="AB158" i="129"/>
  <c r="AA158" i="129"/>
  <c r="Z158" i="129"/>
  <c r="Y158" i="129"/>
  <c r="X158" i="129"/>
  <c r="W158" i="129"/>
  <c r="V158" i="129"/>
  <c r="U158" i="129"/>
  <c r="T158" i="129"/>
  <c r="S158" i="129"/>
  <c r="R158" i="129"/>
  <c r="Q158" i="129"/>
  <c r="P158" i="129"/>
  <c r="O158" i="129"/>
  <c r="K158" i="129"/>
  <c r="AK157" i="129"/>
  <c r="AJ157" i="129"/>
  <c r="AI157" i="129"/>
  <c r="AH157" i="129"/>
  <c r="AG157" i="129"/>
  <c r="AC157" i="129"/>
  <c r="AB157" i="129"/>
  <c r="AA157" i="129"/>
  <c r="Z157" i="129"/>
  <c r="Y157" i="129"/>
  <c r="X157" i="129"/>
  <c r="W157" i="129"/>
  <c r="V157" i="129"/>
  <c r="U157" i="129"/>
  <c r="T157" i="129"/>
  <c r="S157" i="129"/>
  <c r="R157" i="129"/>
  <c r="Q157" i="129"/>
  <c r="P157" i="129"/>
  <c r="O157" i="129"/>
  <c r="K157" i="129"/>
  <c r="AK156" i="129"/>
  <c r="AJ156" i="129"/>
  <c r="AI156" i="129"/>
  <c r="AH156" i="129"/>
  <c r="AG156" i="129"/>
  <c r="AC156" i="129"/>
  <c r="AB156" i="129"/>
  <c r="AA156" i="129"/>
  <c r="Z156" i="129"/>
  <c r="Y156" i="129"/>
  <c r="X156" i="129"/>
  <c r="W156" i="129"/>
  <c r="V156" i="129"/>
  <c r="U156" i="129"/>
  <c r="T156" i="129"/>
  <c r="S156" i="129"/>
  <c r="R156" i="129"/>
  <c r="Q156" i="129"/>
  <c r="P156" i="129"/>
  <c r="O156" i="129"/>
  <c r="K156" i="129"/>
  <c r="AK155" i="129"/>
  <c r="K155" i="129"/>
  <c r="AK154" i="129"/>
  <c r="K154" i="129"/>
  <c r="AK153" i="129"/>
  <c r="K153" i="129"/>
  <c r="AK152" i="129"/>
  <c r="K152" i="129"/>
  <c r="AK151" i="129"/>
  <c r="K151" i="129"/>
  <c r="AK150" i="129"/>
  <c r="K150" i="129"/>
  <c r="AK149" i="129"/>
  <c r="AJ149" i="129"/>
  <c r="AI149" i="129"/>
  <c r="AH149" i="129"/>
  <c r="AG149" i="129"/>
  <c r="AC149" i="129"/>
  <c r="AB149" i="129"/>
  <c r="AA149" i="129"/>
  <c r="Z149" i="129"/>
  <c r="Y149" i="129"/>
  <c r="X149" i="129"/>
  <c r="W149" i="129"/>
  <c r="V149" i="129"/>
  <c r="U149" i="129"/>
  <c r="T149" i="129"/>
  <c r="S149" i="129"/>
  <c r="R149" i="129"/>
  <c r="Q149" i="129"/>
  <c r="P149" i="129"/>
  <c r="O149" i="129"/>
  <c r="K149" i="129"/>
  <c r="AK148" i="129"/>
  <c r="AA148" i="129"/>
  <c r="Z148" i="129"/>
  <c r="Y148" i="129"/>
  <c r="X148" i="129"/>
  <c r="W148" i="129"/>
  <c r="V148" i="129"/>
  <c r="U148" i="129"/>
  <c r="T148" i="129"/>
  <c r="S148" i="129"/>
  <c r="R148" i="129"/>
  <c r="Q148" i="129"/>
  <c r="P148" i="129"/>
  <c r="O148" i="129"/>
  <c r="AK147" i="129"/>
  <c r="N147" i="129"/>
  <c r="L147" i="129"/>
  <c r="K147" i="129"/>
  <c r="AK146" i="129"/>
  <c r="AJ146" i="129"/>
  <c r="AI146" i="129"/>
  <c r="AH146" i="129"/>
  <c r="AG146" i="129"/>
  <c r="AC146" i="129"/>
  <c r="AB146" i="129"/>
  <c r="AA146" i="129"/>
  <c r="Z146" i="129"/>
  <c r="Y146" i="129"/>
  <c r="X146" i="129"/>
  <c r="W146" i="129"/>
  <c r="V146" i="129"/>
  <c r="U146" i="129"/>
  <c r="T146" i="129"/>
  <c r="S146" i="129"/>
  <c r="R146" i="129"/>
  <c r="Q146" i="129"/>
  <c r="P146" i="129"/>
  <c r="O146" i="129"/>
  <c r="K146" i="129"/>
  <c r="AK145" i="129"/>
  <c r="K145" i="129"/>
  <c r="AK144" i="129"/>
  <c r="AJ144" i="129"/>
  <c r="AI144" i="129"/>
  <c r="AH144" i="129"/>
  <c r="AG144" i="129"/>
  <c r="AC144" i="129"/>
  <c r="AB144" i="129"/>
  <c r="AA144" i="129"/>
  <c r="Z144" i="129"/>
  <c r="Y144" i="129"/>
  <c r="X144" i="129"/>
  <c r="W144" i="129"/>
  <c r="V144" i="129"/>
  <c r="U144" i="129"/>
  <c r="T144" i="129"/>
  <c r="S144" i="129"/>
  <c r="R144" i="129"/>
  <c r="Q144" i="129"/>
  <c r="P144" i="129"/>
  <c r="O144" i="129"/>
  <c r="K144" i="129"/>
  <c r="AK143" i="129"/>
  <c r="K143" i="129"/>
  <c r="AK142" i="129"/>
  <c r="K142" i="129"/>
  <c r="AK141" i="129"/>
  <c r="K141" i="129"/>
  <c r="AK140" i="129"/>
  <c r="K140" i="129"/>
  <c r="AK139" i="129"/>
  <c r="K139" i="129"/>
  <c r="AK138" i="129"/>
  <c r="K138" i="129"/>
  <c r="AK137" i="129"/>
  <c r="K137" i="129"/>
  <c r="AK136" i="129"/>
  <c r="K136" i="129"/>
  <c r="AK135" i="129"/>
  <c r="K135" i="129"/>
  <c r="AK134" i="129"/>
  <c r="K134" i="129"/>
  <c r="AK133" i="129"/>
  <c r="AJ133" i="129"/>
  <c r="AI133" i="129"/>
  <c r="AH133" i="129"/>
  <c r="AG133" i="129"/>
  <c r="AC133" i="129"/>
  <c r="AB133" i="129"/>
  <c r="AA133" i="129"/>
  <c r="Z133" i="129"/>
  <c r="Y133" i="129"/>
  <c r="X133" i="129"/>
  <c r="W133" i="129"/>
  <c r="V133" i="129"/>
  <c r="U133" i="129"/>
  <c r="T133" i="129"/>
  <c r="S133" i="129"/>
  <c r="R133" i="129"/>
  <c r="Q133" i="129"/>
  <c r="P133" i="129"/>
  <c r="O133" i="129"/>
  <c r="K133" i="129"/>
  <c r="AK132" i="129"/>
  <c r="AA132" i="129"/>
  <c r="Z132" i="129"/>
  <c r="Y132" i="129"/>
  <c r="X132" i="129"/>
  <c r="W132" i="129"/>
  <c r="V132" i="129"/>
  <c r="U132" i="129"/>
  <c r="T132" i="129"/>
  <c r="S132" i="129"/>
  <c r="R132" i="129"/>
  <c r="Q132" i="129"/>
  <c r="P132" i="129"/>
  <c r="O132" i="129"/>
  <c r="AK131" i="129"/>
  <c r="N131" i="129"/>
  <c r="L131" i="129"/>
  <c r="K131" i="129"/>
  <c r="AK130" i="129"/>
  <c r="K130" i="129"/>
  <c r="AK129" i="129"/>
  <c r="K129" i="129"/>
  <c r="AK128" i="129"/>
  <c r="K128" i="129"/>
  <c r="AK127" i="129"/>
  <c r="K127" i="129"/>
  <c r="AK126" i="129"/>
  <c r="K126" i="129"/>
  <c r="AK125" i="129"/>
  <c r="K125" i="129"/>
  <c r="AK124" i="129"/>
  <c r="K124" i="129"/>
  <c r="AK123" i="129"/>
  <c r="K123" i="129"/>
  <c r="AK122" i="129"/>
  <c r="AJ122" i="129"/>
  <c r="AI122" i="129"/>
  <c r="AH122" i="129"/>
  <c r="AG122" i="129"/>
  <c r="AC122" i="129"/>
  <c r="AB122" i="129"/>
  <c r="AA122" i="129"/>
  <c r="Z122" i="129"/>
  <c r="Y122" i="129"/>
  <c r="X122" i="129"/>
  <c r="W122" i="129"/>
  <c r="V122" i="129"/>
  <c r="U122" i="129"/>
  <c r="T122" i="129"/>
  <c r="S122" i="129"/>
  <c r="R122" i="129"/>
  <c r="Q122" i="129"/>
  <c r="P122" i="129"/>
  <c r="O122" i="129"/>
  <c r="K122" i="129"/>
  <c r="AK121" i="129"/>
  <c r="AI121" i="129"/>
  <c r="AA121" i="129"/>
  <c r="Z121" i="129"/>
  <c r="Y121" i="129"/>
  <c r="X121" i="129"/>
  <c r="W121" i="129"/>
  <c r="V121" i="129"/>
  <c r="U121" i="129"/>
  <c r="T121" i="129"/>
  <c r="S121" i="129"/>
  <c r="R121" i="129"/>
  <c r="Q121" i="129"/>
  <c r="P121" i="129"/>
  <c r="O121" i="129"/>
  <c r="AK120" i="129"/>
  <c r="N120" i="129"/>
  <c r="L120" i="129"/>
  <c r="K120" i="129"/>
  <c r="AK119" i="129"/>
  <c r="K119" i="129"/>
  <c r="AK118" i="129"/>
  <c r="K118" i="129"/>
  <c r="AK117" i="129"/>
  <c r="K117" i="129"/>
  <c r="AK116" i="129"/>
  <c r="K116" i="129"/>
  <c r="AK115" i="129"/>
  <c r="K115" i="129"/>
  <c r="AK114" i="129"/>
  <c r="K114" i="129"/>
  <c r="AK113" i="129"/>
  <c r="K113" i="129"/>
  <c r="AK112" i="129"/>
  <c r="K112" i="129"/>
  <c r="AK111" i="129"/>
  <c r="K111" i="129"/>
  <c r="AK110" i="129"/>
  <c r="AJ110" i="129"/>
  <c r="AI110" i="129"/>
  <c r="AH110" i="129"/>
  <c r="AG110" i="129"/>
  <c r="AC110" i="129"/>
  <c r="AB110" i="129"/>
  <c r="AA110" i="129"/>
  <c r="Z110" i="129"/>
  <c r="Y110" i="129"/>
  <c r="X110" i="129"/>
  <c r="W110" i="129"/>
  <c r="V110" i="129"/>
  <c r="U110" i="129"/>
  <c r="T110" i="129"/>
  <c r="S110" i="129"/>
  <c r="R110" i="129"/>
  <c r="Q110" i="129"/>
  <c r="P110" i="129"/>
  <c r="O110" i="129"/>
  <c r="K110" i="129"/>
  <c r="AK109" i="129"/>
  <c r="AI109" i="129"/>
  <c r="AA109" i="129"/>
  <c r="Z109" i="129"/>
  <c r="Y109" i="129"/>
  <c r="X109" i="129"/>
  <c r="W109" i="129"/>
  <c r="V109" i="129"/>
  <c r="U109" i="129"/>
  <c r="T109" i="129"/>
  <c r="S109" i="129"/>
  <c r="R109" i="129"/>
  <c r="Q109" i="129"/>
  <c r="P109" i="129"/>
  <c r="O109" i="129"/>
  <c r="AK108" i="129"/>
  <c r="N108" i="129"/>
  <c r="L108" i="129"/>
  <c r="K108" i="129"/>
  <c r="AK107" i="129"/>
  <c r="K107" i="129"/>
  <c r="AK106" i="129"/>
  <c r="K106" i="129"/>
  <c r="AK105" i="129"/>
  <c r="K105" i="129"/>
  <c r="AK104" i="129"/>
  <c r="K104" i="129"/>
  <c r="AK103" i="129"/>
  <c r="K103" i="129"/>
  <c r="AK102" i="129"/>
  <c r="K102" i="129"/>
  <c r="AK101" i="129"/>
  <c r="K101" i="129"/>
  <c r="AK100" i="129"/>
  <c r="AJ100" i="129"/>
  <c r="AI100" i="129"/>
  <c r="AH100" i="129"/>
  <c r="AG100" i="129"/>
  <c r="AC100" i="129"/>
  <c r="AB100" i="129"/>
  <c r="AA100" i="129"/>
  <c r="Z100" i="129"/>
  <c r="Y100" i="129"/>
  <c r="X100" i="129"/>
  <c r="W100" i="129"/>
  <c r="V100" i="129"/>
  <c r="U100" i="129"/>
  <c r="T100" i="129"/>
  <c r="S100" i="129"/>
  <c r="R100" i="129"/>
  <c r="Q100" i="129"/>
  <c r="P100" i="129"/>
  <c r="O100" i="129"/>
  <c r="K100" i="129"/>
  <c r="AK99" i="129"/>
  <c r="AI99" i="129"/>
  <c r="AA99" i="129"/>
  <c r="Z99" i="129"/>
  <c r="Y99" i="129"/>
  <c r="X99" i="129"/>
  <c r="W99" i="129"/>
  <c r="V99" i="129"/>
  <c r="U99" i="129"/>
  <c r="T99" i="129"/>
  <c r="S99" i="129"/>
  <c r="R99" i="129"/>
  <c r="Q99" i="129"/>
  <c r="P99" i="129"/>
  <c r="O99" i="129"/>
  <c r="AK98" i="129"/>
  <c r="N98" i="129"/>
  <c r="L98" i="129"/>
  <c r="K98" i="129"/>
  <c r="AK97" i="129"/>
  <c r="K97" i="129"/>
  <c r="AK96" i="129"/>
  <c r="K96" i="129"/>
  <c r="AK95" i="129"/>
  <c r="K95" i="129"/>
  <c r="AK94" i="129"/>
  <c r="K94" i="129"/>
  <c r="AK93" i="129"/>
  <c r="K93" i="129"/>
  <c r="AK92" i="129"/>
  <c r="K92" i="129"/>
  <c r="AK91" i="129"/>
  <c r="K91" i="129"/>
  <c r="AK90" i="129"/>
  <c r="K90" i="129"/>
  <c r="AK89" i="129"/>
  <c r="K89" i="129"/>
  <c r="AK88" i="129"/>
  <c r="K88" i="129"/>
  <c r="AK87" i="129"/>
  <c r="K87" i="129"/>
  <c r="AK86" i="129"/>
  <c r="AJ86" i="129"/>
  <c r="AI86" i="129"/>
  <c r="AH86" i="129"/>
  <c r="AG86" i="129"/>
  <c r="AC86" i="129"/>
  <c r="AB86" i="129"/>
  <c r="AA86" i="129"/>
  <c r="Z86" i="129"/>
  <c r="Y86" i="129"/>
  <c r="X86" i="129"/>
  <c r="W86" i="129"/>
  <c r="V86" i="129"/>
  <c r="U86" i="129"/>
  <c r="T86" i="129"/>
  <c r="S86" i="129"/>
  <c r="R86" i="129"/>
  <c r="Q86" i="129"/>
  <c r="P86" i="129"/>
  <c r="O86" i="129"/>
  <c r="K86" i="129"/>
  <c r="AK85" i="129"/>
  <c r="AI85" i="129"/>
  <c r="AA85" i="129"/>
  <c r="Z85" i="129"/>
  <c r="Y85" i="129"/>
  <c r="X85" i="129"/>
  <c r="W85" i="129"/>
  <c r="V85" i="129"/>
  <c r="U85" i="129"/>
  <c r="T85" i="129"/>
  <c r="S85" i="129"/>
  <c r="R85" i="129"/>
  <c r="Q85" i="129"/>
  <c r="P85" i="129"/>
  <c r="O85" i="129"/>
  <c r="AK84" i="129"/>
  <c r="N84" i="129"/>
  <c r="L84" i="129"/>
  <c r="K84" i="129"/>
  <c r="AK83" i="129"/>
  <c r="K83" i="129"/>
  <c r="AK82" i="129"/>
  <c r="K82" i="129"/>
  <c r="AK81" i="129"/>
  <c r="K81" i="129"/>
  <c r="AK80" i="129"/>
  <c r="K80" i="129"/>
  <c r="AK79" i="129"/>
  <c r="K79" i="129"/>
  <c r="AK78" i="129"/>
  <c r="K78" i="129"/>
  <c r="AK77" i="129"/>
  <c r="K77" i="129"/>
  <c r="AK76" i="129"/>
  <c r="K76" i="129"/>
  <c r="AK75" i="129"/>
  <c r="K75" i="129"/>
  <c r="AK74" i="129"/>
  <c r="K74" i="129"/>
  <c r="AK73" i="129"/>
  <c r="AJ73" i="129"/>
  <c r="AI73" i="129"/>
  <c r="AH73" i="129"/>
  <c r="AG73" i="129"/>
  <c r="AC73" i="129"/>
  <c r="AB73" i="129"/>
  <c r="AA73" i="129"/>
  <c r="Z73" i="129"/>
  <c r="Y73" i="129"/>
  <c r="X73" i="129"/>
  <c r="W73" i="129"/>
  <c r="V73" i="129"/>
  <c r="U73" i="129"/>
  <c r="T73" i="129"/>
  <c r="S73" i="129"/>
  <c r="R73" i="129"/>
  <c r="Q73" i="129"/>
  <c r="P73" i="129"/>
  <c r="O73" i="129"/>
  <c r="K73" i="129"/>
  <c r="AK72" i="129"/>
  <c r="AI72" i="129"/>
  <c r="AA72" i="129"/>
  <c r="Z72" i="129"/>
  <c r="Y72" i="129"/>
  <c r="X72" i="129"/>
  <c r="W72" i="129"/>
  <c r="V72" i="129"/>
  <c r="U72" i="129"/>
  <c r="T72" i="129"/>
  <c r="S72" i="129"/>
  <c r="R72" i="129"/>
  <c r="Q72" i="129"/>
  <c r="P72" i="129"/>
  <c r="O72" i="129"/>
  <c r="AK71" i="129"/>
  <c r="N71" i="129"/>
  <c r="L71" i="129"/>
  <c r="K71" i="129"/>
  <c r="AK70" i="129"/>
  <c r="K70" i="129"/>
  <c r="AK69" i="129"/>
  <c r="K69" i="129"/>
  <c r="AK68" i="129"/>
  <c r="K68" i="129"/>
  <c r="AK67" i="129"/>
  <c r="K67" i="129"/>
  <c r="AK66" i="129"/>
  <c r="K66" i="129"/>
  <c r="AK65" i="129"/>
  <c r="K65" i="129"/>
  <c r="AK64" i="129"/>
  <c r="K64" i="129"/>
  <c r="AK63" i="129"/>
  <c r="K63" i="129"/>
  <c r="AK62" i="129"/>
  <c r="K62" i="129"/>
  <c r="AK61" i="129"/>
  <c r="K61" i="129"/>
  <c r="AK60" i="129"/>
  <c r="K60" i="129"/>
  <c r="AK59" i="129"/>
  <c r="AJ59" i="129"/>
  <c r="AI59" i="129"/>
  <c r="AH59" i="129"/>
  <c r="AG59" i="129"/>
  <c r="AC59" i="129"/>
  <c r="AB59" i="129"/>
  <c r="AA59" i="129"/>
  <c r="Z59" i="129"/>
  <c r="Y59" i="129"/>
  <c r="X59" i="129"/>
  <c r="W59" i="129"/>
  <c r="V59" i="129"/>
  <c r="U59" i="129"/>
  <c r="T59" i="129"/>
  <c r="S59" i="129"/>
  <c r="R59" i="129"/>
  <c r="Q59" i="129"/>
  <c r="P59" i="129"/>
  <c r="O59" i="129"/>
  <c r="K59" i="129"/>
  <c r="AK58" i="129"/>
  <c r="AI58" i="129"/>
  <c r="AA58" i="129"/>
  <c r="Z58" i="129"/>
  <c r="Y58" i="129"/>
  <c r="X58" i="129"/>
  <c r="W58" i="129"/>
  <c r="V58" i="129"/>
  <c r="U58" i="129"/>
  <c r="T58" i="129"/>
  <c r="S58" i="129"/>
  <c r="R58" i="129"/>
  <c r="Q58" i="129"/>
  <c r="P58" i="129"/>
  <c r="O58" i="129"/>
  <c r="AK57" i="129"/>
  <c r="N57" i="129"/>
  <c r="L57" i="129"/>
  <c r="K57" i="129"/>
  <c r="AK56" i="129"/>
  <c r="K56" i="129"/>
  <c r="AK55" i="129"/>
  <c r="K55" i="129"/>
  <c r="AK54" i="129"/>
  <c r="K54" i="129"/>
  <c r="AK53" i="129"/>
  <c r="K53" i="129"/>
  <c r="AK52" i="129"/>
  <c r="K52" i="129"/>
  <c r="AK51" i="129"/>
  <c r="K51" i="129"/>
  <c r="AK50" i="129"/>
  <c r="K50" i="129"/>
  <c r="AK49" i="129"/>
  <c r="K49" i="129"/>
  <c r="AK48" i="129"/>
  <c r="AJ48" i="129"/>
  <c r="AI48" i="129"/>
  <c r="AH48" i="129"/>
  <c r="AG48" i="129"/>
  <c r="AC48" i="129"/>
  <c r="AB48" i="129"/>
  <c r="AA48" i="129"/>
  <c r="Z48" i="129"/>
  <c r="Y48" i="129"/>
  <c r="X48" i="129"/>
  <c r="W48" i="129"/>
  <c r="V48" i="129"/>
  <c r="U48" i="129"/>
  <c r="T48" i="129"/>
  <c r="S48" i="129"/>
  <c r="R48" i="129"/>
  <c r="Q48" i="129"/>
  <c r="P48" i="129"/>
  <c r="O48" i="129"/>
  <c r="K48" i="129"/>
  <c r="AI47" i="129"/>
  <c r="AA47" i="129"/>
  <c r="Z47" i="129"/>
  <c r="Y47" i="129"/>
  <c r="X47" i="129"/>
  <c r="W47" i="129"/>
  <c r="V47" i="129"/>
  <c r="U47" i="129"/>
  <c r="T47" i="129"/>
  <c r="S47" i="129"/>
  <c r="R47" i="129"/>
  <c r="Q47" i="129"/>
  <c r="P47" i="129"/>
  <c r="O47" i="129"/>
  <c r="N46" i="129"/>
  <c r="L46" i="129"/>
  <c r="K46" i="129"/>
  <c r="AK45" i="129"/>
  <c r="K45" i="129"/>
  <c r="AK44" i="129"/>
  <c r="K44" i="129"/>
  <c r="AK43" i="129"/>
  <c r="K43" i="129"/>
  <c r="AK42" i="129"/>
  <c r="K42" i="129"/>
  <c r="AK41" i="129"/>
  <c r="K41" i="129"/>
  <c r="AK40" i="129"/>
  <c r="K40" i="129"/>
  <c r="AK39" i="129"/>
  <c r="K39" i="129"/>
  <c r="AK38" i="129"/>
  <c r="K38" i="129"/>
  <c r="AK37" i="129"/>
  <c r="K37" i="129"/>
  <c r="AK36" i="129"/>
  <c r="K36" i="129"/>
  <c r="AK35" i="129"/>
  <c r="K35" i="129"/>
  <c r="AK34" i="129"/>
  <c r="K34" i="129"/>
  <c r="AK33" i="129"/>
  <c r="AJ33" i="129"/>
  <c r="AI33" i="129"/>
  <c r="AH33" i="129"/>
  <c r="AG33" i="129"/>
  <c r="AC33" i="129"/>
  <c r="AB33" i="129"/>
  <c r="AA33" i="129"/>
  <c r="Z33" i="129"/>
  <c r="Y33" i="129"/>
  <c r="X33" i="129"/>
  <c r="W33" i="129"/>
  <c r="V33" i="129"/>
  <c r="U33" i="129"/>
  <c r="T33" i="129"/>
  <c r="S33" i="129"/>
  <c r="R33" i="129"/>
  <c r="Q33" i="129"/>
  <c r="P33" i="129"/>
  <c r="O33" i="129"/>
  <c r="K33" i="129"/>
  <c r="AI32" i="129"/>
  <c r="AA32" i="129"/>
  <c r="Z32" i="129"/>
  <c r="Y32" i="129"/>
  <c r="X32" i="129"/>
  <c r="W32" i="129"/>
  <c r="V32" i="129"/>
  <c r="U32" i="129"/>
  <c r="T32" i="129"/>
  <c r="S32" i="129"/>
  <c r="R32" i="129"/>
  <c r="Q32" i="129"/>
  <c r="P32" i="129"/>
  <c r="O32" i="129"/>
  <c r="AD26" i="129"/>
  <c r="AC26" i="129"/>
  <c r="AB26" i="129"/>
  <c r="AA26" i="129"/>
  <c r="Z26" i="129"/>
  <c r="Y26" i="129"/>
  <c r="X26" i="129"/>
  <c r="W26" i="129"/>
  <c r="V26" i="129"/>
  <c r="U26" i="129"/>
  <c r="T26" i="129"/>
  <c r="S26" i="129"/>
  <c r="R26" i="129"/>
  <c r="Q26" i="129"/>
  <c r="P26" i="129"/>
  <c r="O26" i="129"/>
  <c r="N26" i="129"/>
  <c r="M26" i="129"/>
  <c r="L26" i="129"/>
  <c r="K26" i="129"/>
  <c r="J26" i="129"/>
  <c r="I26" i="129"/>
  <c r="H26" i="129"/>
  <c r="G26" i="129"/>
  <c r="F26" i="129"/>
  <c r="E26" i="129"/>
  <c r="D26" i="129"/>
  <c r="AD25" i="129"/>
  <c r="AC25" i="129"/>
  <c r="AB25" i="129"/>
  <c r="AA25" i="129"/>
  <c r="Z25" i="129"/>
  <c r="Y25" i="129"/>
  <c r="X25" i="129"/>
  <c r="W25" i="129"/>
  <c r="V25" i="129"/>
  <c r="U25" i="129"/>
  <c r="T25" i="129"/>
  <c r="S25" i="129"/>
  <c r="R25" i="129"/>
  <c r="Q25" i="129"/>
  <c r="P25" i="129"/>
  <c r="O25" i="129"/>
  <c r="N25" i="129"/>
  <c r="M25" i="129"/>
  <c r="L25" i="129"/>
  <c r="K25" i="129"/>
  <c r="J25" i="129"/>
  <c r="I25" i="129"/>
  <c r="H25" i="129"/>
  <c r="G25" i="129"/>
  <c r="F25" i="129"/>
  <c r="E25" i="129"/>
  <c r="D25" i="129"/>
  <c r="AD24" i="129"/>
  <c r="AC24" i="129"/>
  <c r="AB24" i="129"/>
  <c r="AA24" i="129"/>
  <c r="Z24" i="129"/>
  <c r="Y24" i="129"/>
  <c r="X24" i="129"/>
  <c r="W24" i="129"/>
  <c r="V24" i="129"/>
  <c r="U24" i="129"/>
  <c r="T24" i="129"/>
  <c r="S24" i="129"/>
  <c r="R24" i="129"/>
  <c r="Q24" i="129"/>
  <c r="P24" i="129"/>
  <c r="O24" i="129"/>
  <c r="N24" i="129"/>
  <c r="M24" i="129"/>
  <c r="L24" i="129"/>
  <c r="K24" i="129"/>
  <c r="J24" i="129"/>
  <c r="I24" i="129"/>
  <c r="H24" i="129"/>
  <c r="G24" i="129"/>
  <c r="F24" i="129"/>
  <c r="E24" i="129"/>
  <c r="D24" i="129"/>
  <c r="AD23" i="129"/>
  <c r="AC23" i="129"/>
  <c r="AB23" i="129"/>
  <c r="AA23" i="129"/>
  <c r="Z23" i="129"/>
  <c r="Y23" i="129"/>
  <c r="X23" i="129"/>
  <c r="W23" i="129"/>
  <c r="V23" i="129"/>
  <c r="U23" i="129"/>
  <c r="T23" i="129"/>
  <c r="S23" i="129"/>
  <c r="R23" i="129"/>
  <c r="Q23" i="129"/>
  <c r="P23" i="129"/>
  <c r="O23" i="129"/>
  <c r="N23" i="129"/>
  <c r="M23" i="129"/>
  <c r="L23" i="129"/>
  <c r="K23" i="129"/>
  <c r="J23" i="129"/>
  <c r="I23" i="129"/>
  <c r="H23" i="129"/>
  <c r="G23" i="129"/>
  <c r="F23" i="129"/>
  <c r="E23" i="129"/>
  <c r="D23" i="129"/>
  <c r="AD22" i="129"/>
  <c r="AC22" i="129"/>
  <c r="AB22" i="129"/>
  <c r="AA22" i="129"/>
  <c r="Z22" i="129"/>
  <c r="Y22" i="129"/>
  <c r="X22" i="129"/>
  <c r="W22" i="129"/>
  <c r="V22" i="129"/>
  <c r="U22" i="129"/>
  <c r="T22" i="129"/>
  <c r="S22" i="129"/>
  <c r="R22" i="129"/>
  <c r="Q22" i="129"/>
  <c r="P22" i="129"/>
  <c r="O22" i="129"/>
  <c r="N22" i="129"/>
  <c r="M22" i="129"/>
  <c r="L22" i="129"/>
  <c r="K22" i="129"/>
  <c r="J22" i="129"/>
  <c r="I22" i="129"/>
  <c r="H22" i="129"/>
  <c r="F22" i="129"/>
  <c r="E22" i="129"/>
  <c r="D22" i="129"/>
  <c r="F13" i="129"/>
  <c r="E13" i="129"/>
  <c r="D13" i="129"/>
  <c r="F11" i="129"/>
  <c r="E11" i="129"/>
  <c r="D11" i="129"/>
  <c r="F10" i="129"/>
  <c r="E10" i="129"/>
  <c r="D10" i="129"/>
  <c r="F9" i="129"/>
  <c r="E9" i="129"/>
  <c r="D9" i="129"/>
  <c r="F7" i="129"/>
  <c r="G17" i="105" l="1"/>
  <c r="H17" i="105" s="1"/>
  <c r="O11" i="104"/>
  <c r="M5" i="119" s="1"/>
  <c r="B22" i="119" s="1"/>
  <c r="G11" i="104"/>
  <c r="E5" i="119" s="1"/>
  <c r="B14" i="119" s="1"/>
  <c r="M11" i="104"/>
  <c r="K5" i="119" s="1"/>
  <c r="B20" i="119" s="1"/>
  <c r="F11" i="104"/>
  <c r="E25" i="105" s="1"/>
  <c r="E28" i="105" s="1"/>
  <c r="D4" i="106" s="1"/>
  <c r="N11" i="104"/>
  <c r="L5" i="119" s="1"/>
  <c r="B21" i="119" s="1"/>
  <c r="G25" i="105"/>
  <c r="F5" i="119"/>
  <c r="B15" i="119" s="1"/>
  <c r="J5" i="119"/>
  <c r="B19" i="119" s="1"/>
  <c r="K25" i="105"/>
  <c r="H25" i="105"/>
  <c r="G5" i="119"/>
  <c r="B16" i="119" s="1"/>
  <c r="H5" i="119"/>
  <c r="B17" i="119" s="1"/>
  <c r="I25" i="105"/>
  <c r="I5" i="119"/>
  <c r="B18" i="119" s="1"/>
  <c r="J25" i="105"/>
  <c r="D25" i="105"/>
  <c r="D28" i="105" s="1"/>
  <c r="F25" i="105"/>
  <c r="F28" i="105" s="1"/>
  <c r="E4" i="106" s="1"/>
  <c r="B14" i="106" s="1"/>
  <c r="C14" i="106" s="1"/>
  <c r="N25" i="105"/>
  <c r="F9" i="123"/>
  <c r="F8" i="123" s="1"/>
  <c r="G9" i="123"/>
  <c r="G12" i="123" s="1"/>
  <c r="I8" i="123"/>
  <c r="B12" i="123"/>
  <c r="N12" i="123" s="1"/>
  <c r="N9" i="123"/>
  <c r="B11" i="123"/>
  <c r="C12" i="123"/>
  <c r="C11" i="123"/>
  <c r="C10" i="123" s="1"/>
  <c r="C13" i="123" s="1"/>
  <c r="C15" i="123" s="1"/>
  <c r="C17" i="123" s="1"/>
  <c r="C20" i="123" s="1"/>
  <c r="C22" i="123" s="1"/>
  <c r="C24" i="123" s="1"/>
  <c r="K12" i="123"/>
  <c r="K11" i="123"/>
  <c r="K10" i="123" s="1"/>
  <c r="K13" i="123" s="1"/>
  <c r="K15" i="123" s="1"/>
  <c r="K17" i="123" s="1"/>
  <c r="K20" i="123" s="1"/>
  <c r="K22" i="123" s="1"/>
  <c r="E12" i="125"/>
  <c r="E15" i="125"/>
  <c r="E16" i="125" s="1"/>
  <c r="E10" i="125"/>
  <c r="E11" i="125"/>
  <c r="J12" i="123"/>
  <c r="J11" i="123"/>
  <c r="J10" i="123" s="1"/>
  <c r="J13" i="123" s="1"/>
  <c r="J15" i="123" s="1"/>
  <c r="J17" i="123" s="1"/>
  <c r="J20" i="123" s="1"/>
  <c r="J22" i="123" s="1"/>
  <c r="J25" i="123" s="1"/>
  <c r="E8" i="123"/>
  <c r="E11" i="123"/>
  <c r="E10" i="123" s="1"/>
  <c r="E13" i="123" s="1"/>
  <c r="E15" i="123" s="1"/>
  <c r="E17" i="123" s="1"/>
  <c r="E20" i="123" s="1"/>
  <c r="E22" i="123" s="1"/>
  <c r="E12" i="123"/>
  <c r="M8" i="123"/>
  <c r="M11" i="123"/>
  <c r="M10" i="123" s="1"/>
  <c r="M13" i="123" s="1"/>
  <c r="M15" i="123" s="1"/>
  <c r="M17" i="123" s="1"/>
  <c r="M20" i="123" s="1"/>
  <c r="M22" i="123" s="1"/>
  <c r="M23" i="123" s="1"/>
  <c r="M12" i="123"/>
  <c r="F12" i="125"/>
  <c r="F15" i="125"/>
  <c r="F16" i="125" s="1"/>
  <c r="F10" i="125"/>
  <c r="F11" i="125"/>
  <c r="M12" i="125"/>
  <c r="M15" i="125"/>
  <c r="M16" i="125" s="1"/>
  <c r="M10" i="125"/>
  <c r="M11" i="125"/>
  <c r="N7" i="123"/>
  <c r="D9" i="123"/>
  <c r="D8" i="123" s="1"/>
  <c r="L9" i="123"/>
  <c r="H7" i="125"/>
  <c r="H8" i="125" s="1"/>
  <c r="C8" i="125"/>
  <c r="K8" i="125"/>
  <c r="B8" i="123"/>
  <c r="N8" i="123" s="1"/>
  <c r="J8" i="123"/>
  <c r="I13" i="123"/>
  <c r="I15" i="123" s="1"/>
  <c r="I17" i="123" s="1"/>
  <c r="I20" i="123" s="1"/>
  <c r="I22" i="123" s="1"/>
  <c r="I25" i="123" s="1"/>
  <c r="N6" i="125"/>
  <c r="N12" i="125" s="1"/>
  <c r="I7" i="125"/>
  <c r="I8" i="125" s="1"/>
  <c r="D8" i="125"/>
  <c r="L8" i="125"/>
  <c r="C8" i="123"/>
  <c r="K8" i="123"/>
  <c r="B7" i="125"/>
  <c r="N7" i="125" s="1"/>
  <c r="J7" i="125"/>
  <c r="J8" i="125" s="1"/>
  <c r="H9" i="123"/>
  <c r="H8" i="123" s="1"/>
  <c r="I12" i="123"/>
  <c r="G8" i="125"/>
  <c r="N14" i="123"/>
  <c r="F18" i="119"/>
  <c r="F14" i="119"/>
  <c r="I12" i="119"/>
  <c r="F15" i="119"/>
  <c r="F16" i="119"/>
  <c r="F17" i="119"/>
  <c r="D13" i="119"/>
  <c r="E13" i="119"/>
  <c r="G13" i="119" s="1"/>
  <c r="G19" i="105" l="1"/>
  <c r="G20" i="105" s="1"/>
  <c r="G27" i="105" s="1"/>
  <c r="G28" i="105" s="1"/>
  <c r="F4" i="106" s="1"/>
  <c r="B15" i="106" s="1"/>
  <c r="C15" i="106" s="1"/>
  <c r="C4" i="106"/>
  <c r="B12" i="106" s="1"/>
  <c r="C12" i="106" s="1"/>
  <c r="D12" i="106" s="1"/>
  <c r="H19" i="105"/>
  <c r="H20" i="105" s="1"/>
  <c r="H27" i="105" s="1"/>
  <c r="H28" i="105" s="1"/>
  <c r="I17" i="105"/>
  <c r="L25" i="105"/>
  <c r="M25" i="105"/>
  <c r="B13" i="106"/>
  <c r="C13" i="106" s="1"/>
  <c r="D5" i="119"/>
  <c r="B13" i="119" s="1"/>
  <c r="I24" i="123"/>
  <c r="I23" i="123"/>
  <c r="F12" i="123"/>
  <c r="F11" i="123"/>
  <c r="F10" i="123" s="1"/>
  <c r="F13" i="123" s="1"/>
  <c r="F15" i="123" s="1"/>
  <c r="F17" i="123" s="1"/>
  <c r="F20" i="123" s="1"/>
  <c r="F22" i="123" s="1"/>
  <c r="F24" i="123" s="1"/>
  <c r="B8" i="125"/>
  <c r="B11" i="125" s="1"/>
  <c r="N11" i="125" s="1"/>
  <c r="G11" i="123"/>
  <c r="G10" i="123" s="1"/>
  <c r="G13" i="123" s="1"/>
  <c r="G15" i="123" s="1"/>
  <c r="G17" i="123" s="1"/>
  <c r="G20" i="123" s="1"/>
  <c r="G22" i="123" s="1"/>
  <c r="G8" i="123"/>
  <c r="J11" i="125"/>
  <c r="J12" i="125"/>
  <c r="J15" i="125"/>
  <c r="J16" i="125" s="1"/>
  <c r="J10" i="125"/>
  <c r="K24" i="123"/>
  <c r="K23" i="123"/>
  <c r="K25" i="123"/>
  <c r="E25" i="123"/>
  <c r="E23" i="123"/>
  <c r="E24" i="123"/>
  <c r="I11" i="125"/>
  <c r="I12" i="125"/>
  <c r="I15" i="125"/>
  <c r="I16" i="125" s="1"/>
  <c r="I10" i="125"/>
  <c r="L12" i="123"/>
  <c r="L11" i="123"/>
  <c r="L10" i="123" s="1"/>
  <c r="L13" i="123" s="1"/>
  <c r="L15" i="123" s="1"/>
  <c r="L17" i="123" s="1"/>
  <c r="L20" i="123" s="1"/>
  <c r="L22" i="123" s="1"/>
  <c r="H10" i="125"/>
  <c r="H11" i="125"/>
  <c r="H12" i="125"/>
  <c r="H15" i="125"/>
  <c r="H16" i="125" s="1"/>
  <c r="D12" i="123"/>
  <c r="D11" i="123"/>
  <c r="D10" i="123" s="1"/>
  <c r="D13" i="123" s="1"/>
  <c r="D15" i="123" s="1"/>
  <c r="D17" i="123" s="1"/>
  <c r="D20" i="123" s="1"/>
  <c r="D22" i="123" s="1"/>
  <c r="C25" i="123"/>
  <c r="K11" i="125"/>
  <c r="K12" i="125"/>
  <c r="K15" i="125"/>
  <c r="K16" i="125" s="1"/>
  <c r="K10" i="125"/>
  <c r="L12" i="125"/>
  <c r="L15" i="125"/>
  <c r="L16" i="125" s="1"/>
  <c r="L10" i="125"/>
  <c r="L11" i="125"/>
  <c r="C23" i="123"/>
  <c r="G15" i="125"/>
  <c r="G16" i="125" s="1"/>
  <c r="G10" i="125"/>
  <c r="G11" i="125"/>
  <c r="G12" i="125"/>
  <c r="C11" i="125"/>
  <c r="C12" i="125"/>
  <c r="C15" i="125"/>
  <c r="C16" i="125" s="1"/>
  <c r="C10" i="125"/>
  <c r="E13" i="125"/>
  <c r="E9" i="125" s="1"/>
  <c r="E17" i="125" s="1"/>
  <c r="E19" i="125" s="1"/>
  <c r="E21" i="125" s="1"/>
  <c r="E24" i="125" s="1"/>
  <c r="E26" i="125" s="1"/>
  <c r="E14" i="125"/>
  <c r="F13" i="125"/>
  <c r="F14" i="125"/>
  <c r="M13" i="125"/>
  <c r="M14" i="125"/>
  <c r="L8" i="123"/>
  <c r="N11" i="123"/>
  <c r="N10" i="123" s="1"/>
  <c r="N13" i="123" s="1"/>
  <c r="B10" i="123"/>
  <c r="B13" i="123" s="1"/>
  <c r="B15" i="123" s="1"/>
  <c r="H11" i="123"/>
  <c r="H10" i="123" s="1"/>
  <c r="H13" i="123" s="1"/>
  <c r="H15" i="123" s="1"/>
  <c r="H17" i="123" s="1"/>
  <c r="H20" i="123" s="1"/>
  <c r="H22" i="123" s="1"/>
  <c r="H12" i="123"/>
  <c r="D12" i="125"/>
  <c r="D15" i="125"/>
  <c r="D16" i="125" s="1"/>
  <c r="D10" i="125"/>
  <c r="D11" i="125"/>
  <c r="I26" i="123"/>
  <c r="M25" i="123"/>
  <c r="M24" i="123"/>
  <c r="J23" i="123"/>
  <c r="J24" i="123"/>
  <c r="E14" i="119"/>
  <c r="G14" i="119" s="1"/>
  <c r="D14" i="119"/>
  <c r="I13" i="119"/>
  <c r="D13" i="106" l="1"/>
  <c r="D14" i="106" s="1"/>
  <c r="D15" i="106" s="1"/>
  <c r="G4" i="106"/>
  <c r="B16" i="106" s="1"/>
  <c r="C16" i="106" s="1"/>
  <c r="J17" i="105"/>
  <c r="I19" i="105"/>
  <c r="I20" i="105" s="1"/>
  <c r="I27" i="105" s="1"/>
  <c r="I28" i="105" s="1"/>
  <c r="H4" i="106" s="1"/>
  <c r="B17" i="106" s="1"/>
  <c r="C17" i="106" s="1"/>
  <c r="D32" i="105"/>
  <c r="D35" i="105" s="1"/>
  <c r="D36" i="105" s="1"/>
  <c r="J26" i="123"/>
  <c r="C26" i="123"/>
  <c r="F23" i="123"/>
  <c r="B10" i="125"/>
  <c r="F25" i="123"/>
  <c r="B15" i="125"/>
  <c r="N15" i="125" s="1"/>
  <c r="N8" i="125"/>
  <c r="B12" i="125"/>
  <c r="B14" i="125" s="1"/>
  <c r="N14" i="125" s="1"/>
  <c r="E26" i="123"/>
  <c r="M9" i="125"/>
  <c r="M17" i="125" s="1"/>
  <c r="M19" i="125" s="1"/>
  <c r="M21" i="125" s="1"/>
  <c r="M24" i="125" s="1"/>
  <c r="M26" i="125" s="1"/>
  <c r="K26" i="123"/>
  <c r="F9" i="125"/>
  <c r="F17" i="125" s="1"/>
  <c r="F19" i="125" s="1"/>
  <c r="F21" i="125" s="1"/>
  <c r="F24" i="125" s="1"/>
  <c r="F26" i="125" s="1"/>
  <c r="G23" i="123"/>
  <c r="G25" i="123"/>
  <c r="G24" i="123"/>
  <c r="N10" i="125"/>
  <c r="D25" i="123"/>
  <c r="D23" i="123"/>
  <c r="D24" i="123"/>
  <c r="M26" i="123"/>
  <c r="D14" i="125"/>
  <c r="D13" i="125"/>
  <c r="D9" i="125" s="1"/>
  <c r="D17" i="125" s="1"/>
  <c r="D19" i="125" s="1"/>
  <c r="D21" i="125" s="1"/>
  <c r="D24" i="125" s="1"/>
  <c r="D26" i="125" s="1"/>
  <c r="H13" i="125"/>
  <c r="H14" i="125"/>
  <c r="B17" i="123"/>
  <c r="N15" i="123"/>
  <c r="B16" i="125"/>
  <c r="N16" i="125" s="1"/>
  <c r="C14" i="125"/>
  <c r="C13" i="125"/>
  <c r="C9" i="125" s="1"/>
  <c r="C17" i="125" s="1"/>
  <c r="C19" i="125" s="1"/>
  <c r="C21" i="125" s="1"/>
  <c r="C24" i="125" s="1"/>
  <c r="C26" i="125" s="1"/>
  <c r="L25" i="123"/>
  <c r="L23" i="123"/>
  <c r="L24" i="123"/>
  <c r="J14" i="125"/>
  <c r="J13" i="125"/>
  <c r="K14" i="125"/>
  <c r="K13" i="125"/>
  <c r="K9" i="125" s="1"/>
  <c r="K17" i="125" s="1"/>
  <c r="K19" i="125" s="1"/>
  <c r="K21" i="125" s="1"/>
  <c r="K24" i="125" s="1"/>
  <c r="K26" i="125" s="1"/>
  <c r="L14" i="125"/>
  <c r="L13" i="125"/>
  <c r="I13" i="125"/>
  <c r="I9" i="125" s="1"/>
  <c r="I17" i="125" s="1"/>
  <c r="I19" i="125" s="1"/>
  <c r="I21" i="125" s="1"/>
  <c r="I24" i="125" s="1"/>
  <c r="I26" i="125" s="1"/>
  <c r="I14" i="125"/>
  <c r="H24" i="123"/>
  <c r="H25" i="123"/>
  <c r="H23" i="123"/>
  <c r="G13" i="125"/>
  <c r="G14" i="125"/>
  <c r="D15" i="119"/>
  <c r="I14" i="119"/>
  <c r="E15" i="119"/>
  <c r="G15" i="119" s="1"/>
  <c r="D16" i="106" l="1"/>
  <c r="D17" i="106" s="1"/>
  <c r="K17" i="105"/>
  <c r="J19" i="105"/>
  <c r="J20" i="105" s="1"/>
  <c r="J27" i="105" s="1"/>
  <c r="J28" i="105" s="1"/>
  <c r="D33" i="105"/>
  <c r="D34" i="105" s="1"/>
  <c r="D26" i="123"/>
  <c r="G26" i="123"/>
  <c r="B13" i="125"/>
  <c r="N13" i="125" s="1"/>
  <c r="N9" i="125" s="1"/>
  <c r="N17" i="125" s="1"/>
  <c r="F26" i="123"/>
  <c r="G9" i="125"/>
  <c r="G17" i="125" s="1"/>
  <c r="G19" i="125" s="1"/>
  <c r="G21" i="125" s="1"/>
  <c r="G24" i="125" s="1"/>
  <c r="G26" i="125" s="1"/>
  <c r="H26" i="123"/>
  <c r="H9" i="125"/>
  <c r="H17" i="125" s="1"/>
  <c r="H19" i="125" s="1"/>
  <c r="H21" i="125" s="1"/>
  <c r="H24" i="125" s="1"/>
  <c r="H26" i="125" s="1"/>
  <c r="L9" i="125"/>
  <c r="L17" i="125" s="1"/>
  <c r="L19" i="125" s="1"/>
  <c r="L21" i="125" s="1"/>
  <c r="L24" i="125" s="1"/>
  <c r="L26" i="125" s="1"/>
  <c r="J9" i="125"/>
  <c r="J17" i="125" s="1"/>
  <c r="J19" i="125" s="1"/>
  <c r="J21" i="125" s="1"/>
  <c r="J24" i="125" s="1"/>
  <c r="J26" i="125" s="1"/>
  <c r="L26" i="123"/>
  <c r="N17" i="123"/>
  <c r="B20" i="123"/>
  <c r="I15" i="119"/>
  <c r="D16" i="119"/>
  <c r="E16" i="119"/>
  <c r="G16" i="119" s="1"/>
  <c r="I4" i="106" l="1"/>
  <c r="B18" i="106" s="1"/>
  <c r="L17" i="105"/>
  <c r="K19" i="105"/>
  <c r="K20" i="105" s="1"/>
  <c r="K27" i="105" s="1"/>
  <c r="K28" i="105" s="1"/>
  <c r="J4" i="106" s="1"/>
  <c r="B19" i="106" s="1"/>
  <c r="C19" i="106" s="1"/>
  <c r="B9" i="125"/>
  <c r="B17" i="125" s="1"/>
  <c r="B19" i="125" s="1"/>
  <c r="N19" i="125" s="1"/>
  <c r="N20" i="123"/>
  <c r="B22" i="123"/>
  <c r="D17" i="119"/>
  <c r="I16" i="119"/>
  <c r="E17" i="119"/>
  <c r="G17" i="119" s="1"/>
  <c r="C18" i="106" l="1"/>
  <c r="D18" i="106" s="1"/>
  <c r="D19" i="106" s="1"/>
  <c r="M17" i="105"/>
  <c r="L19" i="105"/>
  <c r="L20" i="105" s="1"/>
  <c r="L27" i="105" s="1"/>
  <c r="L28" i="105" s="1"/>
  <c r="B21" i="125"/>
  <c r="N21" i="125" s="1"/>
  <c r="B24" i="125"/>
  <c r="B23" i="123"/>
  <c r="B24" i="123"/>
  <c r="B25" i="123"/>
  <c r="N25" i="123" s="1"/>
  <c r="N22" i="123"/>
  <c r="E18" i="119"/>
  <c r="G18" i="119" s="1"/>
  <c r="D18" i="119"/>
  <c r="I17" i="119"/>
  <c r="K4" i="106" l="1"/>
  <c r="B20" i="106" s="1"/>
  <c r="N17" i="105"/>
  <c r="N19" i="105" s="1"/>
  <c r="N20" i="105" s="1"/>
  <c r="N27" i="105" s="1"/>
  <c r="N28" i="105" s="1"/>
  <c r="M4" i="106" s="1"/>
  <c r="B22" i="106" s="1"/>
  <c r="C22" i="106" s="1"/>
  <c r="M19" i="105"/>
  <c r="M20" i="105" s="1"/>
  <c r="M27" i="105" s="1"/>
  <c r="M28" i="105" s="1"/>
  <c r="L4" i="106" s="1"/>
  <c r="B21" i="106" s="1"/>
  <c r="C21" i="106" s="1"/>
  <c r="N23" i="123"/>
  <c r="B26" i="123"/>
  <c r="N26" i="123" s="1"/>
  <c r="B26" i="125"/>
  <c r="N26" i="125" s="1"/>
  <c r="N24" i="125"/>
  <c r="E19" i="119"/>
  <c r="G19" i="119" s="1"/>
  <c r="D19" i="119"/>
  <c r="I18" i="119"/>
  <c r="C20" i="106" l="1"/>
  <c r="D20" i="106" s="1"/>
  <c r="D21" i="106" s="1"/>
  <c r="D22" i="106" s="1"/>
  <c r="D37" i="105"/>
  <c r="D39" i="105" s="1"/>
  <c r="I19" i="119"/>
  <c r="E20" i="119"/>
  <c r="G20" i="119" s="1"/>
  <c r="D20" i="119"/>
  <c r="E21" i="119" l="1"/>
  <c r="G21" i="119" s="1"/>
  <c r="D21" i="119"/>
  <c r="I20" i="119"/>
  <c r="E22" i="119" l="1"/>
  <c r="G22" i="119" s="1"/>
  <c r="D22" i="119"/>
  <c r="I21" i="1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PUCPR</author>
    <author>Vilmar Rodrigues Moreira</author>
  </authors>
  <commentList>
    <comment ref="B7" authorId="0" shapeId="0" xr:uid="{00000000-0006-0000-1100-000001000000}">
      <text>
        <r>
          <rPr>
            <b/>
            <sz val="11"/>
            <color indexed="81"/>
            <rFont val="Tahoma"/>
            <family val="2"/>
          </rPr>
          <t xml:space="preserve">
Venda para outra indústria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D7" authorId="0" shapeId="0" xr:uid="{00000000-0006-0000-1100-000002000000}">
      <text>
        <r>
          <rPr>
            <b/>
            <sz val="11"/>
            <color indexed="81"/>
            <rFont val="Tahoma"/>
            <family val="2"/>
          </rPr>
          <t xml:space="preserve">
Venda para o consumidor final 
ou
 revendedor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B13" authorId="0" shapeId="0" xr:uid="{00000000-0006-0000-1100-000003000000}">
      <text>
        <r>
          <rPr>
            <b/>
            <sz val="11"/>
            <color indexed="81"/>
            <rFont val="Tahoma"/>
            <family val="2"/>
          </rPr>
          <t xml:space="preserve">
IMPOSTOS PROPORCIONAIS JÁ PAGOS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14" authorId="0" shapeId="0" xr:uid="{00000000-0006-0000-1100-000004000000}">
      <text>
        <r>
          <rPr>
            <b/>
            <sz val="14"/>
            <color indexed="81"/>
            <rFont val="Tahoma"/>
            <family val="2"/>
          </rPr>
          <t xml:space="preserve">LINK C/ ORÇAMENTO DE PRODUÇÃO
</t>
        </r>
      </text>
    </comment>
    <comment ref="A16" authorId="0" shapeId="0" xr:uid="{00000000-0006-0000-1100-000005000000}">
      <text>
        <r>
          <rPr>
            <b/>
            <sz val="14"/>
            <color indexed="81"/>
            <rFont val="Tahoma"/>
            <family val="2"/>
          </rPr>
          <t>LINK C/ ORÇAMENTO DE VENDAS</t>
        </r>
      </text>
    </comment>
    <comment ref="A18" authorId="0" shapeId="0" xr:uid="{00000000-0006-0000-1100-000006000000}">
      <text>
        <r>
          <rPr>
            <b/>
            <sz val="14"/>
            <color indexed="81"/>
            <rFont val="Tahoma"/>
            <family val="2"/>
          </rPr>
          <t>LINK C/ ORÇAMENTO DE PRODUÇÃO</t>
        </r>
      </text>
    </comment>
    <comment ref="A19" authorId="0" shapeId="0" xr:uid="{00000000-0006-0000-1100-000007000000}">
      <text>
        <r>
          <rPr>
            <b/>
            <sz val="14"/>
            <color indexed="81"/>
            <rFont val="Tahoma"/>
            <family val="2"/>
          </rPr>
          <t>LINK C/ ORÇAMENTOS DE VENDAS E ADMINISTRATIVO</t>
        </r>
      </text>
    </comment>
    <comment ref="A21" authorId="1" shapeId="0" xr:uid="{00000000-0006-0000-1100-000008000000}">
      <text>
        <r>
          <rPr>
            <b/>
            <sz val="9"/>
            <color indexed="81"/>
            <rFont val="Arial"/>
            <family val="2"/>
          </rPr>
          <t>Vilmar Rodrigues Moreira:</t>
        </r>
        <r>
          <rPr>
            <sz val="9"/>
            <color indexed="81"/>
            <rFont val="Arial"/>
            <family val="2"/>
          </rPr>
          <t xml:space="preserve">
Planilha SAC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PUCPR</author>
    <author>Vilmar Rodrigues Moreira</author>
  </authors>
  <commentList>
    <comment ref="B6" authorId="0" shapeId="0" xr:uid="{00000000-0006-0000-1200-000001000000}">
      <text>
        <r>
          <rPr>
            <b/>
            <sz val="11"/>
            <color indexed="81"/>
            <rFont val="Tahoma"/>
            <family val="2"/>
          </rPr>
          <t xml:space="preserve">
Venda para outra indústria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D6" authorId="0" shapeId="0" xr:uid="{00000000-0006-0000-1200-000002000000}">
      <text>
        <r>
          <rPr>
            <b/>
            <sz val="11"/>
            <color indexed="81"/>
            <rFont val="Tahoma"/>
            <family val="2"/>
          </rPr>
          <t xml:space="preserve">
Venda para o consumidor final 
ou
 revendedor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12" authorId="1" shapeId="0" xr:uid="{00000000-0006-0000-1200-000003000000}">
      <text>
        <r>
          <rPr>
            <b/>
            <sz val="9"/>
            <color indexed="81"/>
            <rFont val="Arial"/>
            <family val="2"/>
          </rPr>
          <t>Vilmar Rodrigues Moreira:</t>
        </r>
        <r>
          <rPr>
            <sz val="9"/>
            <color indexed="81"/>
            <rFont val="Arial"/>
            <family val="2"/>
          </rPr>
          <t xml:space="preserve">
Exemplo: 8% indústria
16% comércio
32% serviço
</t>
        </r>
      </text>
    </comment>
    <comment ref="B17" authorId="0" shapeId="0" xr:uid="{00000000-0006-0000-1200-000004000000}">
      <text>
        <r>
          <rPr>
            <b/>
            <sz val="11"/>
            <color indexed="81"/>
            <rFont val="Tahoma"/>
            <family val="2"/>
          </rPr>
          <t xml:space="preserve">
IMPOSTOS PROPORCIONAIS JÁ PAGOS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18" authorId="0" shapeId="0" xr:uid="{00000000-0006-0000-1200-000005000000}">
      <text>
        <r>
          <rPr>
            <b/>
            <sz val="14"/>
            <color indexed="81"/>
            <rFont val="Tahoma"/>
            <family val="2"/>
          </rPr>
          <t xml:space="preserve">LINK C/ ORÇAMENTO DE PRODUÇÃO
</t>
        </r>
      </text>
    </comment>
    <comment ref="A20" authorId="0" shapeId="0" xr:uid="{00000000-0006-0000-1200-000006000000}">
      <text>
        <r>
          <rPr>
            <b/>
            <sz val="14"/>
            <color indexed="81"/>
            <rFont val="Tahoma"/>
            <family val="2"/>
          </rPr>
          <t>LINK C/ ORÇAMENTO DE VENDAS</t>
        </r>
      </text>
    </comment>
    <comment ref="A22" authorId="0" shapeId="0" xr:uid="{00000000-0006-0000-1200-000007000000}">
      <text>
        <r>
          <rPr>
            <b/>
            <sz val="14"/>
            <color indexed="81"/>
            <rFont val="Tahoma"/>
            <family val="2"/>
          </rPr>
          <t>LINK C/ ORÇAMENTO DE PRODUÇÃO</t>
        </r>
      </text>
    </comment>
    <comment ref="A23" authorId="0" shapeId="0" xr:uid="{00000000-0006-0000-1200-000008000000}">
      <text>
        <r>
          <rPr>
            <b/>
            <sz val="14"/>
            <color indexed="81"/>
            <rFont val="Tahoma"/>
            <family val="2"/>
          </rPr>
          <t>LINK C/ ORÇAMENTOS DE VENDAS E ADMINISTRATIVO</t>
        </r>
      </text>
    </comment>
    <comment ref="A25" authorId="1" shapeId="0" xr:uid="{00000000-0006-0000-1200-000009000000}">
      <text>
        <r>
          <rPr>
            <b/>
            <sz val="9"/>
            <color indexed="81"/>
            <rFont val="Arial"/>
            <family val="2"/>
          </rPr>
          <t>Vilmar Rodrigues Moreira:</t>
        </r>
        <r>
          <rPr>
            <sz val="9"/>
            <color indexed="81"/>
            <rFont val="Arial"/>
            <family val="2"/>
          </rPr>
          <t xml:space="preserve">
Link com planilha SAC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PUCPR</author>
    <author>Vilmar Rodrigues Moreira</author>
  </authors>
  <commentList>
    <comment ref="B6" authorId="0" shapeId="0" xr:uid="{00000000-0006-0000-1300-000001000000}">
      <text>
        <r>
          <rPr>
            <b/>
            <sz val="11"/>
            <color indexed="81"/>
            <rFont val="Tahoma"/>
            <family val="2"/>
          </rPr>
          <t xml:space="preserve">
Venda para outra indústria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D6" authorId="0" shapeId="0" xr:uid="{00000000-0006-0000-1300-000002000000}">
      <text>
        <r>
          <rPr>
            <b/>
            <sz val="11"/>
            <color indexed="81"/>
            <rFont val="Tahoma"/>
            <family val="2"/>
          </rPr>
          <t xml:space="preserve">
Venda para o consumidor final 
ou
 revendedor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B8" authorId="0" shapeId="0" xr:uid="{00000000-0006-0000-1300-000003000000}">
      <text>
        <r>
          <rPr>
            <b/>
            <sz val="11"/>
            <color indexed="81"/>
            <rFont val="Tahoma"/>
            <family val="2"/>
          </rPr>
          <t xml:space="preserve">
IMPOSTOS PROPORCIONAIS JÁ PAGOS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12" authorId="0" shapeId="0" xr:uid="{00000000-0006-0000-1300-000004000000}">
      <text>
        <r>
          <rPr>
            <b/>
            <sz val="14"/>
            <color indexed="81"/>
            <rFont val="Tahoma"/>
            <family val="2"/>
          </rPr>
          <t xml:space="preserve">LINK C/ ORÇAMENTO DE PRODUÇÃO
</t>
        </r>
      </text>
    </comment>
    <comment ref="A14" authorId="0" shapeId="0" xr:uid="{00000000-0006-0000-1300-000005000000}">
      <text>
        <r>
          <rPr>
            <b/>
            <sz val="14"/>
            <color indexed="81"/>
            <rFont val="Tahoma"/>
            <family val="2"/>
          </rPr>
          <t>LINK C/ ORÇAMENTO DE VENDAS</t>
        </r>
      </text>
    </comment>
    <comment ref="A16" authorId="0" shapeId="0" xr:uid="{00000000-0006-0000-1300-000006000000}">
      <text>
        <r>
          <rPr>
            <b/>
            <sz val="14"/>
            <color indexed="81"/>
            <rFont val="Tahoma"/>
            <family val="2"/>
          </rPr>
          <t>LINK C/ ORÇAMENTO DE PRODUÇÃO</t>
        </r>
      </text>
    </comment>
    <comment ref="A17" authorId="0" shapeId="0" xr:uid="{00000000-0006-0000-1300-000007000000}">
      <text>
        <r>
          <rPr>
            <b/>
            <sz val="14"/>
            <color indexed="81"/>
            <rFont val="Tahoma"/>
            <family val="2"/>
          </rPr>
          <t>LINK C/ ORÇAMENTOS DE VENDAS E ADMINISTRATIVO</t>
        </r>
      </text>
    </comment>
    <comment ref="A19" authorId="1" shapeId="0" xr:uid="{00000000-0006-0000-1300-000008000000}">
      <text>
        <r>
          <rPr>
            <b/>
            <sz val="9"/>
            <color indexed="81"/>
            <rFont val="Arial"/>
            <family val="2"/>
          </rPr>
          <t>Vilmar Rodrigues Moreira:</t>
        </r>
        <r>
          <rPr>
            <sz val="9"/>
            <color indexed="81"/>
            <rFont val="Arial"/>
            <family val="2"/>
          </rPr>
          <t xml:space="preserve">
Planilha SAC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REBRAE</author>
  </authors>
  <commentList>
    <comment ref="C7" authorId="0" shapeId="0" xr:uid="{00000000-0006-0000-1E00-000001000000}">
      <text>
        <r>
          <rPr>
            <sz val="9"/>
            <color indexed="81"/>
            <rFont val="Tahoma"/>
            <family val="2"/>
          </rPr>
          <t xml:space="preserve">
LINK COM O ano zero do Fluxo de Caixa
</t>
        </r>
      </text>
    </comment>
    <comment ref="C8" authorId="0" shapeId="0" xr:uid="{00000000-0006-0000-1E00-000002000000}">
      <text>
        <r>
          <rPr>
            <sz val="9"/>
            <color indexed="81"/>
            <rFont val="Tahoma"/>
            <family val="2"/>
          </rPr>
          <t xml:space="preserve">
Link com a Fonte de Financiamento</t>
        </r>
      </text>
    </comment>
  </commentList>
</comments>
</file>

<file path=xl/sharedStrings.xml><?xml version="1.0" encoding="utf-8"?>
<sst xmlns="http://schemas.openxmlformats.org/spreadsheetml/2006/main" count="716" uniqueCount="282">
  <si>
    <t>Amortização</t>
  </si>
  <si>
    <t>Juro</t>
  </si>
  <si>
    <t>ANO 1</t>
  </si>
  <si>
    <t>Prestação</t>
  </si>
  <si>
    <t>ANO 2</t>
  </si>
  <si>
    <t>ANO 3</t>
  </si>
  <si>
    <t>ANO 4</t>
  </si>
  <si>
    <t>ANO 5</t>
  </si>
  <si>
    <t>ANO 6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</si>
  <si>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</si>
  <si>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</si>
  <si>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</si>
  <si>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</si>
  <si>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</si>
  <si>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</si>
  <si>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</si>
  <si>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</si>
  <si>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</si>
  <si>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</si>
  <si>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</si>
  <si>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</si>
  <si>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</si>
  <si>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ANO 7</t>
  </si>
  <si>
    <t>ANO 8</t>
  </si>
  <si>
    <t>ANO 9</t>
  </si>
  <si>
    <t>ANO 10</t>
  </si>
  <si>
    <t>DEMONSTRATIVO DE RESULTADOS DO EXERCÍCIO SOB CUSTEIO DIRETO</t>
  </si>
  <si>
    <t>Faturamento Bruto</t>
  </si>
  <si>
    <t>Receita Líquida de Vendas</t>
  </si>
  <si>
    <t>(-) Custo Variável do Produto Vendido</t>
  </si>
  <si>
    <t>(=) Margem Bruta</t>
  </si>
  <si>
    <t>(-) Despesas Variáveis</t>
  </si>
  <si>
    <t>(=) Margem Líquida</t>
  </si>
  <si>
    <t>(-) Custos Fixos</t>
  </si>
  <si>
    <t>(-) Despesas Fixas (exclusive juros)</t>
  </si>
  <si>
    <t>(-) Despesas Fixas de Juros</t>
  </si>
  <si>
    <t>ANO 0</t>
  </si>
  <si>
    <t>TMA</t>
  </si>
  <si>
    <t>RETORNO</t>
  </si>
  <si>
    <t>Valor Presente</t>
  </si>
  <si>
    <t>Valor Presente Líquido</t>
  </si>
  <si>
    <t>Valor Presente Líquido Anualizado</t>
  </si>
  <si>
    <t>Índice Benefício/Custo</t>
  </si>
  <si>
    <t>Retorno Adicional Sobre Investimento (ROIA)</t>
  </si>
  <si>
    <t>RISCO</t>
  </si>
  <si>
    <t>Taxa Interna de Retorno</t>
  </si>
  <si>
    <t>Índice TMA/TIR</t>
  </si>
  <si>
    <t>Payback</t>
  </si>
  <si>
    <t>Índice Payback/N</t>
  </si>
  <si>
    <t>CALCULO DO PAY-BACK</t>
  </si>
  <si>
    <t>Valor Financiado</t>
  </si>
  <si>
    <t>Taxa de Juros anual</t>
  </si>
  <si>
    <t>Período</t>
  </si>
  <si>
    <t>Capital Recuperado</t>
  </si>
  <si>
    <t>Saldo            Devedor</t>
  </si>
  <si>
    <t>Cap. Recuperado</t>
  </si>
  <si>
    <t xml:space="preserve"> Fluxo de Caixa do Investidor</t>
  </si>
  <si>
    <t>Fluxo  de                             Caixa</t>
  </si>
  <si>
    <t>( + )</t>
  </si>
  <si>
    <t>( - )</t>
  </si>
  <si>
    <t>( = )</t>
  </si>
  <si>
    <t>(-) IPI  sobre o faturamento bruto (10%)</t>
  </si>
  <si>
    <t>Receita Operacional Bruta</t>
  </si>
  <si>
    <t xml:space="preserve"> (-) Impostos e contribuições sobre vendas</t>
  </si>
  <si>
    <t>(-) ICMS (18%)</t>
  </si>
  <si>
    <t>(-) PIS/COFINS (9,25%)</t>
  </si>
  <si>
    <t>(=) Resultado antes de Juros, IR e CSLL</t>
  </si>
  <si>
    <t>(=) Resultado antes  IR e CSLL</t>
  </si>
  <si>
    <t>(-) Imposto de Renda Pessoa Jurídica (15%)</t>
  </si>
  <si>
    <t>(-) Adicional de IR (10% sobre valores acima de R$ 20.000)</t>
  </si>
  <si>
    <t>(-) Contribuição Social sobre o Lucro (9%)</t>
  </si>
  <si>
    <t xml:space="preserve"> = Resultado Líquido do Exercício</t>
  </si>
  <si>
    <t>(-) ISSQN (5%)</t>
  </si>
  <si>
    <t xml:space="preserve">  (-) Impostos e contribuições sobre vendas</t>
  </si>
  <si>
    <t xml:space="preserve">  (-) PIS/COFINS (9,25%)</t>
  </si>
  <si>
    <t xml:space="preserve">  (=) Receita líquida de vendas</t>
  </si>
  <si>
    <t>(-) Custo do Serviço Prestado (CSP)</t>
  </si>
  <si>
    <t>(-) IPI (10%)</t>
  </si>
  <si>
    <t>Receita Bruta Operacional</t>
  </si>
  <si>
    <t>(-) PIS/COFINS (3,65%)</t>
  </si>
  <si>
    <t>Base de cálculo para IR (*)</t>
  </si>
  <si>
    <t>Base de cálculo para CSLL (**)</t>
  </si>
  <si>
    <t>(=) Resultado antes de Juros</t>
  </si>
  <si>
    <t>(=) Resultado líquido do exercício</t>
  </si>
  <si>
    <t xml:space="preserve">(*) 8% para indústria e comércio </t>
  </si>
  <si>
    <t>(**) 12% para indústria e comércio</t>
  </si>
  <si>
    <t>ANO1</t>
  </si>
  <si>
    <t>-</t>
  </si>
  <si>
    <t>Cálculo diário para o Bar</t>
  </si>
  <si>
    <t>De Quarta a Domingo</t>
  </si>
  <si>
    <t>happy hour</t>
  </si>
  <si>
    <t>final da noite</t>
  </si>
  <si>
    <t>Nº de mesas</t>
  </si>
  <si>
    <t>Nº  lugares à mesa</t>
  </si>
  <si>
    <t>Horas</t>
  </si>
  <si>
    <t>Tempo de permanência do Cliente no Bar</t>
  </si>
  <si>
    <t>Nº provável de mesas servidas</t>
  </si>
  <si>
    <t>Nº total de clientes</t>
  </si>
  <si>
    <r>
      <t xml:space="preserve">Probabilidade do Nº de clientes por mesa </t>
    </r>
    <r>
      <rPr>
        <sz val="7"/>
        <color indexed="10"/>
        <rFont val="Verdana"/>
        <family val="2"/>
      </rPr>
      <t>50%</t>
    </r>
  </si>
  <si>
    <t>Probabilidade do uso das mesas % (Freq. Por turno)</t>
  </si>
  <si>
    <t>Probabilidade de Nº de  Clientes</t>
  </si>
  <si>
    <t>Ano 1</t>
  </si>
  <si>
    <t>Ano 2</t>
  </si>
  <si>
    <t>Ano 3</t>
  </si>
  <si>
    <t>Ano 4</t>
  </si>
  <si>
    <t>Ano 5</t>
  </si>
  <si>
    <t>Cálculo Mensal</t>
  </si>
  <si>
    <t>Total Anual (Demanda)</t>
  </si>
  <si>
    <t>Capacidade total</t>
  </si>
  <si>
    <t>Capacidade Utilizada</t>
  </si>
  <si>
    <t>Ociosidade</t>
  </si>
  <si>
    <t>Previsão diária</t>
  </si>
  <si>
    <t>Seg</t>
  </si>
  <si>
    <t>Ter</t>
  </si>
  <si>
    <t>Qua</t>
  </si>
  <si>
    <t>Qui</t>
  </si>
  <si>
    <t>Sex</t>
  </si>
  <si>
    <t>Sábado</t>
  </si>
  <si>
    <t>Domingo</t>
  </si>
  <si>
    <t>Total Semanal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</si>
  <si>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</si>
  <si>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</si>
  <si>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</si>
  <si>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</si>
  <si>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</si>
  <si>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</si>
  <si>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</si>
  <si>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</si>
  <si>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</si>
  <si>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</si>
  <si>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</si>
  <si>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</si>
  <si>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Nº Clientes</t>
  </si>
  <si>
    <t>Nº Clientes Total</t>
  </si>
  <si>
    <t>Grupo</t>
  </si>
  <si>
    <t>Fórmula</t>
  </si>
  <si>
    <t>Análise da Demanda de Alimentos</t>
  </si>
  <si>
    <t>proporção</t>
  </si>
  <si>
    <t>valor por grama</t>
  </si>
  <si>
    <t>x</t>
  </si>
  <si>
    <t>Pratos</t>
  </si>
  <si>
    <t>fórmula em gramas</t>
  </si>
  <si>
    <t>rendimento (g)</t>
  </si>
  <si>
    <t>Fornc 1</t>
  </si>
  <si>
    <t>Fornc 2</t>
  </si>
  <si>
    <t>Fornc 3</t>
  </si>
  <si>
    <t>custo médio</t>
  </si>
  <si>
    <t>total custos anual</t>
  </si>
  <si>
    <t>preço de venda</t>
  </si>
  <si>
    <t>lucro bruto</t>
  </si>
  <si>
    <t>Panqueca vegana</t>
  </si>
  <si>
    <t xml:space="preserve"> </t>
  </si>
  <si>
    <t>aveia em flocos finos</t>
  </si>
  <si>
    <t>água</t>
  </si>
  <si>
    <t>farinha de trigo Integral orgânica</t>
  </si>
  <si>
    <t>azeite</t>
  </si>
  <si>
    <t>vinagre orgânico maçã</t>
  </si>
  <si>
    <t>cenoura</t>
  </si>
  <si>
    <t>chuchu</t>
  </si>
  <si>
    <t>vagem</t>
  </si>
  <si>
    <t>milho</t>
  </si>
  <si>
    <t>cebola</t>
  </si>
  <si>
    <t>cebolinha</t>
  </si>
  <si>
    <t>salsinha</t>
  </si>
  <si>
    <t>sal</t>
  </si>
  <si>
    <t>Purê de abóbora Cabotiá</t>
  </si>
  <si>
    <t>abóbora Cabotiá</t>
  </si>
  <si>
    <t>leite de coco orgânico</t>
  </si>
  <si>
    <t>pimenta-do-reino preta</t>
  </si>
  <si>
    <t>alho</t>
  </si>
  <si>
    <t>alho-poró</t>
  </si>
  <si>
    <t>Flor de sal</t>
  </si>
  <si>
    <t>lasanha de berinjela e abobrinha light</t>
  </si>
  <si>
    <t>berinjela</t>
  </si>
  <si>
    <t>abobrinha</t>
  </si>
  <si>
    <t>tomate</t>
  </si>
  <si>
    <t>alho picado</t>
  </si>
  <si>
    <t>pimenta do reino</t>
  </si>
  <si>
    <t>castanhas de caju cruas</t>
  </si>
  <si>
    <t>noz moscada ralada</t>
  </si>
  <si>
    <t>amido de milho sem glúten</t>
  </si>
  <si>
    <t>strogonoff de proteína de soja</t>
  </si>
  <si>
    <t>cebola picada</t>
  </si>
  <si>
    <t>proteína texturizada de soja grossa</t>
  </si>
  <si>
    <t>vinagre orgânico maça</t>
  </si>
  <si>
    <t>champignon picado</t>
  </si>
  <si>
    <t>mostarda amarela</t>
  </si>
  <si>
    <t>Leite de aveia</t>
  </si>
  <si>
    <t>Cebolinha picada</t>
  </si>
  <si>
    <t>Azeite</t>
  </si>
  <si>
    <t>moqueca de banana da terra</t>
  </si>
  <si>
    <t>banana da terra madura</t>
  </si>
  <si>
    <t>limão</t>
  </si>
  <si>
    <t>Sal marinho</t>
  </si>
  <si>
    <t>tomate picados</t>
  </si>
  <si>
    <t>azeite de dendê</t>
  </si>
  <si>
    <t>Leite de coco orgânico</t>
  </si>
  <si>
    <t>Coentro</t>
  </si>
  <si>
    <t>pimentão em rodela</t>
  </si>
  <si>
    <t>Pimenta do reino</t>
  </si>
  <si>
    <t>Talharim ao molho pesto</t>
  </si>
  <si>
    <t>farinha integral</t>
  </si>
  <si>
    <t>tomate seco</t>
  </si>
  <si>
    <t>nozes picada</t>
  </si>
  <si>
    <t>manjericão</t>
  </si>
  <si>
    <t>arroz integral com gergelim e castanhas</t>
  </si>
  <si>
    <t>Arroz integral</t>
  </si>
  <si>
    <t>Gergelim descascado</t>
  </si>
  <si>
    <t>Castanha-do-Pará picada</t>
  </si>
  <si>
    <t>molho shoyu</t>
  </si>
  <si>
    <t>Castanha de caju</t>
  </si>
  <si>
    <t>escondidinho de brócolis e palmito</t>
  </si>
  <si>
    <t>aipim</t>
  </si>
  <si>
    <t>brócolis americano</t>
  </si>
  <si>
    <t>Palmito picado</t>
  </si>
  <si>
    <t>tomilho</t>
  </si>
  <si>
    <t>chilli vegano</t>
  </si>
  <si>
    <t>tomate sem pele</t>
  </si>
  <si>
    <t>coentro</t>
  </si>
  <si>
    <t>feijão vermelho</t>
  </si>
  <si>
    <t>folhas de louro</t>
  </si>
  <si>
    <t>pimentão verde picado</t>
  </si>
  <si>
    <t>soja desidratada</t>
  </si>
  <si>
    <t>pimenta chilli em pó</t>
  </si>
  <si>
    <t>pimenta dedo de moça picada</t>
  </si>
  <si>
    <t>hamburguer de lentilha</t>
  </si>
  <si>
    <t>lentilha</t>
  </si>
  <si>
    <t>cebolinha picada</t>
  </si>
  <si>
    <t>salsinha picada</t>
  </si>
  <si>
    <t>Cominho</t>
  </si>
  <si>
    <t>farinha de trigo integral orgânica</t>
  </si>
  <si>
    <t>Ravioli de queijo e amêndoas ao molho de tomate e ervilhas</t>
  </si>
  <si>
    <t>tomate italiano sem pele</t>
  </si>
  <si>
    <t>óregano</t>
  </si>
  <si>
    <t>Castanha do pará ralada</t>
  </si>
  <si>
    <t>queijo vegetal natural</t>
  </si>
  <si>
    <t>ervilhas</t>
  </si>
  <si>
    <t>feijoada vegana</t>
  </si>
  <si>
    <t>cenoura orgânica</t>
  </si>
  <si>
    <t>batata orgânica</t>
  </si>
  <si>
    <t>pimentão vermelho</t>
  </si>
  <si>
    <t>azeitona</t>
  </si>
  <si>
    <t>tofu firme</t>
  </si>
  <si>
    <t>páprica</t>
  </si>
  <si>
    <t>cominho em pó</t>
  </si>
  <si>
    <t>arroz integral</t>
  </si>
  <si>
    <t>arroz integral no açafrão</t>
  </si>
  <si>
    <t>açafrão</t>
  </si>
  <si>
    <t>massa penne ao alho e óleo</t>
  </si>
  <si>
    <t>Penne de Arroz</t>
  </si>
  <si>
    <t>INVESTIMENTO TOTAL</t>
  </si>
  <si>
    <t>Entradas</t>
  </si>
  <si>
    <t>Resultado</t>
  </si>
  <si>
    <t>CR Acumulado</t>
  </si>
  <si>
    <t>CR - Capital Recuperado</t>
  </si>
  <si>
    <t>payback</t>
  </si>
  <si>
    <t>Saídas (Total)</t>
  </si>
  <si>
    <t>Saídas (MKT)</t>
  </si>
  <si>
    <t>Saídas (OPERAÇÔES)</t>
  </si>
  <si>
    <t>Saídas (ADMINISTRAÇÂO)</t>
  </si>
  <si>
    <t>Fluxo de Caixa</t>
  </si>
  <si>
    <t>Investimento em Ativo Fixo</t>
  </si>
  <si>
    <t>Investimento em Capital de Giro</t>
  </si>
  <si>
    <t>Despesas Pré-operacionais</t>
  </si>
  <si>
    <t>Valor Total do Projeto</t>
  </si>
  <si>
    <t xml:space="preserve">Valor Financiado         </t>
  </si>
  <si>
    <t>Capital próprio</t>
  </si>
  <si>
    <t xml:space="preserve">Valor Residual Estimado      </t>
  </si>
  <si>
    <t>Risco de Gestão</t>
  </si>
  <si>
    <t>Risco do Negócio</t>
  </si>
  <si>
    <t>Taxa de Juros de Longo Prazo (TJLP)</t>
  </si>
  <si>
    <t>= (-) Amortização + Juros</t>
  </si>
  <si>
    <t>= (-) Investimento</t>
  </si>
  <si>
    <t>= Fluxo de Caixa</t>
  </si>
  <si>
    <t>Taxa Mínima de Atratividade (TMA) - ao ano</t>
  </si>
  <si>
    <t>Período do Financiamento em anos</t>
  </si>
  <si>
    <t>Período de Carência em anos</t>
  </si>
  <si>
    <t>Amortização Constante (SAC)</t>
  </si>
  <si>
    <t>Juros (sobre saldo devedor)</t>
  </si>
  <si>
    <t>Saldo Devedor</t>
  </si>
  <si>
    <t>= Fluxo de Caixa do Investidor</t>
  </si>
  <si>
    <t>Pagamento (Amortização + Juros)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</si>
</sst>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164" formatCode="_(* #,##0.00_);_(* \(#,##0.00\);_(* &quot;-&quot;??_);_(@_)"/>
    <numFmt numFmtId="165" formatCode="0.0%"/>
    <numFmt numFmtId="166" formatCode="0.000"/>
    <numFmt numFmtId="167" formatCode="_(* #,##0_);_(* \(#,##0\);_(* &quot;-&quot;??_);_(@_)"/>
    <numFmt numFmtId="168" formatCode="&quot;R$&quot;\ #,##0.00"/>
    <numFmt numFmtId="169" formatCode="#,##0.000"/>
    <numFmt numFmtId="170" formatCode="_(* #,##0.0_);_(* \(#,##0.0\);_(* &quot;-&quot;??_);_(@_)"/>
    <numFmt numFmtId="171" formatCode="0.0"/>
    <numFmt numFmtId="172" formatCode="#,##0.0000"/>
    <numFmt numFmtId="173" formatCode="_(&quot;R$ &quot;* #,##0.00_);_(&quot;R$ &quot;* \(#,##0.00\);_(&quot;R$ &quot;* &quot;-&quot;??_);_(@_)"/>
    <numFmt numFmtId="174" formatCode="&quot;R$&quot;#,##0.00"/>
  </numFmts>
  <fonts count="28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1"/>
      <name val="Arial Narrow"/>
      <family val="2"/>
    </font>
    <font>
      <sz val="8"/>
      <name val="Arial"/>
      <family val="2"/>
    </font>
    <font>
      <sz val="12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i/>
      <sz val="16"/>
      <name val="Arial Narrow"/>
      <family val="2"/>
    </font>
    <font>
      <b/>
      <i/>
      <sz val="14"/>
      <name val="Arial Narrow"/>
      <family val="2"/>
    </font>
    <font>
      <i/>
      <sz val="11"/>
      <name val="Arial Narrow"/>
      <family val="2"/>
    </font>
    <font>
      <sz val="9"/>
      <color indexed="81"/>
      <name val="Tahoma"/>
      <family val="2"/>
    </font>
    <font>
      <b/>
      <sz val="14"/>
      <color indexed="81"/>
      <name val="Tahoma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sz val="7"/>
      <color indexed="10"/>
      <name val="Verdana"/>
      <family val="2"/>
    </font>
    <font>
      <sz val="7"/>
      <name val="Verdana"/>
      <family val="2"/>
    </font>
    <font>
      <b/>
      <sz val="7"/>
      <name val="Verdana"/>
      <family val="2"/>
    </font>
    <font>
      <b/>
      <sz val="10"/>
      <color indexed="10"/>
      <name val="Verdana"/>
      <family val="2"/>
    </font>
    <font>
      <sz val="9"/>
      <color indexed="10"/>
      <name val="Verdana"/>
      <family val="2"/>
    </font>
    <font>
      <sz val="9"/>
      <color rgb="FFFF0000"/>
      <name val="Verdana"/>
      <family val="2"/>
    </font>
    <font>
      <b/>
      <sz val="18"/>
      <name val="Arial Narrow"/>
      <family val="2"/>
    </font>
    <font>
      <i/>
      <sz val="12"/>
      <name val="Arial"/>
      <family val="2"/>
    </font>
    <font>
      <sz val="8"/>
      <name val="Calibri"/>
      <family val="2"/>
    </font>
    <font>
      <b/>
      <sz val="8"/>
      <name val="Calibri"/>
      <family val="2"/>
    </font>
    <font>
      <b/>
      <i/>
      <sz val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</cellStyleXfs>
  <cellXfs count="235">
    <xf numFmtId="0" fontId="0" fillId="0" borderId="0" xfId="0"/>
    <xf numFmtId="0" fontId="5" fillId="2" borderId="0" xfId="0" applyFont="1" applyFill="1"/>
    <xf numFmtId="3" fontId="3" fillId="2" borderId="0" xfId="0" applyNumberFormat="1" applyFont="1" applyFill="1" applyAlignment="1">
      <alignment horizontal="right"/>
    </xf>
    <xf numFmtId="167" fontId="3" fillId="2" borderId="0" xfId="5" applyNumberFormat="1" applyFont="1" applyFill="1" applyBorder="1"/>
    <xf numFmtId="3" fontId="3" fillId="5" borderId="0" xfId="0" applyNumberFormat="1" applyFont="1" applyFill="1" applyBorder="1"/>
    <xf numFmtId="3" fontId="3" fillId="5" borderId="0" xfId="0" applyNumberFormat="1" applyFont="1" applyFill="1" applyBorder="1" applyAlignment="1">
      <alignment horizontal="right"/>
    </xf>
    <xf numFmtId="3" fontId="4" fillId="2" borderId="0" xfId="0" applyNumberFormat="1" applyFont="1" applyFill="1"/>
    <xf numFmtId="167" fontId="11" fillId="4" borderId="0" xfId="5" applyNumberFormat="1" applyFont="1" applyFill="1"/>
    <xf numFmtId="167" fontId="3" fillId="2" borderId="0" xfId="5" applyNumberFormat="1" applyFont="1" applyFill="1"/>
    <xf numFmtId="3" fontId="3" fillId="2" borderId="1" xfId="0" applyNumberFormat="1" applyFont="1" applyFill="1" applyBorder="1" applyAlignment="1">
      <alignment horizontal="right"/>
    </xf>
    <xf numFmtId="167" fontId="3" fillId="2" borderId="1" xfId="5" applyNumberFormat="1" applyFont="1" applyFill="1" applyBorder="1" applyAlignment="1">
      <alignment horizontal="left"/>
    </xf>
    <xf numFmtId="167" fontId="3" fillId="2" borderId="1" xfId="5" applyNumberFormat="1" applyFont="1" applyFill="1" applyBorder="1"/>
    <xf numFmtId="167" fontId="3" fillId="2" borderId="0" xfId="5" applyNumberFormat="1" applyFont="1" applyFill="1" applyBorder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3" fillId="6" borderId="0" xfId="0" applyFont="1" applyFill="1"/>
    <xf numFmtId="3" fontId="3" fillId="6" borderId="0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3" fontId="3" fillId="2" borderId="0" xfId="0" applyNumberFormat="1" applyFont="1" applyFill="1"/>
    <xf numFmtId="165" fontId="3" fillId="5" borderId="0" xfId="3" applyNumberFormat="1" applyFont="1" applyFill="1" applyBorder="1" applyAlignment="1">
      <alignment horizontal="right"/>
    </xf>
    <xf numFmtId="0" fontId="0" fillId="6" borderId="0" xfId="0" applyFill="1" applyBorder="1"/>
    <xf numFmtId="0" fontId="9" fillId="6" borderId="0" xfId="0" applyFont="1" applyFill="1" applyBorder="1"/>
    <xf numFmtId="0" fontId="0" fillId="6" borderId="0" xfId="0" applyFill="1"/>
    <xf numFmtId="0" fontId="10" fillId="2" borderId="0" xfId="0" applyFont="1" applyFill="1"/>
    <xf numFmtId="3" fontId="3" fillId="7" borderId="11" xfId="0" applyNumberFormat="1" applyFont="1" applyFill="1" applyBorder="1" applyAlignment="1" applyProtection="1">
      <alignment horizontal="right"/>
    </xf>
    <xf numFmtId="3" fontId="12" fillId="7" borderId="11" xfId="0" applyNumberFormat="1" applyFont="1" applyFill="1" applyBorder="1" applyAlignment="1" applyProtection="1">
      <alignment horizontal="right"/>
    </xf>
    <xf numFmtId="167" fontId="3" fillId="5" borderId="0" xfId="5" applyNumberFormat="1" applyFont="1" applyFill="1" applyBorder="1"/>
    <xf numFmtId="167" fontId="3" fillId="3" borderId="0" xfId="5" applyNumberFormat="1" applyFont="1" applyFill="1" applyBorder="1"/>
    <xf numFmtId="4" fontId="3" fillId="5" borderId="0" xfId="0" applyNumberFormat="1" applyFont="1" applyFill="1" applyBorder="1"/>
    <xf numFmtId="167" fontId="3" fillId="3" borderId="8" xfId="5" applyNumberFormat="1" applyFont="1" applyFill="1" applyBorder="1"/>
    <xf numFmtId="9" fontId="3" fillId="2" borderId="0" xfId="3" applyFont="1" applyFill="1"/>
    <xf numFmtId="0" fontId="8" fillId="6" borderId="0" xfId="1" applyFill="1" applyBorder="1" applyAlignment="1" applyProtection="1"/>
    <xf numFmtId="0" fontId="0" fillId="5" borderId="0" xfId="0" applyFill="1" applyBorder="1"/>
    <xf numFmtId="3" fontId="5" fillId="2" borderId="0" xfId="0" applyNumberFormat="1" applyFont="1" applyFill="1"/>
    <xf numFmtId="0" fontId="17" fillId="0" borderId="2" xfId="7" applyFont="1" applyBorder="1" applyAlignment="1">
      <alignment vertical="center"/>
    </xf>
    <xf numFmtId="0" fontId="18" fillId="0" borderId="5" xfId="7" applyFont="1" applyBorder="1" applyAlignment="1">
      <alignment horizontal="center" vertical="center"/>
    </xf>
    <xf numFmtId="170" fontId="18" fillId="0" borderId="5" xfId="7" applyNumberFormat="1" applyFont="1" applyBorder="1" applyAlignment="1">
      <alignment horizontal="center" vertical="center"/>
    </xf>
    <xf numFmtId="0" fontId="18" fillId="0" borderId="6" xfId="7" applyFont="1" applyBorder="1" applyAlignment="1">
      <alignment horizontal="center" vertical="center"/>
    </xf>
    <xf numFmtId="0" fontId="18" fillId="0" borderId="0" xfId="7" applyFont="1" applyBorder="1" applyAlignment="1">
      <alignment horizontal="center" vertical="center"/>
    </xf>
    <xf numFmtId="0" fontId="18" fillId="0" borderId="0" xfId="7" applyFont="1" applyAlignment="1">
      <alignment horizontal="center" vertical="center"/>
    </xf>
    <xf numFmtId="20" fontId="18" fillId="0" borderId="0" xfId="7" applyNumberFormat="1" applyFont="1" applyAlignment="1">
      <alignment horizontal="center" vertical="center"/>
    </xf>
    <xf numFmtId="0" fontId="18" fillId="0" borderId="14" xfId="7" applyFont="1" applyBorder="1" applyAlignment="1">
      <alignment horizontal="center" vertical="center"/>
    </xf>
    <xf numFmtId="170" fontId="18" fillId="0" borderId="14" xfId="7" applyNumberFormat="1" applyFont="1" applyBorder="1" applyAlignment="1">
      <alignment horizontal="center" vertical="center"/>
    </xf>
    <xf numFmtId="0" fontId="18" fillId="0" borderId="14" xfId="7" applyFont="1" applyBorder="1" applyAlignment="1">
      <alignment horizontal="left" vertical="center"/>
    </xf>
    <xf numFmtId="0" fontId="17" fillId="0" borderId="14" xfId="7" applyFont="1" applyBorder="1" applyAlignment="1">
      <alignment horizontal="center" vertical="center"/>
    </xf>
    <xf numFmtId="170" fontId="17" fillId="0" borderId="14" xfId="7" applyNumberFormat="1" applyFont="1" applyBorder="1" applyAlignment="1">
      <alignment horizontal="center" vertical="center"/>
    </xf>
    <xf numFmtId="9" fontId="18" fillId="0" borderId="0" xfId="7" applyNumberFormat="1" applyFont="1" applyAlignment="1">
      <alignment horizontal="center" vertical="center"/>
    </xf>
    <xf numFmtId="2" fontId="18" fillId="0" borderId="14" xfId="7" applyNumberFormat="1" applyFont="1" applyBorder="1" applyAlignment="1">
      <alignment horizontal="center" vertical="center"/>
    </xf>
    <xf numFmtId="1" fontId="18" fillId="0" borderId="14" xfId="7" applyNumberFormat="1" applyFont="1" applyBorder="1" applyAlignment="1">
      <alignment horizontal="center" vertical="center"/>
    </xf>
    <xf numFmtId="9" fontId="17" fillId="0" borderId="14" xfId="7" applyNumberFormat="1" applyFont="1" applyBorder="1" applyAlignment="1">
      <alignment horizontal="center" vertical="center"/>
    </xf>
    <xf numFmtId="0" fontId="18" fillId="0" borderId="14" xfId="7" applyFont="1" applyBorder="1" applyAlignment="1">
      <alignment vertical="center"/>
    </xf>
    <xf numFmtId="167" fontId="18" fillId="0" borderId="14" xfId="5" applyNumberFormat="1" applyFont="1" applyBorder="1" applyAlignment="1">
      <alignment horizontal="center" vertical="center"/>
    </xf>
    <xf numFmtId="170" fontId="18" fillId="0" borderId="14" xfId="5" applyNumberFormat="1" applyFont="1" applyBorder="1" applyAlignment="1">
      <alignment horizontal="center" vertical="center"/>
    </xf>
    <xf numFmtId="0" fontId="18" fillId="0" borderId="0" xfId="7" applyFont="1" applyAlignment="1">
      <alignment vertical="center"/>
    </xf>
    <xf numFmtId="0" fontId="19" fillId="0" borderId="0" xfId="7" applyFont="1" applyAlignment="1">
      <alignment horizontal="center" vertical="center"/>
    </xf>
    <xf numFmtId="0" fontId="18" fillId="0" borderId="0" xfId="7" applyFont="1" applyFill="1" applyAlignment="1">
      <alignment vertical="center"/>
    </xf>
    <xf numFmtId="0" fontId="18" fillId="0" borderId="0" xfId="7" applyFont="1" applyAlignment="1">
      <alignment horizontal="center" vertical="center" wrapText="1"/>
    </xf>
    <xf numFmtId="0" fontId="18" fillId="0" borderId="14" xfId="7" applyFont="1" applyBorder="1" applyAlignment="1">
      <alignment horizontal="left" vertical="center" wrapText="1"/>
    </xf>
    <xf numFmtId="0" fontId="18" fillId="0" borderId="14" xfId="7" applyFont="1" applyBorder="1" applyAlignment="1">
      <alignment horizontal="center" vertical="center" wrapText="1"/>
    </xf>
    <xf numFmtId="0" fontId="18" fillId="0" borderId="14" xfId="7" applyFont="1" applyFill="1" applyBorder="1" applyAlignment="1">
      <alignment horizontal="center" vertical="center" wrapText="1"/>
    </xf>
    <xf numFmtId="0" fontId="18" fillId="0" borderId="0" xfId="7" applyFont="1" applyFill="1" applyAlignment="1">
      <alignment horizontal="center" vertical="center" wrapText="1"/>
    </xf>
    <xf numFmtId="0" fontId="19" fillId="0" borderId="14" xfId="7" applyFont="1" applyBorder="1" applyAlignment="1">
      <alignment horizontal="center" vertical="center" wrapText="1"/>
    </xf>
    <xf numFmtId="9" fontId="17" fillId="0" borderId="14" xfId="5" applyNumberFormat="1" applyFont="1" applyBorder="1" applyAlignment="1">
      <alignment horizontal="center" vertical="center"/>
    </xf>
    <xf numFmtId="164" fontId="19" fillId="0" borderId="14" xfId="5" applyFont="1" applyBorder="1" applyAlignment="1">
      <alignment horizontal="center" vertical="center"/>
    </xf>
    <xf numFmtId="164" fontId="18" fillId="0" borderId="14" xfId="5" applyFont="1" applyBorder="1" applyAlignment="1">
      <alignment horizontal="center" vertical="center"/>
    </xf>
    <xf numFmtId="167" fontId="18" fillId="0" borderId="14" xfId="7" applyNumberFormat="1" applyFont="1" applyFill="1" applyBorder="1" applyAlignment="1">
      <alignment horizontal="center" vertical="center"/>
    </xf>
    <xf numFmtId="170" fontId="18" fillId="0" borderId="14" xfId="7" applyNumberFormat="1" applyFont="1" applyFill="1" applyBorder="1" applyAlignment="1">
      <alignment horizontal="center" vertical="center"/>
    </xf>
    <xf numFmtId="167" fontId="18" fillId="0" borderId="14" xfId="7" applyNumberFormat="1" applyFont="1" applyBorder="1" applyAlignment="1">
      <alignment horizontal="center" vertical="center"/>
    </xf>
    <xf numFmtId="171" fontId="18" fillId="0" borderId="14" xfId="7" applyNumberFormat="1" applyFont="1" applyBorder="1" applyAlignment="1">
      <alignment horizontal="center" vertical="center"/>
    </xf>
    <xf numFmtId="0" fontId="18" fillId="0" borderId="14" xfId="7" applyFont="1" applyFill="1" applyBorder="1" applyAlignment="1">
      <alignment horizontal="center" vertical="center"/>
    </xf>
    <xf numFmtId="0" fontId="19" fillId="0" borderId="14" xfId="7" applyFont="1" applyBorder="1" applyAlignment="1">
      <alignment horizontal="center" vertical="center"/>
    </xf>
    <xf numFmtId="9" fontId="18" fillId="0" borderId="14" xfId="3" applyFont="1" applyBorder="1" applyAlignment="1">
      <alignment horizontal="center" vertical="center"/>
    </xf>
    <xf numFmtId="9" fontId="18" fillId="0" borderId="0" xfId="7" applyNumberFormat="1" applyFont="1" applyAlignment="1">
      <alignment vertical="center"/>
    </xf>
    <xf numFmtId="0" fontId="18" fillId="0" borderId="0" xfId="7" applyFont="1" applyBorder="1" applyAlignment="1">
      <alignment horizontal="left" vertical="center"/>
    </xf>
    <xf numFmtId="167" fontId="18" fillId="0" borderId="0" xfId="7" applyNumberFormat="1" applyFont="1" applyFill="1" applyBorder="1" applyAlignment="1">
      <alignment horizontal="center" vertical="center"/>
    </xf>
    <xf numFmtId="170" fontId="18" fillId="0" borderId="0" xfId="7" applyNumberFormat="1" applyFont="1" applyFill="1" applyBorder="1" applyAlignment="1">
      <alignment horizontal="center" vertical="center"/>
    </xf>
    <xf numFmtId="167" fontId="18" fillId="0" borderId="0" xfId="7" applyNumberFormat="1" applyFont="1" applyBorder="1" applyAlignment="1">
      <alignment horizontal="center" vertical="center"/>
    </xf>
    <xf numFmtId="171" fontId="18" fillId="0" borderId="0" xfId="7" applyNumberFormat="1" applyFont="1" applyBorder="1" applyAlignment="1">
      <alignment horizontal="center" vertical="center"/>
    </xf>
    <xf numFmtId="0" fontId="18" fillId="0" borderId="0" xfId="7" applyFont="1" applyFill="1" applyBorder="1" applyAlignment="1">
      <alignment horizontal="center" vertical="center"/>
    </xf>
    <xf numFmtId="0" fontId="19" fillId="0" borderId="0" xfId="7" applyFont="1" applyBorder="1" applyAlignment="1">
      <alignment horizontal="center" vertical="center"/>
    </xf>
    <xf numFmtId="9" fontId="18" fillId="0" borderId="0" xfId="3" applyFont="1" applyBorder="1" applyAlignment="1">
      <alignment horizontal="center" vertical="center"/>
    </xf>
    <xf numFmtId="0" fontId="5" fillId="0" borderId="0" xfId="7" applyFont="1" applyBorder="1" applyAlignment="1">
      <alignment horizontal="left" vertical="center"/>
    </xf>
    <xf numFmtId="0" fontId="18" fillId="4" borderId="0" xfId="7" applyFont="1" applyFill="1" applyAlignment="1">
      <alignment horizontal="center" vertical="center"/>
    </xf>
    <xf numFmtId="170" fontId="18" fillId="4" borderId="0" xfId="7" applyNumberFormat="1" applyFont="1" applyFill="1" applyAlignment="1">
      <alignment horizontal="center" vertical="center"/>
    </xf>
    <xf numFmtId="1" fontId="18" fillId="4" borderId="0" xfId="7" applyNumberFormat="1" applyFont="1" applyFill="1" applyAlignment="1">
      <alignment horizontal="center" vertical="center"/>
    </xf>
    <xf numFmtId="0" fontId="19" fillId="4" borderId="0" xfId="7" applyFont="1" applyFill="1" applyAlignment="1">
      <alignment horizontal="center" vertical="center"/>
    </xf>
    <xf numFmtId="9" fontId="17" fillId="4" borderId="0" xfId="7" applyNumberFormat="1" applyFont="1" applyFill="1" applyAlignment="1">
      <alignment horizontal="center" vertical="center"/>
    </xf>
    <xf numFmtId="0" fontId="17" fillId="4" borderId="0" xfId="7" applyFont="1" applyFill="1" applyAlignment="1">
      <alignment horizontal="center" vertical="center"/>
    </xf>
    <xf numFmtId="0" fontId="18" fillId="4" borderId="0" xfId="7" applyFont="1" applyFill="1" applyAlignment="1">
      <alignment vertical="center"/>
    </xf>
    <xf numFmtId="172" fontId="18" fillId="4" borderId="14" xfId="7" applyNumberFormat="1" applyFont="1" applyFill="1" applyBorder="1"/>
    <xf numFmtId="0" fontId="18" fillId="4" borderId="14" xfId="7" applyFont="1" applyFill="1" applyBorder="1"/>
    <xf numFmtId="0" fontId="17" fillId="4" borderId="14" xfId="7" applyFont="1" applyFill="1" applyBorder="1" applyAlignment="1">
      <alignment horizontal="center"/>
    </xf>
    <xf numFmtId="168" fontId="18" fillId="4" borderId="14" xfId="7" applyNumberFormat="1" applyFont="1" applyFill="1" applyBorder="1"/>
    <xf numFmtId="173" fontId="18" fillId="4" borderId="14" xfId="8" applyFont="1" applyFill="1" applyBorder="1"/>
    <xf numFmtId="0" fontId="21" fillId="4" borderId="0" xfId="7" applyFont="1" applyFill="1" applyAlignment="1">
      <alignment horizontal="left" vertical="center" indent="3"/>
    </xf>
    <xf numFmtId="165" fontId="17" fillId="4" borderId="0" xfId="7" applyNumberFormat="1" applyFont="1" applyFill="1" applyAlignment="1">
      <alignment horizontal="center" vertical="center"/>
    </xf>
    <xf numFmtId="168" fontId="17" fillId="4" borderId="0" xfId="7" applyNumberFormat="1" applyFont="1" applyFill="1" applyAlignment="1">
      <alignment horizontal="center" vertical="center"/>
    </xf>
    <xf numFmtId="168" fontId="18" fillId="4" borderId="0" xfId="7" applyNumberFormat="1" applyFont="1" applyFill="1" applyAlignment="1">
      <alignment vertical="center"/>
    </xf>
    <xf numFmtId="1" fontId="19" fillId="4" borderId="0" xfId="7" applyNumberFormat="1" applyFont="1" applyFill="1" applyAlignment="1">
      <alignment horizontal="center" vertical="center"/>
    </xf>
    <xf numFmtId="169" fontId="18" fillId="4" borderId="14" xfId="7" applyNumberFormat="1" applyFont="1" applyFill="1" applyBorder="1"/>
    <xf numFmtId="166" fontId="18" fillId="4" borderId="14" xfId="7" applyNumberFormat="1" applyFont="1" applyFill="1" applyBorder="1"/>
    <xf numFmtId="0" fontId="17" fillId="0" borderId="0" xfId="7" applyFont="1" applyAlignment="1">
      <alignment horizontal="left" vertical="center" indent="5"/>
    </xf>
    <xf numFmtId="9" fontId="17" fillId="0" borderId="0" xfId="7" applyNumberFormat="1" applyFont="1" applyAlignment="1">
      <alignment horizontal="center" vertical="center"/>
    </xf>
    <xf numFmtId="170" fontId="18" fillId="0" borderId="0" xfId="7" applyNumberFormat="1" applyFont="1" applyAlignment="1">
      <alignment horizontal="center" vertical="center"/>
    </xf>
    <xf numFmtId="168" fontId="17" fillId="0" borderId="0" xfId="7" applyNumberFormat="1" applyFont="1" applyAlignment="1">
      <alignment horizontal="center" vertical="center"/>
    </xf>
    <xf numFmtId="168" fontId="18" fillId="0" borderId="0" xfId="7" applyNumberFormat="1" applyFont="1" applyAlignment="1">
      <alignment horizontal="center" vertical="center"/>
    </xf>
    <xf numFmtId="1" fontId="18" fillId="0" borderId="0" xfId="7" applyNumberFormat="1" applyFont="1" applyAlignment="1">
      <alignment horizontal="center" vertical="center"/>
    </xf>
    <xf numFmtId="1" fontId="19" fillId="2" borderId="0" xfId="7" applyNumberFormat="1" applyFont="1" applyFill="1" applyAlignment="1">
      <alignment horizontal="center" vertical="center"/>
    </xf>
    <xf numFmtId="169" fontId="18" fillId="2" borderId="14" xfId="7" applyNumberFormat="1" applyFont="1" applyFill="1" applyBorder="1"/>
    <xf numFmtId="166" fontId="18" fillId="2" borderId="14" xfId="7" applyNumberFormat="1" applyFont="1" applyFill="1" applyBorder="1"/>
    <xf numFmtId="0" fontId="17" fillId="2" borderId="14" xfId="7" applyFont="1" applyFill="1" applyBorder="1" applyAlignment="1">
      <alignment horizontal="center"/>
    </xf>
    <xf numFmtId="168" fontId="18" fillId="2" borderId="14" xfId="7" applyNumberFormat="1" applyFont="1" applyFill="1" applyBorder="1"/>
    <xf numFmtId="173" fontId="18" fillId="3" borderId="14" xfId="8" applyFont="1" applyFill="1" applyBorder="1"/>
    <xf numFmtId="168" fontId="17" fillId="0" borderId="0" xfId="7" applyNumberFormat="1" applyFont="1" applyFill="1" applyAlignment="1">
      <alignment horizontal="center" vertical="center"/>
    </xf>
    <xf numFmtId="0" fontId="18" fillId="0" borderId="0" xfId="7" applyFont="1" applyAlignment="1">
      <alignment horizontal="left" vertical="center" indent="5"/>
    </xf>
    <xf numFmtId="165" fontId="18" fillId="0" borderId="0" xfId="7" applyNumberFormat="1" applyFont="1" applyAlignment="1">
      <alignment horizontal="center" vertical="center"/>
    </xf>
    <xf numFmtId="0" fontId="18" fillId="2" borderId="14" xfId="7" applyFont="1" applyFill="1" applyBorder="1" applyAlignment="1">
      <alignment horizontal="center"/>
    </xf>
    <xf numFmtId="168" fontId="17" fillId="4" borderId="0" xfId="7" applyNumberFormat="1" applyFont="1" applyFill="1" applyAlignment="1">
      <alignment horizontal="left" vertical="center"/>
    </xf>
    <xf numFmtId="168" fontId="17" fillId="5" borderId="0" xfId="7" applyNumberFormat="1" applyFont="1" applyFill="1" applyAlignment="1">
      <alignment horizontal="center" vertical="center"/>
    </xf>
    <xf numFmtId="169" fontId="18" fillId="2" borderId="0" xfId="7" applyNumberFormat="1" applyFont="1" applyFill="1" applyBorder="1"/>
    <xf numFmtId="166" fontId="18" fillId="2" borderId="0" xfId="7" applyNumberFormat="1" applyFont="1" applyFill="1" applyBorder="1"/>
    <xf numFmtId="0" fontId="18" fillId="2" borderId="0" xfId="7" applyFont="1" applyFill="1" applyBorder="1" applyAlignment="1">
      <alignment horizontal="center"/>
    </xf>
    <xf numFmtId="173" fontId="18" fillId="3" borderId="0" xfId="8" applyFont="1" applyFill="1" applyBorder="1"/>
    <xf numFmtId="0" fontId="22" fillId="4" borderId="0" xfId="7" applyFont="1" applyFill="1" applyAlignment="1">
      <alignment horizontal="left" vertical="center" indent="3"/>
    </xf>
    <xf numFmtId="168" fontId="18" fillId="4" borderId="0" xfId="7" applyNumberFormat="1" applyFont="1" applyFill="1" applyAlignment="1">
      <alignment horizontal="center" vertical="center"/>
    </xf>
    <xf numFmtId="1" fontId="18" fillId="0" borderId="0" xfId="7" applyNumberFormat="1" applyFont="1" applyFill="1" applyAlignment="1">
      <alignment horizontal="center" vertical="center"/>
    </xf>
    <xf numFmtId="1" fontId="19" fillId="0" borderId="0" xfId="7" applyNumberFormat="1" applyFont="1" applyFill="1" applyAlignment="1">
      <alignment horizontal="center" vertical="center"/>
    </xf>
    <xf numFmtId="0" fontId="18" fillId="0" borderId="0" xfId="7" applyFont="1" applyFill="1" applyAlignment="1">
      <alignment horizontal="center" vertical="center"/>
    </xf>
    <xf numFmtId="0" fontId="17" fillId="0" borderId="0" xfId="7" applyFont="1" applyFill="1" applyAlignment="1">
      <alignment horizontal="left" vertical="center" indent="5"/>
    </xf>
    <xf numFmtId="9" fontId="17" fillId="0" borderId="0" xfId="7" applyNumberFormat="1" applyFont="1" applyFill="1" applyAlignment="1">
      <alignment horizontal="center" vertical="center"/>
    </xf>
    <xf numFmtId="168" fontId="18" fillId="0" borderId="0" xfId="7" applyNumberFormat="1" applyFont="1" applyFill="1" applyAlignment="1">
      <alignment vertical="center"/>
    </xf>
    <xf numFmtId="168" fontId="18" fillId="2" borderId="0" xfId="7" applyNumberFormat="1" applyFont="1" applyFill="1" applyBorder="1"/>
    <xf numFmtId="0" fontId="17" fillId="4" borderId="0" xfId="7" applyFont="1" applyFill="1" applyAlignment="1">
      <alignment vertical="center"/>
    </xf>
    <xf numFmtId="0" fontId="18" fillId="0" borderId="0" xfId="7" applyFont="1" applyAlignment="1">
      <alignment horizontal="left" vertical="center"/>
    </xf>
    <xf numFmtId="174" fontId="18" fillId="0" borderId="0" xfId="7" applyNumberFormat="1" applyFont="1" applyAlignment="1">
      <alignment horizontal="center" vertical="center"/>
    </xf>
    <xf numFmtId="0" fontId="18" fillId="0" borderId="0" xfId="7" applyFont="1" applyAlignment="1">
      <alignment vertical="center" wrapText="1"/>
    </xf>
    <xf numFmtId="0" fontId="19" fillId="0" borderId="0" xfId="7" applyFont="1" applyAlignment="1">
      <alignment horizontal="center" vertical="center" wrapText="1"/>
    </xf>
    <xf numFmtId="0" fontId="18" fillId="0" borderId="0" xfId="7" applyFont="1" applyFill="1" applyAlignment="1">
      <alignment vertical="center" wrapText="1"/>
    </xf>
    <xf numFmtId="0" fontId="20" fillId="4" borderId="0" xfId="7" applyFont="1" applyFill="1" applyAlignment="1">
      <alignment horizontal="right" vertical="center" indent="2"/>
    </xf>
    <xf numFmtId="0" fontId="0" fillId="9" borderId="0" xfId="0" applyFill="1"/>
    <xf numFmtId="3" fontId="5" fillId="6" borderId="0" xfId="0" applyNumberFormat="1" applyFont="1" applyFill="1" applyBorder="1" applyAlignment="1">
      <alignment horizontal="right"/>
    </xf>
    <xf numFmtId="0" fontId="5" fillId="6" borderId="0" xfId="0" applyFont="1" applyFill="1"/>
    <xf numFmtId="3" fontId="2" fillId="6" borderId="0" xfId="0" applyNumberFormat="1" applyFont="1" applyFill="1" applyBorder="1" applyAlignment="1">
      <alignment horizontal="right"/>
    </xf>
    <xf numFmtId="0" fontId="2" fillId="6" borderId="0" xfId="0" applyFont="1" applyFill="1"/>
    <xf numFmtId="3" fontId="24" fillId="8" borderId="11" xfId="0" applyNumberFormat="1" applyFont="1" applyFill="1" applyBorder="1" applyAlignment="1" applyProtection="1">
      <alignment horizontal="right"/>
    </xf>
    <xf numFmtId="3" fontId="5" fillId="8" borderId="1" xfId="0" applyNumberFormat="1" applyFont="1" applyFill="1" applyBorder="1" applyAlignment="1">
      <alignment horizontal="right"/>
    </xf>
    <xf numFmtId="165" fontId="5" fillId="8" borderId="0" xfId="3" applyNumberFormat="1" applyFont="1" applyFill="1" applyBorder="1" applyAlignment="1">
      <alignment horizontal="right"/>
    </xf>
    <xf numFmtId="10" fontId="5" fillId="8" borderId="10" xfId="3" applyNumberFormat="1" applyFont="1" applyFill="1" applyBorder="1" applyAlignment="1">
      <alignment horizontal="right"/>
    </xf>
    <xf numFmtId="0" fontId="5" fillId="2" borderId="0" xfId="0" applyFont="1" applyFill="1" applyAlignment="1">
      <alignment horizontal="right"/>
    </xf>
    <xf numFmtId="3" fontId="5" fillId="2" borderId="0" xfId="0" applyNumberFormat="1" applyFont="1" applyFill="1" applyAlignment="1">
      <alignment horizontal="center"/>
    </xf>
    <xf numFmtId="0" fontId="5" fillId="2" borderId="10" xfId="0" applyFont="1" applyFill="1" applyBorder="1" applyAlignment="1">
      <alignment horizontal="right"/>
    </xf>
    <xf numFmtId="3" fontId="5" fillId="2" borderId="10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2" fontId="5" fillId="8" borderId="12" xfId="0" applyNumberFormat="1" applyFont="1" applyFill="1" applyBorder="1" applyAlignment="1">
      <alignment horizontal="center"/>
    </xf>
    <xf numFmtId="3" fontId="2" fillId="8" borderId="11" xfId="0" applyNumberFormat="1" applyFont="1" applyFill="1" applyBorder="1" applyAlignment="1" applyProtection="1">
      <alignment horizontal="right"/>
    </xf>
    <xf numFmtId="3" fontId="2" fillId="6" borderId="10" xfId="0" applyNumberFormat="1" applyFont="1" applyFill="1" applyBorder="1" applyAlignment="1">
      <alignment horizontal="right"/>
    </xf>
    <xf numFmtId="3" fontId="5" fillId="2" borderId="10" xfId="0" applyNumberFormat="1" applyFont="1" applyFill="1" applyBorder="1"/>
    <xf numFmtId="0" fontId="26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3" fontId="25" fillId="0" borderId="0" xfId="0" applyNumberFormat="1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9" fontId="25" fillId="0" borderId="0" xfId="0" applyNumberFormat="1" applyFont="1" applyFill="1" applyAlignment="1">
      <alignment horizontal="right" vertical="center"/>
    </xf>
    <xf numFmtId="0" fontId="25" fillId="0" borderId="0" xfId="0" applyFont="1" applyFill="1" applyAlignment="1">
      <alignment horizontal="right" vertical="center"/>
    </xf>
    <xf numFmtId="0" fontId="25" fillId="0" borderId="0" xfId="0" quotePrefix="1" applyFont="1" applyFill="1" applyAlignment="1">
      <alignment horizontal="left" vertical="center"/>
    </xf>
    <xf numFmtId="3" fontId="25" fillId="0" borderId="1" xfId="0" applyNumberFormat="1" applyFont="1" applyFill="1" applyBorder="1" applyAlignment="1">
      <alignment horizontal="center" vertical="center"/>
    </xf>
    <xf numFmtId="3" fontId="25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Alignment="1">
      <alignment vertical="center"/>
    </xf>
    <xf numFmtId="3" fontId="26" fillId="0" borderId="0" xfId="0" applyNumberFormat="1" applyFont="1" applyFill="1" applyBorder="1" applyAlignment="1">
      <alignment horizontal="center" vertical="center"/>
    </xf>
    <xf numFmtId="3" fontId="26" fillId="0" borderId="0" xfId="0" applyNumberFormat="1" applyFont="1" applyFill="1" applyBorder="1" applyAlignment="1">
      <alignment horizontal="right" vertical="center"/>
    </xf>
    <xf numFmtId="0" fontId="25" fillId="0" borderId="5" xfId="0" applyFont="1" applyFill="1" applyBorder="1" applyAlignment="1">
      <alignment vertical="center"/>
    </xf>
    <xf numFmtId="3" fontId="25" fillId="0" borderId="6" xfId="0" applyNumberFormat="1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3" fontId="25" fillId="0" borderId="7" xfId="0" applyNumberFormat="1" applyFont="1" applyFill="1" applyBorder="1" applyAlignment="1">
      <alignment vertical="center"/>
    </xf>
    <xf numFmtId="2" fontId="25" fillId="0" borderId="7" xfId="0" applyNumberFormat="1" applyFont="1" applyFill="1" applyBorder="1" applyAlignment="1">
      <alignment vertical="center"/>
    </xf>
    <xf numFmtId="10" fontId="25" fillId="0" borderId="7" xfId="0" applyNumberFormat="1" applyFont="1" applyFill="1" applyBorder="1" applyAlignment="1">
      <alignment vertical="center"/>
    </xf>
    <xf numFmtId="10" fontId="25" fillId="0" borderId="7" xfId="0" applyNumberFormat="1" applyFont="1" applyFill="1" applyBorder="1" applyAlignment="1">
      <alignment horizontal="right" vertical="center"/>
    </xf>
    <xf numFmtId="0" fontId="25" fillId="0" borderId="8" xfId="0" applyFont="1" applyFill="1" applyBorder="1" applyAlignment="1">
      <alignment vertical="center"/>
    </xf>
    <xf numFmtId="2" fontId="25" fillId="0" borderId="9" xfId="0" applyNumberFormat="1" applyFont="1" applyFill="1" applyBorder="1" applyAlignment="1">
      <alignment horizontal="right" vertical="center"/>
    </xf>
    <xf numFmtId="2" fontId="25" fillId="0" borderId="6" xfId="0" applyNumberFormat="1" applyFont="1" applyFill="1" applyBorder="1" applyAlignment="1">
      <alignment horizontal="right" vertical="center"/>
    </xf>
    <xf numFmtId="166" fontId="25" fillId="0" borderId="7" xfId="0" applyNumberFormat="1" applyFont="1" applyFill="1" applyBorder="1" applyAlignment="1">
      <alignment horizontal="right" vertical="center"/>
    </xf>
    <xf numFmtId="0" fontId="25" fillId="0" borderId="7" xfId="0" applyFont="1" applyFill="1" applyBorder="1" applyAlignment="1">
      <alignment vertical="center"/>
    </xf>
    <xf numFmtId="0" fontId="25" fillId="0" borderId="9" xfId="0" applyFont="1" applyFill="1" applyBorder="1" applyAlignment="1">
      <alignment vertical="center"/>
    </xf>
    <xf numFmtId="0" fontId="25" fillId="0" borderId="2" xfId="0" applyFont="1" applyFill="1" applyBorder="1" applyAlignment="1">
      <alignment vertical="center"/>
    </xf>
    <xf numFmtId="3" fontId="25" fillId="0" borderId="6" xfId="0" applyNumberFormat="1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vertical="center"/>
    </xf>
    <xf numFmtId="3" fontId="25" fillId="0" borderId="7" xfId="0" applyNumberFormat="1" applyFont="1" applyFill="1" applyBorder="1" applyAlignment="1">
      <alignment horizontal="center" vertical="center"/>
    </xf>
    <xf numFmtId="4" fontId="25" fillId="0" borderId="7" xfId="0" applyNumberFormat="1" applyFont="1" applyFill="1" applyBorder="1" applyAlignment="1">
      <alignment horizontal="center" vertical="center"/>
    </xf>
    <xf numFmtId="9" fontId="25" fillId="0" borderId="7" xfId="0" applyNumberFormat="1" applyFont="1" applyFill="1" applyBorder="1" applyAlignment="1">
      <alignment horizontal="center" vertical="center"/>
    </xf>
    <xf numFmtId="1" fontId="25" fillId="0" borderId="7" xfId="0" applyNumberFormat="1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left" vertical="center"/>
    </xf>
    <xf numFmtId="9" fontId="25" fillId="0" borderId="9" xfId="0" applyNumberFormat="1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2" fontId="5" fillId="8" borderId="13" xfId="0" applyNumberFormat="1" applyFont="1" applyFill="1" applyBorder="1" applyAlignment="1">
      <alignment horizontal="center"/>
    </xf>
    <xf numFmtId="0" fontId="25" fillId="0" borderId="0" xfId="0" applyFont="1" applyFill="1"/>
    <xf numFmtId="0" fontId="25" fillId="0" borderId="0" xfId="0" applyFont="1" applyFill="1" applyBorder="1"/>
    <xf numFmtId="0" fontId="25" fillId="0" borderId="0" xfId="0" applyFont="1" applyFill="1" applyAlignment="1">
      <alignment horizontal="right"/>
    </xf>
    <xf numFmtId="0" fontId="26" fillId="0" borderId="0" xfId="0" applyFont="1" applyFill="1"/>
    <xf numFmtId="3" fontId="25" fillId="0" borderId="10" xfId="0" applyNumberFormat="1" applyFont="1" applyFill="1" applyBorder="1" applyAlignment="1">
      <alignment horizontal="center" vertical="center"/>
    </xf>
    <xf numFmtId="3" fontId="26" fillId="0" borderId="11" xfId="0" applyNumberFormat="1" applyFont="1" applyFill="1" applyBorder="1" applyAlignment="1">
      <alignment horizontal="center" vertical="center"/>
    </xf>
    <xf numFmtId="3" fontId="25" fillId="0" borderId="0" xfId="0" applyNumberFormat="1" applyFont="1" applyFill="1" applyAlignment="1">
      <alignment horizontal="right" vertical="center"/>
    </xf>
    <xf numFmtId="3" fontId="25" fillId="0" borderId="0" xfId="0" applyNumberFormat="1" applyFont="1" applyFill="1" applyBorder="1" applyAlignment="1">
      <alignment horizontal="center"/>
    </xf>
    <xf numFmtId="3" fontId="26" fillId="0" borderId="11" xfId="0" applyNumberFormat="1" applyFont="1" applyFill="1" applyBorder="1" applyAlignment="1">
      <alignment horizontal="right" vertical="center"/>
    </xf>
    <xf numFmtId="3" fontId="25" fillId="0" borderId="1" xfId="0" applyNumberFormat="1" applyFont="1" applyFill="1" applyBorder="1" applyAlignment="1">
      <alignment horizontal="right" vertical="center"/>
    </xf>
    <xf numFmtId="3" fontId="26" fillId="0" borderId="10" xfId="0" applyNumberFormat="1" applyFont="1" applyFill="1" applyBorder="1" applyAlignment="1">
      <alignment horizontal="right" vertical="center"/>
    </xf>
    <xf numFmtId="3" fontId="25" fillId="0" borderId="1" xfId="0" applyNumberFormat="1" applyFont="1" applyFill="1" applyBorder="1" applyAlignment="1">
      <alignment horizontal="center"/>
    </xf>
    <xf numFmtId="3" fontId="25" fillId="0" borderId="0" xfId="0" applyNumberFormat="1" applyFont="1" applyFill="1" applyBorder="1"/>
    <xf numFmtId="3" fontId="26" fillId="0" borderId="0" xfId="0" applyNumberFormat="1" applyFont="1" applyFill="1" applyAlignment="1">
      <alignment horizontal="right" vertical="center"/>
    </xf>
    <xf numFmtId="0" fontId="27" fillId="0" borderId="0" xfId="0" applyFont="1" applyFill="1" applyBorder="1"/>
    <xf numFmtId="3" fontId="27" fillId="0" borderId="0" xfId="0" applyNumberFormat="1" applyFont="1" applyFill="1" applyBorder="1"/>
    <xf numFmtId="0" fontId="26" fillId="0" borderId="11" xfId="0" applyFont="1" applyFill="1" applyBorder="1" applyAlignment="1">
      <alignment horizontal="center"/>
    </xf>
    <xf numFmtId="3" fontId="26" fillId="0" borderId="11" xfId="0" applyNumberFormat="1" applyFont="1" applyFill="1" applyBorder="1"/>
    <xf numFmtId="0" fontId="23" fillId="9" borderId="0" xfId="0" applyFont="1" applyFill="1" applyAlignment="1">
      <alignment horizontal="left" vertical="center"/>
    </xf>
    <xf numFmtId="0" fontId="19" fillId="0" borderId="14" xfId="7" applyFont="1" applyBorder="1" applyAlignment="1">
      <alignment horizontal="center" vertical="center" wrapText="1"/>
    </xf>
    <xf numFmtId="9" fontId="18" fillId="0" borderId="14" xfId="7" applyNumberFormat="1" applyFont="1" applyBorder="1" applyAlignment="1">
      <alignment horizontal="center" vertical="center" wrapText="1"/>
    </xf>
    <xf numFmtId="0" fontId="18" fillId="0" borderId="0" xfId="7" applyFont="1" applyBorder="1" applyAlignment="1">
      <alignment horizontal="center" vertical="center"/>
    </xf>
    <xf numFmtId="0" fontId="18" fillId="0" borderId="14" xfId="7" applyFont="1" applyBorder="1" applyAlignment="1">
      <alignment horizontal="center" vertical="center"/>
    </xf>
    <xf numFmtId="0" fontId="18" fillId="0" borderId="12" xfId="7" applyFont="1" applyBorder="1" applyAlignment="1">
      <alignment horizontal="center" vertical="center"/>
    </xf>
    <xf numFmtId="0" fontId="1" fillId="0" borderId="13" xfId="7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textRotation="90"/>
    </xf>
    <xf numFmtId="0" fontId="26" fillId="0" borderId="3" xfId="0" applyFont="1" applyFill="1" applyBorder="1" applyAlignment="1">
      <alignment horizontal="center" vertical="center" textRotation="90"/>
    </xf>
    <xf numFmtId="0" fontId="26" fillId="0" borderId="4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left"/>
    </xf>
    <xf numFmtId="0" fontId="5" fillId="8" borderId="0" xfId="0" applyFont="1" applyFill="1" applyBorder="1" applyAlignment="1">
      <alignment horizontal="left"/>
    </xf>
    <xf numFmtId="0" fontId="5" fillId="8" borderId="1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2" borderId="10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</cellXfs>
  <cellStyles count="9">
    <cellStyle name="Hiperlink" xfId="1" builtinId="8"/>
    <cellStyle name="Moeda 2" xfId="8" xr:uid="{00000000-0005-0000-0000-000002000000}"/>
    <cellStyle name="Normal" xfId="0" builtinId="0"/>
    <cellStyle name="Normal 2" xfId="2" xr:uid="{00000000-0005-0000-0000-000004000000}"/>
    <cellStyle name="Normal 3" xfId="7" xr:uid="{00000000-0005-0000-0000-000005000000}"/>
    <cellStyle name="Porcentagem" xfId="3" builtinId="5"/>
    <cellStyle name="Porcentagem 2" xfId="4" xr:uid="{00000000-0005-0000-0000-000007000000}"/>
    <cellStyle name="Vírgula" xfId="5" builtinId="3"/>
    <cellStyle name="Vírgula 2" xfId="6" xr:uid="{00000000-0005-0000-0000-000009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Fluxo de Caixa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'FLUXO DE CAIXA'!$E$4:$O$4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'FLUXO DE CAIXA'!$E$11:$O$11</c:f>
              <c:numCache>
                <c:formatCode>#,##0</c:formatCode>
                <c:ptCount val="11"/>
                <c:pt idx="1">
                  <c:v>250000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700000</c:v>
                </c:pt>
                <c:pt idx="8">
                  <c:v>700000</c:v>
                </c:pt>
                <c:pt idx="9">
                  <c:v>800000</c:v>
                </c:pt>
                <c:pt idx="10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5-4B20-9E7F-78D076740A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722712335"/>
        <c:axId val="1809000623"/>
      </c:barChart>
      <c:catAx>
        <c:axId val="1722712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Horizonte do Projeto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9000623"/>
        <c:crosses val="autoZero"/>
        <c:auto val="1"/>
        <c:lblAlgn val="ctr"/>
        <c:lblOffset val="100"/>
        <c:noMultiLvlLbl val="0"/>
      </c:catAx>
      <c:valAx>
        <c:axId val="18090006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271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'P. BACK'!$A$12:$A$22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'P. BACK'!$D$12:$D$22</c:f>
              <c:numCache>
                <c:formatCode>#,##0</c:formatCode>
                <c:ptCount val="11"/>
                <c:pt idx="0">
                  <c:v>-350000</c:v>
                </c:pt>
                <c:pt idx="1">
                  <c:v>-214328.35820895524</c:v>
                </c:pt>
                <c:pt idx="2">
                  <c:v>-85235.0189351749</c:v>
                </c:pt>
                <c:pt idx="3">
                  <c:v>52664.257239088518</c:v>
                </c:pt>
                <c:pt idx="4">
                  <c:v>145303.55578162189</c:v>
                </c:pt>
                <c:pt idx="5">
                  <c:v>239838.4458519452</c:v>
                </c:pt>
                <c:pt idx="6">
                  <c:v>329342.90499982506</c:v>
                </c:pt>
                <c:pt idx="7">
                  <c:v>397393.17080558522</c:v>
                </c:pt>
                <c:pt idx="8">
                  <c:v>449114.18506909453</c:v>
                </c:pt>
                <c:pt idx="9">
                  <c:v>495590.26712283067</c:v>
                </c:pt>
                <c:pt idx="10">
                  <c:v>530795.87180285738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B-4F86-B256-C5279B13E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530031"/>
        <c:axId val="1901315503"/>
      </c:scatterChart>
      <c:valAx>
        <c:axId val="181453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Horizonte do Projeto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1315503"/>
        <c:crosses val="autoZero"/>
        <c:crossBetween val="midCat"/>
        <c:majorUnit val="1"/>
      </c:valAx>
      <c:valAx>
        <c:axId val="190131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453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04396325459321"/>
          <c:y val="7.4548702245552642E-2"/>
          <c:w val="0.7904352580927384"/>
          <c:h val="0.8971988918051916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'P. BACK (2)'!$A$12:$A$22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'P. BACK (2)'!$B$12</c:f>
              <c:numCache>
                <c:formatCode>#,##0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BE-4D52-8352-1333C1ED6A08}"/>
            </c:ext>
          </c:extLst>
        </c:ser>
        <c:ser>
          <c:idx val="1"/>
          <c:order val="1"/>
          <c:marker>
            <c:symbol val="none"/>
          </c:marker>
          <c:xVal>
            <c:numRef>
              <c:f>'P. BACK (2)'!$A$12:$A$22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'P. BACK (2)'!$C$12</c:f>
              <c:numCache>
                <c:formatCode>#,##0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BE-4D52-8352-1333C1ED6A08}"/>
            </c:ext>
          </c:extLst>
        </c:ser>
        <c:ser>
          <c:idx val="2"/>
          <c:order val="2"/>
          <c:marker>
            <c:symbol val="none"/>
          </c:marker>
          <c:xVal>
            <c:numRef>
              <c:f>'P. BACK (2)'!$A$12:$A$22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'P. BACK (2)'!$C$12</c:f>
              <c:numCache>
                <c:formatCode>#,##0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BE-4D52-8352-1333C1ED6A08}"/>
            </c:ext>
          </c:extLst>
        </c:ser>
        <c:ser>
          <c:idx val="3"/>
          <c:order val="3"/>
          <c:marker>
            <c:symbol val="none"/>
          </c:marker>
          <c:xVal>
            <c:numRef>
              <c:f>'P. BACK (2)'!$A$12:$A$22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'P. BACK (2)'!$C$12:$C$22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BE-4D52-8352-1333C1ED6A08}"/>
            </c:ext>
          </c:extLst>
        </c:ser>
        <c:ser>
          <c:idx val="4"/>
          <c:order val="4"/>
          <c:marker>
            <c:symbol val="none"/>
          </c:marker>
          <c:xVal>
            <c:numRef>
              <c:f>'P. BACK (2)'!$A$12:$A$22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'P. BACK (2)'!$D$12:$D$22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BE-4D52-8352-1333C1ED6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762520"/>
        <c:axId val="277762912"/>
      </c:scatterChart>
      <c:valAx>
        <c:axId val="277762520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77762912"/>
        <c:crosses val="autoZero"/>
        <c:crossBetween val="midCat"/>
        <c:majorUnit val="1"/>
      </c:valAx>
      <c:valAx>
        <c:axId val="2777629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777625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VU!A1"/><Relationship Id="rId13" Type="http://schemas.openxmlformats.org/officeDocument/2006/relationships/hyperlink" Target="#'FLUXO DE CAIXA'!A1"/><Relationship Id="rId18" Type="http://schemas.openxmlformats.org/officeDocument/2006/relationships/hyperlink" Target="#'RISCOS PERCEBIDOS'!A1"/><Relationship Id="rId3" Type="http://schemas.openxmlformats.org/officeDocument/2006/relationships/hyperlink" Target="#'RH FOLHA'!A1"/><Relationship Id="rId21" Type="http://schemas.openxmlformats.org/officeDocument/2006/relationships/hyperlink" Target="#'PREV DEMANDA'!A1"/><Relationship Id="rId7" Type="http://schemas.openxmlformats.org/officeDocument/2006/relationships/hyperlink" Target="#SAC!A1"/><Relationship Id="rId12" Type="http://schemas.openxmlformats.org/officeDocument/2006/relationships/hyperlink" Target="#DRE!A1"/><Relationship Id="rId17" Type="http://schemas.openxmlformats.org/officeDocument/2006/relationships/hyperlink" Target="#'RISCO DE NEG&#211;CIO'!A1"/><Relationship Id="rId2" Type="http://schemas.openxmlformats.org/officeDocument/2006/relationships/hyperlink" Target="#'OR&#199;AMENTO DE CAPITAL'!A1"/><Relationship Id="rId16" Type="http://schemas.openxmlformats.org/officeDocument/2006/relationships/hyperlink" Target="#'RISCO DE GEST&#195;O'!A1"/><Relationship Id="rId20" Type="http://schemas.openxmlformats.org/officeDocument/2006/relationships/hyperlink" Target="#GR&#193;FICOS!A1"/><Relationship Id="rId1" Type="http://schemas.openxmlformats.org/officeDocument/2006/relationships/hyperlink" Target="#'INVESTIMENTO TOTAL'!A1"/><Relationship Id="rId6" Type="http://schemas.openxmlformats.org/officeDocument/2006/relationships/hyperlink" Target="#'FONTE FINANC'!A1"/><Relationship Id="rId11" Type="http://schemas.openxmlformats.org/officeDocument/2006/relationships/hyperlink" Target="#'OR&#199; DESP COM'!A1"/><Relationship Id="rId5" Type="http://schemas.openxmlformats.org/officeDocument/2006/relationships/hyperlink" Target="#'DESP PR&#201; OPERACIONAIS'!A1"/><Relationship Id="rId15" Type="http://schemas.openxmlformats.org/officeDocument/2006/relationships/hyperlink" Target="#'P. BACK'!A1"/><Relationship Id="rId10" Type="http://schemas.openxmlformats.org/officeDocument/2006/relationships/hyperlink" Target="#'OR&#199; ADM'!A1"/><Relationship Id="rId19" Type="http://schemas.openxmlformats.org/officeDocument/2006/relationships/hyperlink" Target="#'QUADRO S&#205;NTESE'!A1"/><Relationship Id="rId4" Type="http://schemas.openxmlformats.org/officeDocument/2006/relationships/hyperlink" Target="#'CAPITAL DE GIRO'!A1"/><Relationship Id="rId9" Type="http://schemas.openxmlformats.org/officeDocument/2006/relationships/hyperlink" Target="#'OR&#199; PRODU'!A1"/><Relationship Id="rId14" Type="http://schemas.openxmlformats.org/officeDocument/2006/relationships/hyperlink" Target="#INDICADORES!A1"/><Relationship Id="rId22" Type="http://schemas.openxmlformats.org/officeDocument/2006/relationships/hyperlink" Target="#GERENCIADOR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LUCRO PRESUMIDO INDUSTRIA'!A1"/><Relationship Id="rId2" Type="http://schemas.openxmlformats.org/officeDocument/2006/relationships/hyperlink" Target="#'DRE LUCRO REAL INDUSTRIA'!A1"/><Relationship Id="rId1" Type="http://schemas.openxmlformats.org/officeDocument/2006/relationships/hyperlink" Target="#GERENCIADOR!A1"/><Relationship Id="rId5" Type="http://schemas.openxmlformats.org/officeDocument/2006/relationships/hyperlink" Target="#'LUCRO REAL SERVI&#199;OS'!A1"/><Relationship Id="rId4" Type="http://schemas.openxmlformats.org/officeDocument/2006/relationships/hyperlink" Target="#'DRE - simples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DR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DR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DRE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GERENCIADOR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hyperlink" Target="#GR&#193;FICO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26984</xdr:colOff>
      <xdr:row>0</xdr:row>
      <xdr:rowOff>141287</xdr:rowOff>
    </xdr:from>
    <xdr:to>
      <xdr:col>2</xdr:col>
      <xdr:colOff>265110</xdr:colOff>
      <xdr:row>5</xdr:row>
      <xdr:rowOff>1587</xdr:rowOff>
    </xdr:to>
    <xdr:sp macro="" textlink="">
      <xdr:nvSpPr>
        <xdr:cNvPr id="2" name="Retângulo de cantos arredondados 1" descr="d2de81fb-216e-4ed1-b7f4-e44d7b3d610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984" y="141287"/>
          <a:ext cx="1460501" cy="654050"/>
        </a:xfrm>
        <a:prstGeom prst="roundRect">
          <a:avLst>
            <a:gd name="adj" fmla="val 12870"/>
          </a:avLst>
        </a:prstGeom>
        <a:ln w="12700"/>
        <a:effectLst>
          <a:glow rad="101600">
            <a:schemeClr val="accent6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 b="1">
              <a:latin typeface="Arial Narrow" pitchFamily="34" charset="0"/>
            </a:rPr>
            <a:t>INVESTIMENTO</a:t>
          </a:r>
          <a:r>
            <a:rPr lang="pt-BR" sz="1100" b="1" baseline="0">
              <a:latin typeface="Arial Narrow" pitchFamily="34" charset="0"/>
            </a:rPr>
            <a:t> TOTAL</a:t>
          </a:r>
          <a:endParaRPr lang="pt-BR" sz="1100" b="1">
            <a:latin typeface="Arial Narrow" pitchFamily="34" charset="0"/>
          </a:endParaRPr>
        </a:p>
      </xdr:txBody>
    </xdr:sp>
    <xdr:clientData/>
  </xdr:twoCellAnchor>
  <xdr:twoCellAnchor>
    <xdr:from>
      <xdr:col>5</xdr:col>
      <xdr:colOff>584200</xdr:colOff>
      <xdr:row>0</xdr:row>
      <xdr:rowOff>149225</xdr:rowOff>
    </xdr:from>
    <xdr:to>
      <xdr:col>8</xdr:col>
      <xdr:colOff>212726</xdr:colOff>
      <xdr:row>5</xdr:row>
      <xdr:rowOff>9525</xdr:rowOff>
    </xdr:to>
    <xdr:sp macro="" textlink="">
      <xdr:nvSpPr>
        <xdr:cNvPr id="3" name="Retângulo de cantos arredondados 2" descr="34cc0b32-065d-4fd3-afcc-84e34c6ea3a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640138" y="149225"/>
          <a:ext cx="1462088" cy="654050"/>
        </a:xfrm>
        <a:prstGeom prst="roundRect">
          <a:avLst>
            <a:gd name="adj" fmla="val 12870"/>
          </a:avLst>
        </a:prstGeom>
        <a:ln w="12700"/>
        <a:effectLst>
          <a:glow rad="101600">
            <a:schemeClr val="accent6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 b="1">
              <a:latin typeface="Arial Narrow" pitchFamily="34" charset="0"/>
            </a:rPr>
            <a:t>ORÇAMENTO</a:t>
          </a:r>
          <a:r>
            <a:rPr lang="pt-BR" sz="1100" b="1" baseline="0">
              <a:latin typeface="Arial Narrow" pitchFamily="34" charset="0"/>
            </a:rPr>
            <a:t>  </a:t>
          </a:r>
        </a:p>
        <a:p>
          <a:pPr algn="ctr"/>
          <a:r>
            <a:rPr lang="pt-BR" sz="1100" b="1" baseline="0">
              <a:latin typeface="Arial Narrow" pitchFamily="34" charset="0"/>
            </a:rPr>
            <a:t>DE</a:t>
          </a:r>
        </a:p>
        <a:p>
          <a:pPr algn="ctr"/>
          <a:r>
            <a:rPr lang="pt-BR" sz="1100" b="1" baseline="0">
              <a:latin typeface="Arial Narrow" pitchFamily="34" charset="0"/>
            </a:rPr>
            <a:t>CAPITAL</a:t>
          </a:r>
          <a:endParaRPr lang="pt-BR" sz="1100" b="1">
            <a:latin typeface="Arial Narrow" pitchFamily="34" charset="0"/>
          </a:endParaRPr>
        </a:p>
      </xdr:txBody>
    </xdr:sp>
    <xdr:clientData/>
  </xdr:twoCellAnchor>
  <xdr:twoCellAnchor>
    <xdr:from>
      <xdr:col>12</xdr:col>
      <xdr:colOff>1588</xdr:colOff>
      <xdr:row>0</xdr:row>
      <xdr:rowOff>152401</xdr:rowOff>
    </xdr:from>
    <xdr:to>
      <xdr:col>14</xdr:col>
      <xdr:colOff>239714</xdr:colOff>
      <xdr:row>5</xdr:row>
      <xdr:rowOff>12701</xdr:rowOff>
    </xdr:to>
    <xdr:sp macro="" textlink="">
      <xdr:nvSpPr>
        <xdr:cNvPr id="7" name="Retângulo de cantos arredondados 6" descr="a4067990-e8ff-44dd-a3a7-dc88e225ebeb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7335838" y="152401"/>
          <a:ext cx="1460501" cy="654050"/>
        </a:xfrm>
        <a:prstGeom prst="roundRect">
          <a:avLst>
            <a:gd name="adj" fmla="val 12870"/>
          </a:avLst>
        </a:prstGeom>
        <a:ln w="12700"/>
        <a:effectLst>
          <a:glow rad="101600">
            <a:schemeClr val="accent6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 b="1">
              <a:latin typeface="Arial Narrow" pitchFamily="34" charset="0"/>
            </a:rPr>
            <a:t>RH  -  FOLHA</a:t>
          </a:r>
        </a:p>
      </xdr:txBody>
    </xdr:sp>
    <xdr:clientData/>
  </xdr:twoCellAnchor>
  <xdr:twoCellAnchor>
    <xdr:from>
      <xdr:col>15</xdr:col>
      <xdr:colOff>12702</xdr:colOff>
      <xdr:row>0</xdr:row>
      <xdr:rowOff>139699</xdr:rowOff>
    </xdr:from>
    <xdr:to>
      <xdr:col>17</xdr:col>
      <xdr:colOff>252415</xdr:colOff>
      <xdr:row>4</xdr:row>
      <xdr:rowOff>158749</xdr:rowOff>
    </xdr:to>
    <xdr:sp macro="" textlink="">
      <xdr:nvSpPr>
        <xdr:cNvPr id="8" name="Retângulo de cantos arredondados 7" descr="1f29a0e5-4c28-491c-82fd-5523804faba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9180515" y="139699"/>
          <a:ext cx="1462088" cy="654050"/>
        </a:xfrm>
        <a:prstGeom prst="roundRect">
          <a:avLst>
            <a:gd name="adj" fmla="val 12870"/>
          </a:avLst>
        </a:prstGeom>
        <a:ln w="12700"/>
        <a:effectLst>
          <a:glow rad="101600">
            <a:schemeClr val="accent6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 b="1">
              <a:latin typeface="Arial Narrow" pitchFamily="34" charset="0"/>
            </a:rPr>
            <a:t>CAPITAL  DE  GIRO</a:t>
          </a:r>
        </a:p>
      </xdr:txBody>
    </xdr:sp>
    <xdr:clientData/>
  </xdr:twoCellAnchor>
  <xdr:twoCellAnchor>
    <xdr:from>
      <xdr:col>8</xdr:col>
      <xdr:colOff>596900</xdr:colOff>
      <xdr:row>1</xdr:row>
      <xdr:rowOff>1588</xdr:rowOff>
    </xdr:from>
    <xdr:to>
      <xdr:col>11</xdr:col>
      <xdr:colOff>223838</xdr:colOff>
      <xdr:row>5</xdr:row>
      <xdr:rowOff>20638</xdr:rowOff>
    </xdr:to>
    <xdr:sp macro="" textlink="">
      <xdr:nvSpPr>
        <xdr:cNvPr id="9" name="Retângulo de cantos arredondados 8" descr="166ea351-f2fe-481f-84f7-7d69bf39cb0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486400" y="160338"/>
          <a:ext cx="1460501" cy="654050"/>
        </a:xfrm>
        <a:prstGeom prst="roundRect">
          <a:avLst>
            <a:gd name="adj" fmla="val 12870"/>
          </a:avLst>
        </a:prstGeom>
        <a:ln w="12700"/>
        <a:effectLst>
          <a:glow rad="101600">
            <a:schemeClr val="accent6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 b="1">
              <a:latin typeface="Arial Narrow" pitchFamily="34" charset="0"/>
            </a:rPr>
            <a:t>DESPESAS             PRÉ-OPERACIONAIS</a:t>
          </a:r>
        </a:p>
      </xdr:txBody>
    </xdr:sp>
    <xdr:clientData/>
  </xdr:twoCellAnchor>
  <xdr:twoCellAnchor>
    <xdr:from>
      <xdr:col>0</xdr:col>
      <xdr:colOff>0</xdr:colOff>
      <xdr:row>7</xdr:row>
      <xdr:rowOff>128587</xdr:rowOff>
    </xdr:from>
    <xdr:to>
      <xdr:col>2</xdr:col>
      <xdr:colOff>239714</xdr:colOff>
      <xdr:row>11</xdr:row>
      <xdr:rowOff>147637</xdr:rowOff>
    </xdr:to>
    <xdr:sp macro="" textlink="">
      <xdr:nvSpPr>
        <xdr:cNvPr id="10" name="Retângulo de cantos arredondados 9" descr="8516e01f-6240-46f5-9898-a6e60d39710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1239837"/>
          <a:ext cx="1462089" cy="654050"/>
        </a:xfrm>
        <a:prstGeom prst="roundRect">
          <a:avLst>
            <a:gd name="adj" fmla="val 12870"/>
          </a:avLst>
        </a:prstGeom>
        <a:ln w="12700"/>
        <a:effectLst>
          <a:glow rad="101600">
            <a:schemeClr val="accent6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 b="1">
              <a:latin typeface="Arial Narrow" pitchFamily="34" charset="0"/>
            </a:rPr>
            <a:t>FONTE</a:t>
          </a:r>
        </a:p>
        <a:p>
          <a:pPr algn="ctr"/>
          <a:r>
            <a:rPr lang="pt-BR" sz="1100" b="1">
              <a:latin typeface="Arial Narrow" pitchFamily="34" charset="0"/>
            </a:rPr>
            <a:t> DE</a:t>
          </a:r>
        </a:p>
        <a:p>
          <a:pPr algn="ctr"/>
          <a:r>
            <a:rPr lang="pt-BR" sz="1100" b="1">
              <a:latin typeface="Arial Narrow" pitchFamily="34" charset="0"/>
            </a:rPr>
            <a:t> FINANCIAMENTO</a:t>
          </a:r>
        </a:p>
      </xdr:txBody>
    </xdr:sp>
    <xdr:clientData/>
  </xdr:twoCellAnchor>
  <xdr:twoCellAnchor>
    <xdr:from>
      <xdr:col>2</xdr:col>
      <xdr:colOff>609599</xdr:colOff>
      <xdr:row>7</xdr:row>
      <xdr:rowOff>128588</xdr:rowOff>
    </xdr:from>
    <xdr:to>
      <xdr:col>5</xdr:col>
      <xdr:colOff>236537</xdr:colOff>
      <xdr:row>11</xdr:row>
      <xdr:rowOff>147638</xdr:rowOff>
    </xdr:to>
    <xdr:sp macro="" textlink="">
      <xdr:nvSpPr>
        <xdr:cNvPr id="11" name="Retângulo de cantos arredondados 10" descr="c0e7be92-f804-44a3-8a6a-4e12a3a92b3c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831974" y="1239838"/>
          <a:ext cx="1460501" cy="654050"/>
        </a:xfrm>
        <a:prstGeom prst="roundRect">
          <a:avLst>
            <a:gd name="adj" fmla="val 12870"/>
          </a:avLst>
        </a:prstGeom>
        <a:ln w="12700"/>
        <a:effectLst>
          <a:glow rad="101600">
            <a:schemeClr val="accent6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pt-BR" sz="1100" b="1">
              <a:latin typeface="Arial Narrow" pitchFamily="34" charset="0"/>
            </a:rPr>
            <a:t>AMORTIZAÇÃO DO FINANCIAMENTO   SAC</a:t>
          </a:r>
        </a:p>
      </xdr:txBody>
    </xdr:sp>
    <xdr:clientData/>
  </xdr:twoCellAnchor>
  <xdr:twoCellAnchor>
    <xdr:from>
      <xdr:col>6</xdr:col>
      <xdr:colOff>9524</xdr:colOff>
      <xdr:row>7</xdr:row>
      <xdr:rowOff>130175</xdr:rowOff>
    </xdr:from>
    <xdr:to>
      <xdr:col>8</xdr:col>
      <xdr:colOff>247650</xdr:colOff>
      <xdr:row>11</xdr:row>
      <xdr:rowOff>149225</xdr:rowOff>
    </xdr:to>
    <xdr:sp macro="" textlink="">
      <xdr:nvSpPr>
        <xdr:cNvPr id="13" name="Retângulo de cantos arredondados 12" descr="0d0c91c6-e20b-4a97-91a9-98fa08f4344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76649" y="1241425"/>
          <a:ext cx="1460501" cy="654050"/>
        </a:xfrm>
        <a:prstGeom prst="roundRect">
          <a:avLst>
            <a:gd name="adj" fmla="val 12870"/>
          </a:avLst>
        </a:prstGeom>
        <a:ln w="12700"/>
        <a:effectLst>
          <a:glow rad="101600">
            <a:schemeClr val="accent6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pt-BR" sz="1100" b="1">
              <a:latin typeface="Arial Narrow" pitchFamily="34" charset="0"/>
            </a:rPr>
            <a:t>CUSTO         VARIÁVEL</a:t>
          </a:r>
          <a:r>
            <a:rPr lang="pt-BR" sz="1100" b="1" baseline="0">
              <a:latin typeface="Arial Narrow" pitchFamily="34" charset="0"/>
            </a:rPr>
            <a:t>   UNITÁRIO</a:t>
          </a:r>
          <a:endParaRPr lang="pt-BR" sz="1100" b="1">
            <a:latin typeface="Arial Narrow" pitchFamily="34" charset="0"/>
          </a:endParaRPr>
        </a:p>
      </xdr:txBody>
    </xdr:sp>
    <xdr:clientData/>
  </xdr:twoCellAnchor>
  <xdr:twoCellAnchor>
    <xdr:from>
      <xdr:col>9</xdr:col>
      <xdr:colOff>12700</xdr:colOff>
      <xdr:row>7</xdr:row>
      <xdr:rowOff>134937</xdr:rowOff>
    </xdr:from>
    <xdr:to>
      <xdr:col>11</xdr:col>
      <xdr:colOff>250826</xdr:colOff>
      <xdr:row>11</xdr:row>
      <xdr:rowOff>153987</xdr:rowOff>
    </xdr:to>
    <xdr:sp macro="" textlink="">
      <xdr:nvSpPr>
        <xdr:cNvPr id="14" name="Retângulo de cantos arredondados 13" descr="ef89c39a-77b7-4f25-932f-4446ef9a665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5513388" y="1246187"/>
          <a:ext cx="1460501" cy="654050"/>
        </a:xfrm>
        <a:prstGeom prst="roundRect">
          <a:avLst>
            <a:gd name="adj" fmla="val 12870"/>
          </a:avLst>
        </a:prstGeom>
        <a:ln w="12700"/>
        <a:effectLst>
          <a:glow rad="101600">
            <a:schemeClr val="accent6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 b="1">
              <a:latin typeface="Arial Narrow" pitchFamily="34" charset="0"/>
            </a:rPr>
            <a:t>ORÇAMENTO             </a:t>
          </a:r>
        </a:p>
        <a:p>
          <a:pPr algn="ctr"/>
          <a:r>
            <a:rPr lang="pt-BR" sz="1100" b="1">
              <a:latin typeface="Arial Narrow" pitchFamily="34" charset="0"/>
            </a:rPr>
            <a:t>  PRODUÇÃO </a:t>
          </a:r>
        </a:p>
      </xdr:txBody>
    </xdr:sp>
    <xdr:clientData/>
  </xdr:twoCellAnchor>
  <xdr:twoCellAnchor>
    <xdr:from>
      <xdr:col>12</xdr:col>
      <xdr:colOff>4764</xdr:colOff>
      <xdr:row>7</xdr:row>
      <xdr:rowOff>149224</xdr:rowOff>
    </xdr:from>
    <xdr:to>
      <xdr:col>14</xdr:col>
      <xdr:colOff>242890</xdr:colOff>
      <xdr:row>12</xdr:row>
      <xdr:rowOff>9524</xdr:rowOff>
    </xdr:to>
    <xdr:sp macro="" textlink="">
      <xdr:nvSpPr>
        <xdr:cNvPr id="15" name="Retângulo de cantos arredondados 14" descr="7412207d-321a-4ca6-a71c-3309ff06908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7339014" y="1260474"/>
          <a:ext cx="1460501" cy="654050"/>
        </a:xfrm>
        <a:prstGeom prst="roundRect">
          <a:avLst>
            <a:gd name="adj" fmla="val 12870"/>
          </a:avLst>
        </a:prstGeom>
        <a:ln w="12700"/>
        <a:effectLst>
          <a:glow rad="101600">
            <a:schemeClr val="accent6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 b="1">
              <a:latin typeface="Arial Narrow" pitchFamily="34" charset="0"/>
            </a:rPr>
            <a:t>ORÇAMENTO  </a:t>
          </a:r>
        </a:p>
        <a:p>
          <a:pPr algn="ctr"/>
          <a:r>
            <a:rPr lang="pt-BR" sz="1100" b="1">
              <a:latin typeface="Arial Narrow" pitchFamily="34" charset="0"/>
            </a:rPr>
            <a:t> ADMINSTRAÇÃO</a:t>
          </a:r>
        </a:p>
      </xdr:txBody>
    </xdr:sp>
    <xdr:clientData/>
  </xdr:twoCellAnchor>
  <xdr:twoCellAnchor>
    <xdr:from>
      <xdr:col>15</xdr:col>
      <xdr:colOff>26988</xdr:colOff>
      <xdr:row>7</xdr:row>
      <xdr:rowOff>128587</xdr:rowOff>
    </xdr:from>
    <xdr:to>
      <xdr:col>17</xdr:col>
      <xdr:colOff>265114</xdr:colOff>
      <xdr:row>11</xdr:row>
      <xdr:rowOff>147637</xdr:rowOff>
    </xdr:to>
    <xdr:sp macro="" textlink="">
      <xdr:nvSpPr>
        <xdr:cNvPr id="16" name="Retângulo de cantos arredondados 15" descr="7412207d-321a-4ca6-a71c-3309ff06908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9194801" y="1239837"/>
          <a:ext cx="1460501" cy="654050"/>
        </a:xfrm>
        <a:prstGeom prst="roundRect">
          <a:avLst>
            <a:gd name="adj" fmla="val 12870"/>
          </a:avLst>
        </a:prstGeom>
        <a:ln w="12700"/>
        <a:effectLst>
          <a:glow rad="101600">
            <a:schemeClr val="accent6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 b="1">
              <a:latin typeface="Arial Narrow" pitchFamily="34" charset="0"/>
            </a:rPr>
            <a:t>ORÇAMENTO  </a:t>
          </a:r>
        </a:p>
        <a:p>
          <a:pPr algn="ctr"/>
          <a:r>
            <a:rPr lang="pt-BR" sz="1100" b="1">
              <a:latin typeface="Arial Narrow" pitchFamily="34" charset="0"/>
            </a:rPr>
            <a:t>COMERCIAL</a:t>
          </a:r>
        </a:p>
      </xdr:txBody>
    </xdr:sp>
    <xdr:clientData/>
  </xdr:twoCellAnchor>
  <xdr:twoCellAnchor>
    <xdr:from>
      <xdr:col>0</xdr:col>
      <xdr:colOff>15876</xdr:colOff>
      <xdr:row>14</xdr:row>
      <xdr:rowOff>130175</xdr:rowOff>
    </xdr:from>
    <xdr:to>
      <xdr:col>2</xdr:col>
      <xdr:colOff>254002</xdr:colOff>
      <xdr:row>18</xdr:row>
      <xdr:rowOff>149225</xdr:rowOff>
    </xdr:to>
    <xdr:sp macro="" textlink="">
      <xdr:nvSpPr>
        <xdr:cNvPr id="17" name="Retângulo de cantos arredondados 16" descr="7412207d-321a-4ca6-a71c-3309ff06908a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5876" y="2352675"/>
          <a:ext cx="1460501" cy="654050"/>
        </a:xfrm>
        <a:prstGeom prst="roundRect">
          <a:avLst>
            <a:gd name="adj" fmla="val 12870"/>
          </a:avLst>
        </a:prstGeom>
        <a:ln w="12700"/>
        <a:effectLst>
          <a:glow rad="101600">
            <a:schemeClr val="accent6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 b="1">
              <a:latin typeface="Arial Narrow" pitchFamily="34" charset="0"/>
            </a:rPr>
            <a:t>DRE</a:t>
          </a:r>
        </a:p>
      </xdr:txBody>
    </xdr:sp>
    <xdr:clientData/>
  </xdr:twoCellAnchor>
  <xdr:twoCellAnchor>
    <xdr:from>
      <xdr:col>3</xdr:col>
      <xdr:colOff>6349</xdr:colOff>
      <xdr:row>14</xdr:row>
      <xdr:rowOff>142876</xdr:rowOff>
    </xdr:from>
    <xdr:to>
      <xdr:col>5</xdr:col>
      <xdr:colOff>244475</xdr:colOff>
      <xdr:row>19</xdr:row>
      <xdr:rowOff>3176</xdr:rowOff>
    </xdr:to>
    <xdr:sp macro="" textlink="">
      <xdr:nvSpPr>
        <xdr:cNvPr id="18" name="Retângulo de cantos arredondados 17" descr="7412207d-321a-4ca6-a71c-3309ff06908a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839912" y="2365376"/>
          <a:ext cx="1460501" cy="654050"/>
        </a:xfrm>
        <a:prstGeom prst="roundRect">
          <a:avLst>
            <a:gd name="adj" fmla="val 12870"/>
          </a:avLst>
        </a:prstGeom>
        <a:ln w="12700"/>
        <a:effectLst>
          <a:glow rad="101600">
            <a:schemeClr val="accent6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 b="1">
              <a:latin typeface="Arial Narrow" pitchFamily="34" charset="0"/>
            </a:rPr>
            <a:t>FLUXO  DE  CAIXA</a:t>
          </a:r>
        </a:p>
      </xdr:txBody>
    </xdr:sp>
    <xdr:clientData/>
  </xdr:twoCellAnchor>
  <xdr:twoCellAnchor>
    <xdr:from>
      <xdr:col>6</xdr:col>
      <xdr:colOff>17463</xdr:colOff>
      <xdr:row>14</xdr:row>
      <xdr:rowOff>128587</xdr:rowOff>
    </xdr:from>
    <xdr:to>
      <xdr:col>8</xdr:col>
      <xdr:colOff>255589</xdr:colOff>
      <xdr:row>18</xdr:row>
      <xdr:rowOff>147637</xdr:rowOff>
    </xdr:to>
    <xdr:sp macro="" textlink="">
      <xdr:nvSpPr>
        <xdr:cNvPr id="19" name="Retângulo de cantos arredondados 18" descr="7412207d-321a-4ca6-a71c-3309ff06908a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3684588" y="2351087"/>
          <a:ext cx="1460501" cy="654050"/>
        </a:xfrm>
        <a:prstGeom prst="roundRect">
          <a:avLst>
            <a:gd name="adj" fmla="val 12870"/>
          </a:avLst>
        </a:prstGeom>
        <a:ln w="12700"/>
        <a:effectLst>
          <a:glow rad="101600">
            <a:schemeClr val="accent6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 b="1">
              <a:latin typeface="Arial Narrow" pitchFamily="34" charset="0"/>
            </a:rPr>
            <a:t>INDICADORES </a:t>
          </a:r>
        </a:p>
        <a:p>
          <a:pPr algn="ctr"/>
          <a:r>
            <a:rPr lang="pt-BR" sz="1100" b="1">
              <a:latin typeface="Arial Narrow" pitchFamily="34" charset="0"/>
            </a:rPr>
            <a:t>DE</a:t>
          </a:r>
        </a:p>
        <a:p>
          <a:pPr algn="ctr"/>
          <a:r>
            <a:rPr lang="pt-BR" sz="1100" b="1">
              <a:latin typeface="Arial Narrow" pitchFamily="34" charset="0"/>
            </a:rPr>
            <a:t> VIABILIDADE</a:t>
          </a:r>
        </a:p>
      </xdr:txBody>
    </xdr:sp>
    <xdr:clientData/>
  </xdr:twoCellAnchor>
  <xdr:twoCellAnchor>
    <xdr:from>
      <xdr:col>9</xdr:col>
      <xdr:colOff>25402</xdr:colOff>
      <xdr:row>14</xdr:row>
      <xdr:rowOff>127000</xdr:rowOff>
    </xdr:from>
    <xdr:to>
      <xdr:col>11</xdr:col>
      <xdr:colOff>263528</xdr:colOff>
      <xdr:row>18</xdr:row>
      <xdr:rowOff>146050</xdr:rowOff>
    </xdr:to>
    <xdr:sp macro="" textlink="">
      <xdr:nvSpPr>
        <xdr:cNvPr id="20" name="Retângulo de cantos arredondados 19" descr="7412207d-321a-4ca6-a71c-3309ff06908a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5526090" y="2349500"/>
          <a:ext cx="1460501" cy="654050"/>
        </a:xfrm>
        <a:prstGeom prst="roundRect">
          <a:avLst>
            <a:gd name="adj" fmla="val 12870"/>
          </a:avLst>
        </a:prstGeom>
        <a:ln w="12700"/>
        <a:effectLst>
          <a:glow rad="101600">
            <a:schemeClr val="accent6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 b="1">
              <a:latin typeface="Arial Narrow" pitchFamily="34" charset="0"/>
            </a:rPr>
            <a:t>PAYBACK</a:t>
          </a:r>
        </a:p>
      </xdr:txBody>
    </xdr:sp>
    <xdr:clientData/>
  </xdr:twoCellAnchor>
  <xdr:twoCellAnchor>
    <xdr:from>
      <xdr:col>12</xdr:col>
      <xdr:colOff>26988</xdr:colOff>
      <xdr:row>14</xdr:row>
      <xdr:rowOff>128587</xdr:rowOff>
    </xdr:from>
    <xdr:to>
      <xdr:col>14</xdr:col>
      <xdr:colOff>265114</xdr:colOff>
      <xdr:row>18</xdr:row>
      <xdr:rowOff>147637</xdr:rowOff>
    </xdr:to>
    <xdr:sp macro="" textlink="">
      <xdr:nvSpPr>
        <xdr:cNvPr id="21" name="Retângulo de cantos arredondados 20" descr="7412207d-321a-4ca6-a71c-3309ff06908a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7361238" y="2351087"/>
          <a:ext cx="1460501" cy="654050"/>
        </a:xfrm>
        <a:prstGeom prst="roundRect">
          <a:avLst>
            <a:gd name="adj" fmla="val 12870"/>
          </a:avLst>
        </a:prstGeom>
        <a:ln w="12700"/>
        <a:effectLst>
          <a:glow rad="101600">
            <a:schemeClr val="accent6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 b="1">
              <a:latin typeface="Arial Narrow" pitchFamily="34" charset="0"/>
            </a:rPr>
            <a:t>RISCO </a:t>
          </a:r>
        </a:p>
        <a:p>
          <a:pPr algn="ctr"/>
          <a:r>
            <a:rPr lang="pt-BR" sz="1100" b="1">
              <a:latin typeface="Arial Narrow" pitchFamily="34" charset="0"/>
            </a:rPr>
            <a:t>DE</a:t>
          </a:r>
        </a:p>
        <a:p>
          <a:pPr algn="ctr"/>
          <a:r>
            <a:rPr lang="pt-BR" sz="1100" b="1">
              <a:latin typeface="Arial Narrow" pitchFamily="34" charset="0"/>
            </a:rPr>
            <a:t>GESTÃO</a:t>
          </a:r>
        </a:p>
      </xdr:txBody>
    </xdr:sp>
    <xdr:clientData/>
  </xdr:twoCellAnchor>
  <xdr:twoCellAnchor>
    <xdr:from>
      <xdr:col>0</xdr:col>
      <xdr:colOff>39687</xdr:colOff>
      <xdr:row>21</xdr:row>
      <xdr:rowOff>127000</xdr:rowOff>
    </xdr:from>
    <xdr:to>
      <xdr:col>2</xdr:col>
      <xdr:colOff>277813</xdr:colOff>
      <xdr:row>25</xdr:row>
      <xdr:rowOff>146050</xdr:rowOff>
    </xdr:to>
    <xdr:sp macro="" textlink="">
      <xdr:nvSpPr>
        <xdr:cNvPr id="22" name="Retângulo de cantos arredondados 21" descr="7412207d-321a-4ca6-a71c-3309ff06908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39687" y="3460750"/>
          <a:ext cx="1460501" cy="654050"/>
        </a:xfrm>
        <a:prstGeom prst="roundRect">
          <a:avLst>
            <a:gd name="adj" fmla="val 12870"/>
          </a:avLst>
        </a:prstGeom>
        <a:ln w="12700"/>
        <a:effectLst>
          <a:glow rad="101600">
            <a:schemeClr val="accent6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 b="1">
              <a:latin typeface="Arial Narrow" pitchFamily="34" charset="0"/>
            </a:rPr>
            <a:t>RISCO </a:t>
          </a:r>
        </a:p>
        <a:p>
          <a:pPr algn="ctr"/>
          <a:r>
            <a:rPr lang="pt-BR" sz="1100" b="1">
              <a:latin typeface="Arial Narrow" pitchFamily="34" charset="0"/>
            </a:rPr>
            <a:t>DE</a:t>
          </a:r>
        </a:p>
        <a:p>
          <a:pPr algn="ctr"/>
          <a:r>
            <a:rPr lang="pt-BR" sz="1100" b="1">
              <a:latin typeface="Arial Narrow" pitchFamily="34" charset="0"/>
            </a:rPr>
            <a:t>NEGÓCIO</a:t>
          </a:r>
        </a:p>
      </xdr:txBody>
    </xdr:sp>
    <xdr:clientData/>
  </xdr:twoCellAnchor>
  <xdr:twoCellAnchor>
    <xdr:from>
      <xdr:col>3</xdr:col>
      <xdr:colOff>12698</xdr:colOff>
      <xdr:row>21</xdr:row>
      <xdr:rowOff>125411</xdr:rowOff>
    </xdr:from>
    <xdr:to>
      <xdr:col>5</xdr:col>
      <xdr:colOff>250824</xdr:colOff>
      <xdr:row>25</xdr:row>
      <xdr:rowOff>144461</xdr:rowOff>
    </xdr:to>
    <xdr:sp macro="" textlink="">
      <xdr:nvSpPr>
        <xdr:cNvPr id="23" name="Retângulo de cantos arredondados 22" descr="7412207d-321a-4ca6-a71c-3309ff06908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846261" y="3459161"/>
          <a:ext cx="1460501" cy="654050"/>
        </a:xfrm>
        <a:prstGeom prst="roundRect">
          <a:avLst>
            <a:gd name="adj" fmla="val 12870"/>
          </a:avLst>
        </a:prstGeom>
        <a:ln w="12700"/>
        <a:effectLst>
          <a:glow rad="101600">
            <a:schemeClr val="accent6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 b="1">
              <a:latin typeface="Arial Narrow" pitchFamily="34" charset="0"/>
            </a:rPr>
            <a:t>RISCOS </a:t>
          </a:r>
        </a:p>
        <a:p>
          <a:pPr algn="ctr"/>
          <a:r>
            <a:rPr lang="pt-BR" sz="1100" b="1">
              <a:latin typeface="Arial Narrow" pitchFamily="34" charset="0"/>
            </a:rPr>
            <a:t>PERCEBIDOS</a:t>
          </a:r>
        </a:p>
      </xdr:txBody>
    </xdr:sp>
    <xdr:clientData/>
  </xdr:twoCellAnchor>
  <xdr:twoCellAnchor>
    <xdr:from>
      <xdr:col>6</xdr:col>
      <xdr:colOff>26987</xdr:colOff>
      <xdr:row>21</xdr:row>
      <xdr:rowOff>130175</xdr:rowOff>
    </xdr:from>
    <xdr:to>
      <xdr:col>8</xdr:col>
      <xdr:colOff>265113</xdr:colOff>
      <xdr:row>25</xdr:row>
      <xdr:rowOff>149225</xdr:rowOff>
    </xdr:to>
    <xdr:sp macro="" textlink="">
      <xdr:nvSpPr>
        <xdr:cNvPr id="24" name="Retângulo de cantos arredondados 23" descr="7412207d-321a-4ca6-a71c-3309ff06908a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3694112" y="3463925"/>
          <a:ext cx="1460501" cy="654050"/>
        </a:xfrm>
        <a:prstGeom prst="roundRect">
          <a:avLst>
            <a:gd name="adj" fmla="val 12870"/>
          </a:avLst>
        </a:prstGeom>
        <a:ln w="12700"/>
        <a:effectLst>
          <a:glow rad="101600">
            <a:schemeClr val="accent6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 b="1">
              <a:latin typeface="Arial Narrow" pitchFamily="34" charset="0"/>
            </a:rPr>
            <a:t>QUADRO</a:t>
          </a:r>
        </a:p>
        <a:p>
          <a:pPr algn="ctr"/>
          <a:r>
            <a:rPr lang="pt-BR" sz="1100" b="1">
              <a:latin typeface="Arial Narrow" pitchFamily="34" charset="0"/>
            </a:rPr>
            <a:t> SÍNTESE</a:t>
          </a:r>
        </a:p>
      </xdr:txBody>
    </xdr:sp>
    <xdr:clientData/>
  </xdr:twoCellAnchor>
  <xdr:twoCellAnchor>
    <xdr:from>
      <xdr:col>9</xdr:col>
      <xdr:colOff>20637</xdr:colOff>
      <xdr:row>21</xdr:row>
      <xdr:rowOff>133349</xdr:rowOff>
    </xdr:from>
    <xdr:to>
      <xdr:col>11</xdr:col>
      <xdr:colOff>258763</xdr:colOff>
      <xdr:row>25</xdr:row>
      <xdr:rowOff>152399</xdr:rowOff>
    </xdr:to>
    <xdr:sp macro="" textlink="">
      <xdr:nvSpPr>
        <xdr:cNvPr id="25" name="Retângulo de cantos arredondados 24" descr="7412207d-321a-4ca6-a71c-3309ff06908a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5521325" y="3467099"/>
          <a:ext cx="1460501" cy="654050"/>
        </a:xfrm>
        <a:prstGeom prst="roundRect">
          <a:avLst>
            <a:gd name="adj" fmla="val 12870"/>
          </a:avLst>
        </a:prstGeom>
        <a:ln w="12700"/>
        <a:effectLst>
          <a:glow rad="101600">
            <a:schemeClr val="accent6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 b="1">
              <a:latin typeface="Arial Narrow" pitchFamily="34" charset="0"/>
            </a:rPr>
            <a:t>GRÁFICOS</a:t>
          </a:r>
        </a:p>
      </xdr:txBody>
    </xdr:sp>
    <xdr:clientData/>
  </xdr:twoCellAnchor>
  <xdr:twoCellAnchor>
    <xdr:from>
      <xdr:col>2</xdr:col>
      <xdr:colOff>596900</xdr:colOff>
      <xdr:row>0</xdr:row>
      <xdr:rowOff>157163</xdr:rowOff>
    </xdr:from>
    <xdr:to>
      <xdr:col>5</xdr:col>
      <xdr:colOff>225426</xdr:colOff>
      <xdr:row>5</xdr:row>
      <xdr:rowOff>17463</xdr:rowOff>
    </xdr:to>
    <xdr:sp macro="" textlink="">
      <xdr:nvSpPr>
        <xdr:cNvPr id="27" name="Retângulo de cantos arredondados 26" descr="9e5491f9-56c5-461f-8f38-cf2b0ac2fc26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819275" y="157163"/>
          <a:ext cx="1462089" cy="654050"/>
        </a:xfrm>
        <a:prstGeom prst="roundRect">
          <a:avLst>
            <a:gd name="adj" fmla="val 12870"/>
          </a:avLst>
        </a:prstGeom>
        <a:ln w="12700"/>
        <a:effectLst>
          <a:glow rad="101600">
            <a:schemeClr val="accent6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pt-BR" sz="1100" b="1">
              <a:latin typeface="Arial Narrow" pitchFamily="34" charset="0"/>
            </a:rPr>
            <a:t>PREVISÃO</a:t>
          </a:r>
          <a:r>
            <a:rPr lang="pt-BR" sz="1100" b="1" baseline="0">
              <a:latin typeface="Arial Narrow" pitchFamily="34" charset="0"/>
            </a:rPr>
            <a:t>                DE                  DEMANDA</a:t>
          </a:r>
          <a:endParaRPr lang="pt-BR" sz="1100" b="1">
            <a:latin typeface="Arial Narrow" pitchFamily="34" charset="0"/>
          </a:endParaRPr>
        </a:p>
      </xdr:txBody>
    </xdr:sp>
    <xdr:clientData/>
  </xdr:twoCellAnchor>
  <xdr:twoCellAnchor>
    <xdr:from>
      <xdr:col>12</xdr:col>
      <xdr:colOff>609141</xdr:colOff>
      <xdr:row>22</xdr:row>
      <xdr:rowOff>14848</xdr:rowOff>
    </xdr:from>
    <xdr:to>
      <xdr:col>17</xdr:col>
      <xdr:colOff>413084</xdr:colOff>
      <xdr:row>26</xdr:row>
      <xdr:rowOff>152961</xdr:rowOff>
    </xdr:to>
    <xdr:sp macro="" textlink="">
      <xdr:nvSpPr>
        <xdr:cNvPr id="28" name="Retângulo de cantos arredondados 27" descr="a4067990-e8ff-44dd-a3a7-dc88e225ebeb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 rot="5400000">
          <a:off x="8986775" y="2463964"/>
          <a:ext cx="773113" cy="2859881"/>
        </a:xfrm>
        <a:prstGeom prst="roundRect">
          <a:avLst>
            <a:gd name="adj" fmla="val 12870"/>
          </a:avLst>
        </a:prstGeom>
        <a:solidFill>
          <a:srgbClr val="92D050"/>
        </a:solidFill>
        <a:ln w="12700"/>
        <a:effectLst>
          <a:glow rad="101600">
            <a:schemeClr val="accent6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vert="vert270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>
              <a:solidFill>
                <a:schemeClr val="dk1"/>
              </a:solidFill>
              <a:latin typeface="Arial" pitchFamily="34" charset="0"/>
              <a:ea typeface="Arial Unicode MS" pitchFamily="34" charset="-128"/>
              <a:cs typeface="Arial" pitchFamily="34" charset="0"/>
            </a:rPr>
            <a:t>Prof.</a:t>
          </a:r>
          <a:r>
            <a:rPr lang="pt-BR" sz="1800" b="1" baseline="0">
              <a:solidFill>
                <a:schemeClr val="dk1"/>
              </a:solidFill>
              <a:latin typeface="Arial" pitchFamily="34" charset="0"/>
              <a:ea typeface="Arial Unicode MS" pitchFamily="34" charset="-128"/>
              <a:cs typeface="Arial" pitchFamily="34" charset="0"/>
            </a:rPr>
            <a:t>  Dr. Alceu Souza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PPAD/PUCPR</a:t>
          </a:r>
          <a:endParaRPr lang="pt-BR" sz="1800" b="1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</xdr:col>
      <xdr:colOff>352425</xdr:colOff>
      <xdr:row>2</xdr:row>
      <xdr:rowOff>152400</xdr:rowOff>
    </xdr:to>
    <xdr:sp macro="" textlink="">
      <xdr:nvSpPr>
        <xdr:cNvPr id="2" name="Retângulo de cantos arredondados 1" descr="d993eaa1-5053-4fc9-a846-4981aa15732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0" y="19050"/>
          <a:ext cx="962025" cy="457200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400" b="1" i="1"/>
            <a:t>VOLTAR</a:t>
          </a:r>
        </a:p>
      </xdr:txBody>
    </xdr:sp>
    <xdr:clientData/>
  </xdr:twoCellAnchor>
  <xdr:twoCellAnchor>
    <xdr:from>
      <xdr:col>1</xdr:col>
      <xdr:colOff>523875</xdr:colOff>
      <xdr:row>4</xdr:row>
      <xdr:rowOff>57150</xdr:rowOff>
    </xdr:from>
    <xdr:to>
      <xdr:col>5</xdr:col>
      <xdr:colOff>428625</xdr:colOff>
      <xdr:row>10</xdr:row>
      <xdr:rowOff>28575</xdr:rowOff>
    </xdr:to>
    <xdr:sp macro="" textlink="">
      <xdr:nvSpPr>
        <xdr:cNvPr id="3" name="Retângulo de cantos arredondados 2" descr="3198f5a4-be74-4f49-9b61-320e74d4b90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1133475" y="704850"/>
          <a:ext cx="2343150" cy="942975"/>
        </a:xfrm>
        <a:prstGeom prst="roundRect">
          <a:avLst/>
        </a:prstGeom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800" b="1" i="1">
              <a:solidFill>
                <a:srgbClr val="FF0000"/>
              </a:solidFill>
            </a:rPr>
            <a:t>LUCRO</a:t>
          </a:r>
          <a:r>
            <a:rPr lang="pt-BR" sz="1800" b="1" i="1" baseline="0">
              <a:solidFill>
                <a:srgbClr val="FF0000"/>
              </a:solidFill>
            </a:rPr>
            <a:t>  REAL INDÚSTRIA</a:t>
          </a:r>
          <a:endParaRPr lang="pt-BR" sz="1800" b="1" i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542925</xdr:colOff>
      <xdr:row>20</xdr:row>
      <xdr:rowOff>85725</xdr:rowOff>
    </xdr:from>
    <xdr:to>
      <xdr:col>11</xdr:col>
      <xdr:colOff>447675</xdr:colOff>
      <xdr:row>26</xdr:row>
      <xdr:rowOff>57150</xdr:rowOff>
    </xdr:to>
    <xdr:sp macro="" textlink="">
      <xdr:nvSpPr>
        <xdr:cNvPr id="7" name="Retângulo de cantos arredondados 6" descr="0580ca71-ad3f-43de-a8fd-e128ec49739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>
          <a:off x="4810125" y="3324225"/>
          <a:ext cx="2343150" cy="942975"/>
        </a:xfrm>
        <a:prstGeom prst="roundRect">
          <a:avLst/>
        </a:prstGeom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800" b="1" i="1">
              <a:solidFill>
                <a:srgbClr val="FF0000"/>
              </a:solidFill>
            </a:rPr>
            <a:t>LUCRO</a:t>
          </a:r>
          <a:r>
            <a:rPr lang="pt-BR" sz="1800" b="1" i="1" baseline="0">
              <a:solidFill>
                <a:srgbClr val="FF0000"/>
              </a:solidFill>
            </a:rPr>
            <a:t>  PRESUMIDO</a:t>
          </a:r>
          <a:endParaRPr lang="pt-BR" sz="1800" b="1" i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123825</xdr:colOff>
      <xdr:row>28</xdr:row>
      <xdr:rowOff>47625</xdr:rowOff>
    </xdr:from>
    <xdr:to>
      <xdr:col>15</xdr:col>
      <xdr:colOff>28575</xdr:colOff>
      <xdr:row>34</xdr:row>
      <xdr:rowOff>19050</xdr:rowOff>
    </xdr:to>
    <xdr:sp macro="" textlink="">
      <xdr:nvSpPr>
        <xdr:cNvPr id="9" name="Retângulo de cantos arredondados 8" descr="72abf849-d616-43b0-81ae-5103bd39bcf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/>
      </xdr:nvSpPr>
      <xdr:spPr>
        <a:xfrm>
          <a:off x="6829425" y="4581525"/>
          <a:ext cx="2343150" cy="942975"/>
        </a:xfrm>
        <a:prstGeom prst="roundRect">
          <a:avLst/>
        </a:prstGeom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800" b="1" i="1">
              <a:solidFill>
                <a:srgbClr val="FF0000"/>
              </a:solidFill>
            </a:rPr>
            <a:t>SIMPLES</a:t>
          </a:r>
        </a:p>
      </xdr:txBody>
    </xdr:sp>
    <xdr:clientData/>
  </xdr:twoCellAnchor>
  <xdr:twoCellAnchor>
    <xdr:from>
      <xdr:col>4</xdr:col>
      <xdr:colOff>466725</xdr:colOff>
      <xdr:row>12</xdr:row>
      <xdr:rowOff>114300</xdr:rowOff>
    </xdr:from>
    <xdr:to>
      <xdr:col>8</xdr:col>
      <xdr:colOff>371475</xdr:colOff>
      <xdr:row>18</xdr:row>
      <xdr:rowOff>85725</xdr:rowOff>
    </xdr:to>
    <xdr:sp macro="" textlink="">
      <xdr:nvSpPr>
        <xdr:cNvPr id="6" name="Retângulo de cantos arredondados 5" descr="e6c5101c-a437-4170-81f2-ecb9212e529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2905125" y="2057400"/>
          <a:ext cx="2343150" cy="942975"/>
        </a:xfrm>
        <a:prstGeom prst="roundRect">
          <a:avLst/>
        </a:prstGeom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800" b="1" i="1">
              <a:solidFill>
                <a:srgbClr val="FF0000"/>
              </a:solidFill>
            </a:rPr>
            <a:t>LUCRO</a:t>
          </a:r>
          <a:r>
            <a:rPr lang="pt-BR" sz="1800" b="1" i="1" baseline="0">
              <a:solidFill>
                <a:srgbClr val="FF0000"/>
              </a:solidFill>
            </a:rPr>
            <a:t>  REAL SERVIÇOS</a:t>
          </a:r>
          <a:endParaRPr lang="pt-BR" sz="1800" b="1" i="1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0</xdr:col>
      <xdr:colOff>1009650</xdr:colOff>
      <xdr:row>2</xdr:row>
      <xdr:rowOff>76200</xdr:rowOff>
    </xdr:to>
    <xdr:sp macro="" textlink="">
      <xdr:nvSpPr>
        <xdr:cNvPr id="9" name="Retângulo de cantos arredondados 8" descr="b2f21ef7-571b-4d58-9100-dcf4fdaa14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/>
      </xdr:nvSpPr>
      <xdr:spPr>
        <a:xfrm>
          <a:off x="47625" y="38100"/>
          <a:ext cx="962025" cy="457200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400" b="1" i="1"/>
            <a:t>VOLTAR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962025</xdr:colOff>
      <xdr:row>2</xdr:row>
      <xdr:rowOff>38100</xdr:rowOff>
    </xdr:to>
    <xdr:sp macro="" textlink="">
      <xdr:nvSpPr>
        <xdr:cNvPr id="4" name="Retângulo de cantos arredondados 3" descr="06c42c05-c80d-4af3-80cf-f129080c441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/>
      </xdr:nvSpPr>
      <xdr:spPr>
        <a:xfrm>
          <a:off x="0" y="0"/>
          <a:ext cx="962025" cy="457200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400" b="1" i="1"/>
            <a:t>VOLTAR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857250</xdr:colOff>
      <xdr:row>2</xdr:row>
      <xdr:rowOff>114300</xdr:rowOff>
    </xdr:to>
    <xdr:sp macro="" textlink="">
      <xdr:nvSpPr>
        <xdr:cNvPr id="3" name="Bisel 2" descr="0e19f8c1-8342-4baa-b017-a1a91067d68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/>
      </xdr:nvSpPr>
      <xdr:spPr>
        <a:xfrm>
          <a:off x="0" y="0"/>
          <a:ext cx="857250" cy="533400"/>
        </a:xfrm>
        <a:prstGeom prst="bevel">
          <a:avLst/>
        </a:prstGeom>
        <a:solidFill>
          <a:srgbClr val="00B050"/>
        </a:solidFill>
        <a:ln/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400" b="1" i="1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Voltar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247650</xdr:colOff>
      <xdr:row>2</xdr:row>
      <xdr:rowOff>0</xdr:rowOff>
    </xdr:to>
    <xdr:sp macro="" textlink="">
      <xdr:nvSpPr>
        <xdr:cNvPr id="2" name="Bisel 1" descr="0e19f8c1-8342-4baa-b017-a1a91067d68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0" y="19050"/>
          <a:ext cx="857250" cy="476250"/>
        </a:xfrm>
        <a:prstGeom prst="bevel">
          <a:avLst/>
        </a:prstGeom>
        <a:solidFill>
          <a:srgbClr val="00B050"/>
        </a:solidFill>
        <a:ln/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400" b="1" i="1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Voltar</a:t>
          </a:r>
        </a:p>
      </xdr:txBody>
    </xdr:sp>
    <xdr:clientData/>
  </xdr:twoCellAnchor>
  <xdr:twoCellAnchor>
    <xdr:from>
      <xdr:col>3</xdr:col>
      <xdr:colOff>1651002</xdr:colOff>
      <xdr:row>13</xdr:row>
      <xdr:rowOff>73023</xdr:rowOff>
    </xdr:from>
    <xdr:to>
      <xdr:col>15</xdr:col>
      <xdr:colOff>116419</xdr:colOff>
      <xdr:row>33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F561B3-279C-4344-8A2A-6E00FB86D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4</xdr:row>
      <xdr:rowOff>108858</xdr:rowOff>
    </xdr:from>
    <xdr:to>
      <xdr:col>12</xdr:col>
      <xdr:colOff>898072</xdr:colOff>
      <xdr:row>27</xdr:row>
      <xdr:rowOff>54429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09860E-607C-4EF2-A495-CB9B486F1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sp macro="" textlink="">
      <xdr:nvSpPr>
        <xdr:cNvPr id="2" name="Bisel 1" descr="0e19f8c1-8342-4baa-b017-a1a91067d68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/>
      </xdr:nvSpPr>
      <xdr:spPr>
        <a:xfrm>
          <a:off x="0" y="0"/>
          <a:ext cx="857250" cy="523875"/>
        </a:xfrm>
        <a:prstGeom prst="bevel">
          <a:avLst/>
        </a:prstGeom>
        <a:solidFill>
          <a:srgbClr val="00B050"/>
        </a:solidFill>
        <a:ln/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400" b="1" i="1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Voltar</a:t>
          </a:r>
        </a:p>
      </xdr:txBody>
    </xdr:sp>
    <xdr:clientData/>
  </xdr:twoCellAnchor>
  <xdr:twoCellAnchor>
    <xdr:from>
      <xdr:col>7</xdr:col>
      <xdr:colOff>381000</xdr:colOff>
      <xdr:row>7</xdr:row>
      <xdr:rowOff>142875</xdr:rowOff>
    </xdr:from>
    <xdr:to>
      <xdr:col>14</xdr:col>
      <xdr:colOff>57150</xdr:colOff>
      <xdr:row>20</xdr:row>
      <xdr:rowOff>161925</xdr:rowOff>
    </xdr:to>
    <xdr:graphicFrame macro="">
      <xdr:nvGraphicFramePr>
        <xdr:cNvPr id="201558" name="Gráfico 4">
          <a:extLst>
            <a:ext uri="{FF2B5EF4-FFF2-40B4-BE49-F238E27FC236}">
              <a16:creationId xmlns:a16="http://schemas.microsoft.com/office/drawing/2014/main" id="{00000000-0008-0000-1B00-00005613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theme="1" tint="4.9989318521683403E-2"/>
  </sheetPr>
  <dimension ref="D6:Q21"/>
  <sheetViews>
    <sheetView zoomScaleNormal="100" workbookViewId="0"/>
  </sheetViews>
  <sheetFormatPr defaultColWidth="9.109375" defaultRowHeight="13.2" x14ac:dyDescent="0.25"/>
  <cols>
    <col min="1" max="16384" width="9.109375" style="20"/>
  </cols>
  <sheetData>
    <row r="6" spans="4:17" x14ac:dyDescent="0.25">
      <c r="D6" s="31"/>
      <c r="J6" s="32"/>
      <c r="K6" s="32"/>
      <c r="P6" s="32"/>
      <c r="Q6" s="32"/>
    </row>
    <row r="7" spans="4:17" x14ac:dyDescent="0.25">
      <c r="G7" s="21"/>
    </row>
    <row r="13" spans="4:17" x14ac:dyDescent="0.25">
      <c r="G13" s="31"/>
      <c r="H13" s="21"/>
      <c r="M13" s="32"/>
      <c r="N13" s="32"/>
      <c r="P13" s="32"/>
      <c r="Q13" s="32"/>
    </row>
    <row r="15" spans="4:17" x14ac:dyDescent="0.25">
      <c r="M15" s="32"/>
      <c r="N15" s="32"/>
      <c r="O15" s="32"/>
    </row>
    <row r="16" spans="4:17" x14ac:dyDescent="0.25">
      <c r="M16" s="32"/>
      <c r="N16" s="32"/>
      <c r="O16" s="32"/>
    </row>
    <row r="17" spans="10:15" x14ac:dyDescent="0.25">
      <c r="M17" s="32"/>
      <c r="N17" s="32"/>
      <c r="O17" s="32"/>
    </row>
    <row r="18" spans="10:15" x14ac:dyDescent="0.25">
      <c r="M18" s="32"/>
      <c r="N18" s="32"/>
      <c r="O18" s="32"/>
    </row>
    <row r="19" spans="10:15" x14ac:dyDescent="0.25">
      <c r="M19" s="32"/>
      <c r="N19" s="32"/>
      <c r="O19" s="32"/>
    </row>
    <row r="20" spans="10:15" x14ac:dyDescent="0.25">
      <c r="J20" s="31"/>
      <c r="M20" s="32"/>
      <c r="N20" s="32"/>
      <c r="O20" s="32"/>
    </row>
    <row r="21" spans="10:15" x14ac:dyDescent="0.25">
      <c r="M21" s="32"/>
      <c r="N21" s="32"/>
      <c r="O21" s="32"/>
    </row>
  </sheetData>
  <sheetProtection password="F716" sheet="1" objects="1" scenarios="1" selectLockedCells="1" selectUnlockedCells="1"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28">
    <tabColor rgb="FF0070C0"/>
  </sheetPr>
  <dimension ref="A1:M22"/>
  <sheetViews>
    <sheetView topLeftCell="A4" workbookViewId="0">
      <selection activeCell="A16" sqref="A16:XFD16"/>
    </sheetView>
  </sheetViews>
  <sheetFormatPr defaultColWidth="9.109375" defaultRowHeight="13.8" x14ac:dyDescent="0.25"/>
  <cols>
    <col min="1" max="1" width="12.88671875" style="13" customWidth="1"/>
    <col min="2" max="2" width="24.44140625" style="13" customWidth="1"/>
    <col min="3" max="13" width="10.6640625" style="13" customWidth="1"/>
    <col min="14" max="16384" width="9.109375" style="13"/>
  </cols>
  <sheetData>
    <row r="1" spans="1:13" ht="20.399999999999999" x14ac:dyDescent="0.35">
      <c r="B1" s="23" t="s">
        <v>49</v>
      </c>
    </row>
    <row r="4" spans="1:13" x14ac:dyDescent="0.25">
      <c r="C4" s="25" t="s">
        <v>36</v>
      </c>
      <c r="D4" s="25" t="s">
        <v>2</v>
      </c>
      <c r="E4" s="25" t="s">
        <v>4</v>
      </c>
      <c r="F4" s="25" t="s">
        <v>5</v>
      </c>
      <c r="G4" s="25" t="s">
        <v>6</v>
      </c>
      <c r="H4" s="25" t="s">
        <v>7</v>
      </c>
      <c r="I4" s="25" t="s">
        <v>8</v>
      </c>
      <c r="J4" s="25" t="s">
        <v>22</v>
      </c>
      <c r="K4" s="25" t="s">
        <v>23</v>
      </c>
      <c r="L4" s="25" t="s">
        <v>24</v>
      </c>
      <c r="M4" s="25" t="s">
        <v>25</v>
      </c>
    </row>
    <row r="5" spans="1:13" x14ac:dyDescent="0.25">
      <c r="B5" s="24" t="s">
        <v>56</v>
      </c>
      <c r="C5" s="24">
        <f>'FLUXO DE CAIXA'!E11</f>
        <v>0</v>
      </c>
      <c r="D5" s="24">
        <f>'FLUXO DE CAIXA'!F11</f>
        <v>250000</v>
      </c>
      <c r="E5" s="24">
        <f>'FLUXO DE CAIXA'!G11</f>
        <v>300000</v>
      </c>
      <c r="F5" s="24">
        <f>'FLUXO DE CAIXA'!H11</f>
        <v>400000</v>
      </c>
      <c r="G5" s="24">
        <f>'FLUXO DE CAIXA'!I11</f>
        <v>500000</v>
      </c>
      <c r="H5" s="24">
        <f>'FLUXO DE CAIXA'!J11</f>
        <v>600000</v>
      </c>
      <c r="I5" s="24">
        <f>'FLUXO DE CAIXA'!K11</f>
        <v>700000</v>
      </c>
      <c r="J5" s="24">
        <f>'FLUXO DE CAIXA'!L11</f>
        <v>700000</v>
      </c>
      <c r="K5" s="24">
        <f>'FLUXO DE CAIXA'!M11</f>
        <v>700000</v>
      </c>
      <c r="L5" s="24">
        <f>'FLUXO DE CAIXA'!N11</f>
        <v>800000</v>
      </c>
      <c r="M5" s="24">
        <f>'FLUXO DE CAIXA'!O11</f>
        <v>800000</v>
      </c>
    </row>
    <row r="6" spans="1:13" s="15" customFormat="1" x14ac:dyDescent="0.25"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s="15" customFormat="1" x14ac:dyDescent="0.25">
      <c r="A7" s="15" t="s">
        <v>50</v>
      </c>
      <c r="C7" s="5" t="e">
        <f>#REF!</f>
        <v>#REF!</v>
      </c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s="15" customFormat="1" x14ac:dyDescent="0.25">
      <c r="A8" s="15" t="s">
        <v>51</v>
      </c>
      <c r="C8" s="19" t="e">
        <f>#REF!</f>
        <v>#REF!</v>
      </c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 s="15" customFormat="1" x14ac:dyDescent="0.25"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3" x14ac:dyDescent="0.25">
      <c r="A10" s="233" t="s">
        <v>52</v>
      </c>
      <c r="B10" s="231" t="s">
        <v>57</v>
      </c>
      <c r="C10" s="231" t="s">
        <v>53</v>
      </c>
      <c r="D10" s="231" t="s">
        <v>54</v>
      </c>
      <c r="E10" s="231" t="s">
        <v>1</v>
      </c>
      <c r="F10" s="231" t="s">
        <v>0</v>
      </c>
      <c r="G10" s="231" t="s">
        <v>3</v>
      </c>
    </row>
    <row r="11" spans="1:13" x14ac:dyDescent="0.25">
      <c r="A11" s="234"/>
      <c r="B11" s="232"/>
      <c r="C11" s="232" t="s">
        <v>55</v>
      </c>
      <c r="D11" s="232"/>
      <c r="E11" s="232"/>
      <c r="F11" s="232"/>
      <c r="G11" s="232"/>
    </row>
    <row r="12" spans="1:13" x14ac:dyDescent="0.25">
      <c r="A12" s="17">
        <v>0</v>
      </c>
      <c r="B12" s="2">
        <f>C5</f>
        <v>0</v>
      </c>
      <c r="C12" s="2">
        <f>B12</f>
        <v>0</v>
      </c>
      <c r="D12" s="2" t="e">
        <f>C7</f>
        <v>#REF!</v>
      </c>
      <c r="E12" s="14"/>
      <c r="F12" s="14"/>
      <c r="G12" s="14"/>
      <c r="I12" s="18" t="e">
        <f>B12-D12</f>
        <v>#REF!</v>
      </c>
    </row>
    <row r="13" spans="1:13" x14ac:dyDescent="0.25">
      <c r="A13" s="17">
        <v>1</v>
      </c>
      <c r="B13" s="2">
        <f>D5</f>
        <v>250000</v>
      </c>
      <c r="C13" s="2" t="e">
        <v>#REF!</v>
      </c>
      <c r="D13" s="2" t="e">
        <f t="shared" ref="D13:D22" si="0">D12-F13</f>
        <v>#REF!</v>
      </c>
      <c r="E13" s="2" t="e">
        <f t="shared" ref="E13:E18" si="1">juro*D12</f>
        <v>#REF!</v>
      </c>
      <c r="F13" s="2">
        <v>0</v>
      </c>
      <c r="G13" s="2" t="e">
        <f>E13+F13</f>
        <v>#REF!</v>
      </c>
      <c r="I13" s="18" t="e">
        <f>C13-D13</f>
        <v>#REF!</v>
      </c>
    </row>
    <row r="14" spans="1:13" x14ac:dyDescent="0.25">
      <c r="A14" s="17">
        <v>2</v>
      </c>
      <c r="B14" s="2">
        <f>E5</f>
        <v>300000</v>
      </c>
      <c r="C14" s="2" t="e">
        <v>#REF!</v>
      </c>
      <c r="D14" s="2" t="e">
        <f t="shared" si="0"/>
        <v>#REF!</v>
      </c>
      <c r="E14" s="2" t="e">
        <f t="shared" si="1"/>
        <v>#REF!</v>
      </c>
      <c r="F14" s="2" t="e">
        <f>$D$12/5</f>
        <v>#REF!</v>
      </c>
      <c r="G14" s="2" t="e">
        <f t="shared" ref="G14:G22" si="2">E14+F14</f>
        <v>#REF!</v>
      </c>
      <c r="I14" s="18" t="e">
        <f t="shared" ref="I14:I21" si="3">C14-D14</f>
        <v>#REF!</v>
      </c>
    </row>
    <row r="15" spans="1:13" x14ac:dyDescent="0.25">
      <c r="A15" s="17">
        <v>3</v>
      </c>
      <c r="B15" s="2">
        <f>F5</f>
        <v>400000</v>
      </c>
      <c r="C15" s="2" t="e">
        <v>#REF!</v>
      </c>
      <c r="D15" s="2" t="e">
        <f t="shared" si="0"/>
        <v>#REF!</v>
      </c>
      <c r="E15" s="2" t="e">
        <f t="shared" si="1"/>
        <v>#REF!</v>
      </c>
      <c r="F15" s="2" t="e">
        <f>$D$12/5</f>
        <v>#REF!</v>
      </c>
      <c r="G15" s="2" t="e">
        <f t="shared" si="2"/>
        <v>#REF!</v>
      </c>
      <c r="I15" s="18" t="e">
        <f t="shared" si="3"/>
        <v>#REF!</v>
      </c>
    </row>
    <row r="16" spans="1:13" x14ac:dyDescent="0.25">
      <c r="A16" s="17">
        <v>4</v>
      </c>
      <c r="B16" s="2">
        <f>G5</f>
        <v>500000</v>
      </c>
      <c r="C16" s="2" t="e">
        <v>#REF!</v>
      </c>
      <c r="D16" s="2" t="e">
        <f t="shared" si="0"/>
        <v>#REF!</v>
      </c>
      <c r="E16" s="2" t="e">
        <f t="shared" si="1"/>
        <v>#REF!</v>
      </c>
      <c r="F16" s="2" t="e">
        <f>$D$12/5</f>
        <v>#REF!</v>
      </c>
      <c r="G16" s="2" t="e">
        <f t="shared" si="2"/>
        <v>#REF!</v>
      </c>
      <c r="I16" s="18" t="e">
        <f t="shared" si="3"/>
        <v>#REF!</v>
      </c>
    </row>
    <row r="17" spans="1:9" x14ac:dyDescent="0.25">
      <c r="A17" s="17">
        <v>5</v>
      </c>
      <c r="B17" s="2">
        <f>H5</f>
        <v>600000</v>
      </c>
      <c r="C17" s="2" t="e">
        <v>#REF!</v>
      </c>
      <c r="D17" s="2" t="e">
        <f t="shared" si="0"/>
        <v>#REF!</v>
      </c>
      <c r="E17" s="2" t="e">
        <f t="shared" si="1"/>
        <v>#REF!</v>
      </c>
      <c r="F17" s="2" t="e">
        <f>$D$12/5</f>
        <v>#REF!</v>
      </c>
      <c r="G17" s="2" t="e">
        <f t="shared" si="2"/>
        <v>#REF!</v>
      </c>
      <c r="I17" s="18" t="e">
        <f t="shared" si="3"/>
        <v>#REF!</v>
      </c>
    </row>
    <row r="18" spans="1:9" x14ac:dyDescent="0.25">
      <c r="A18" s="17">
        <v>6</v>
      </c>
      <c r="B18" s="2">
        <f>I5</f>
        <v>700000</v>
      </c>
      <c r="C18" s="2" t="e">
        <v>#REF!</v>
      </c>
      <c r="D18" s="2" t="e">
        <f t="shared" si="0"/>
        <v>#REF!</v>
      </c>
      <c r="E18" s="2" t="e">
        <f t="shared" si="1"/>
        <v>#REF!</v>
      </c>
      <c r="F18" s="2" t="e">
        <f>$D$12/5</f>
        <v>#REF!</v>
      </c>
      <c r="G18" s="2" t="e">
        <f t="shared" si="2"/>
        <v>#REF!</v>
      </c>
      <c r="I18" s="18" t="e">
        <f t="shared" si="3"/>
        <v>#REF!</v>
      </c>
    </row>
    <row r="19" spans="1:9" x14ac:dyDescent="0.25">
      <c r="A19" s="17">
        <v>7</v>
      </c>
      <c r="B19" s="2">
        <f>J5</f>
        <v>700000</v>
      </c>
      <c r="C19" s="2" t="e">
        <v>#REF!</v>
      </c>
      <c r="D19" s="2" t="e">
        <f t="shared" si="0"/>
        <v>#REF!</v>
      </c>
      <c r="E19" s="14" t="e">
        <f>$A$3*D18</f>
        <v>#REF!</v>
      </c>
      <c r="F19" s="14"/>
      <c r="G19" s="14" t="e">
        <f t="shared" si="2"/>
        <v>#REF!</v>
      </c>
      <c r="I19" s="18" t="e">
        <f t="shared" si="3"/>
        <v>#REF!</v>
      </c>
    </row>
    <row r="20" spans="1:9" x14ac:dyDescent="0.25">
      <c r="A20" s="17">
        <v>8</v>
      </c>
      <c r="B20" s="2">
        <f>K5</f>
        <v>700000</v>
      </c>
      <c r="C20" s="2" t="e">
        <v>#REF!</v>
      </c>
      <c r="D20" s="2" t="e">
        <f t="shared" si="0"/>
        <v>#REF!</v>
      </c>
      <c r="E20" s="14" t="e">
        <f>$A$3*D19</f>
        <v>#REF!</v>
      </c>
      <c r="F20" s="14"/>
      <c r="G20" s="14" t="e">
        <f t="shared" si="2"/>
        <v>#REF!</v>
      </c>
      <c r="I20" s="18" t="e">
        <f t="shared" si="3"/>
        <v>#REF!</v>
      </c>
    </row>
    <row r="21" spans="1:9" x14ac:dyDescent="0.25">
      <c r="A21" s="17">
        <v>9</v>
      </c>
      <c r="B21" s="2">
        <f>L5</f>
        <v>800000</v>
      </c>
      <c r="C21" s="2" t="e">
        <v>#REF!</v>
      </c>
      <c r="D21" s="2" t="e">
        <f t="shared" si="0"/>
        <v>#REF!</v>
      </c>
      <c r="E21" s="14" t="e">
        <f>$A$3*D20</f>
        <v>#REF!</v>
      </c>
      <c r="F21" s="14"/>
      <c r="G21" s="14" t="e">
        <f t="shared" si="2"/>
        <v>#REF!</v>
      </c>
      <c r="I21" s="18" t="e">
        <f t="shared" si="3"/>
        <v>#REF!</v>
      </c>
    </row>
    <row r="22" spans="1:9" x14ac:dyDescent="0.25">
      <c r="A22" s="17">
        <v>10</v>
      </c>
      <c r="B22" s="2">
        <f>M5</f>
        <v>800000</v>
      </c>
      <c r="C22" s="2" t="e">
        <v>#REF!</v>
      </c>
      <c r="D22" s="2" t="e">
        <f t="shared" si="0"/>
        <v>#REF!</v>
      </c>
      <c r="E22" s="14" t="e">
        <f>$A$3*D21</f>
        <v>#REF!</v>
      </c>
      <c r="F22" s="14"/>
      <c r="G22" s="14" t="e">
        <f t="shared" si="2"/>
        <v>#REF!</v>
      </c>
      <c r="I22" s="18"/>
    </row>
  </sheetData>
  <mergeCells count="7">
    <mergeCell ref="G10:G11"/>
    <mergeCell ref="A10:A11"/>
    <mergeCell ref="B10:B11"/>
    <mergeCell ref="C10:C11"/>
    <mergeCell ref="D10:D11"/>
    <mergeCell ref="E10:E11"/>
    <mergeCell ref="F10:F1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Plan35"/>
  <dimension ref="A1"/>
  <sheetViews>
    <sheetView workbookViewId="0"/>
  </sheetViews>
  <sheetFormatPr defaultColWidth="8.88671875" defaultRowHeight="13.2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2"/>
  <dimension ref="A1:AK222"/>
  <sheetViews>
    <sheetView topLeftCell="A28" zoomScale="90" zoomScaleNormal="90" workbookViewId="0">
      <pane ySplit="4" topLeftCell="A56" activePane="bottomLeft" state="frozen"/>
      <selection activeCell="A28" sqref="A28"/>
      <selection pane="bottomLeft" activeCell="A28" sqref="A28:XFD29"/>
    </sheetView>
  </sheetViews>
  <sheetFormatPr defaultColWidth="8.88671875" defaultRowHeight="9" x14ac:dyDescent="0.25"/>
  <cols>
    <col min="1" max="2" width="3.33203125" style="53" customWidth="1"/>
    <col min="3" max="3" width="34.109375" style="53" customWidth="1"/>
    <col min="4" max="4" width="9.88671875" style="39" customWidth="1"/>
    <col min="5" max="5" width="13.44140625" style="103" bestFit="1" customWidth="1"/>
    <col min="6" max="6" width="11" style="39" bestFit="1" customWidth="1"/>
    <col min="7" max="7" width="8.109375" style="39" customWidth="1"/>
    <col min="8" max="8" width="12.33203125" style="39" customWidth="1"/>
    <col min="9" max="9" width="10.44140625" style="39" customWidth="1"/>
    <col min="10" max="10" width="6.109375" style="39" hidden="1" customWidth="1"/>
    <col min="11" max="11" width="17" style="39" bestFit="1" customWidth="1"/>
    <col min="12" max="12" width="13.33203125" style="39" hidden="1" customWidth="1"/>
    <col min="13" max="13" width="8.44140625" style="39" hidden="1" customWidth="1"/>
    <col min="14" max="14" width="10.88671875" style="39" hidden="1" customWidth="1"/>
    <col min="15" max="16" width="13.44140625" style="39" hidden="1" customWidth="1"/>
    <col min="17" max="25" width="14.44140625" style="39" hidden="1" customWidth="1"/>
    <col min="26" max="26" width="13.44140625" style="39" hidden="1" customWidth="1"/>
    <col min="27" max="27" width="18.33203125" style="54" hidden="1" customWidth="1"/>
    <col min="28" max="28" width="16" style="39" hidden="1" customWidth="1"/>
    <col min="29" max="29" width="9.33203125" style="39" hidden="1" customWidth="1"/>
    <col min="30" max="30" width="9.44140625" style="39" hidden="1" customWidth="1"/>
    <col min="31" max="35" width="0" style="53" hidden="1" customWidth="1"/>
    <col min="36" max="36" width="11.6640625" style="53" hidden="1" customWidth="1"/>
    <col min="37" max="256" width="9.109375" style="55"/>
    <col min="257" max="258" width="3.33203125" style="55" customWidth="1"/>
    <col min="259" max="259" width="34.109375" style="55" customWidth="1"/>
    <col min="260" max="260" width="9.88671875" style="55" customWidth="1"/>
    <col min="261" max="261" width="13.44140625" style="55" bestFit="1" customWidth="1"/>
    <col min="262" max="262" width="11" style="55" bestFit="1" customWidth="1"/>
    <col min="263" max="263" width="8.109375" style="55" customWidth="1"/>
    <col min="264" max="264" width="12.33203125" style="55" customWidth="1"/>
    <col min="265" max="265" width="10.44140625" style="55" customWidth="1"/>
    <col min="266" max="266" width="0" style="55" hidden="1" customWidth="1"/>
    <col min="267" max="267" width="17" style="55" bestFit="1" customWidth="1"/>
    <col min="268" max="292" width="0" style="55" hidden="1" customWidth="1"/>
    <col min="293" max="512" width="9.109375" style="55"/>
    <col min="513" max="514" width="3.33203125" style="55" customWidth="1"/>
    <col min="515" max="515" width="34.109375" style="55" customWidth="1"/>
    <col min="516" max="516" width="9.88671875" style="55" customWidth="1"/>
    <col min="517" max="517" width="13.44140625" style="55" bestFit="1" customWidth="1"/>
    <col min="518" max="518" width="11" style="55" bestFit="1" customWidth="1"/>
    <col min="519" max="519" width="8.109375" style="55" customWidth="1"/>
    <col min="520" max="520" width="12.33203125" style="55" customWidth="1"/>
    <col min="521" max="521" width="10.44140625" style="55" customWidth="1"/>
    <col min="522" max="522" width="0" style="55" hidden="1" customWidth="1"/>
    <col min="523" max="523" width="17" style="55" bestFit="1" customWidth="1"/>
    <col min="524" max="548" width="0" style="55" hidden="1" customWidth="1"/>
    <col min="549" max="768" width="9.109375" style="55"/>
    <col min="769" max="770" width="3.33203125" style="55" customWidth="1"/>
    <col min="771" max="771" width="34.109375" style="55" customWidth="1"/>
    <col min="772" max="772" width="9.88671875" style="55" customWidth="1"/>
    <col min="773" max="773" width="13.44140625" style="55" bestFit="1" customWidth="1"/>
    <col min="774" max="774" width="11" style="55" bestFit="1" customWidth="1"/>
    <col min="775" max="775" width="8.109375" style="55" customWidth="1"/>
    <col min="776" max="776" width="12.33203125" style="55" customWidth="1"/>
    <col min="777" max="777" width="10.44140625" style="55" customWidth="1"/>
    <col min="778" max="778" width="0" style="55" hidden="1" customWidth="1"/>
    <col min="779" max="779" width="17" style="55" bestFit="1" customWidth="1"/>
    <col min="780" max="804" width="0" style="55" hidden="1" customWidth="1"/>
    <col min="805" max="1024" width="9.109375" style="55"/>
    <col min="1025" max="1026" width="3.33203125" style="55" customWidth="1"/>
    <col min="1027" max="1027" width="34.109375" style="55" customWidth="1"/>
    <col min="1028" max="1028" width="9.88671875" style="55" customWidth="1"/>
    <col min="1029" max="1029" width="13.44140625" style="55" bestFit="1" customWidth="1"/>
    <col min="1030" max="1030" width="11" style="55" bestFit="1" customWidth="1"/>
    <col min="1031" max="1031" width="8.109375" style="55" customWidth="1"/>
    <col min="1032" max="1032" width="12.33203125" style="55" customWidth="1"/>
    <col min="1033" max="1033" width="10.44140625" style="55" customWidth="1"/>
    <col min="1034" max="1034" width="0" style="55" hidden="1" customWidth="1"/>
    <col min="1035" max="1035" width="17" style="55" bestFit="1" customWidth="1"/>
    <col min="1036" max="1060" width="0" style="55" hidden="1" customWidth="1"/>
    <col min="1061" max="1280" width="9.109375" style="55"/>
    <col min="1281" max="1282" width="3.33203125" style="55" customWidth="1"/>
    <col min="1283" max="1283" width="34.109375" style="55" customWidth="1"/>
    <col min="1284" max="1284" width="9.88671875" style="55" customWidth="1"/>
    <col min="1285" max="1285" width="13.44140625" style="55" bestFit="1" customWidth="1"/>
    <col min="1286" max="1286" width="11" style="55" bestFit="1" customWidth="1"/>
    <col min="1287" max="1287" width="8.109375" style="55" customWidth="1"/>
    <col min="1288" max="1288" width="12.33203125" style="55" customWidth="1"/>
    <col min="1289" max="1289" width="10.44140625" style="55" customWidth="1"/>
    <col min="1290" max="1290" width="0" style="55" hidden="1" customWidth="1"/>
    <col min="1291" max="1291" width="17" style="55" bestFit="1" customWidth="1"/>
    <col min="1292" max="1316" width="0" style="55" hidden="1" customWidth="1"/>
    <col min="1317" max="1536" width="9.109375" style="55"/>
    <col min="1537" max="1538" width="3.33203125" style="55" customWidth="1"/>
    <col min="1539" max="1539" width="34.109375" style="55" customWidth="1"/>
    <col min="1540" max="1540" width="9.88671875" style="55" customWidth="1"/>
    <col min="1541" max="1541" width="13.44140625" style="55" bestFit="1" customWidth="1"/>
    <col min="1542" max="1542" width="11" style="55" bestFit="1" customWidth="1"/>
    <col min="1543" max="1543" width="8.109375" style="55" customWidth="1"/>
    <col min="1544" max="1544" width="12.33203125" style="55" customWidth="1"/>
    <col min="1545" max="1545" width="10.44140625" style="55" customWidth="1"/>
    <col min="1546" max="1546" width="0" style="55" hidden="1" customWidth="1"/>
    <col min="1547" max="1547" width="17" style="55" bestFit="1" customWidth="1"/>
    <col min="1548" max="1572" width="0" style="55" hidden="1" customWidth="1"/>
    <col min="1573" max="1792" width="9.109375" style="55"/>
    <col min="1793" max="1794" width="3.33203125" style="55" customWidth="1"/>
    <col min="1795" max="1795" width="34.109375" style="55" customWidth="1"/>
    <col min="1796" max="1796" width="9.88671875" style="55" customWidth="1"/>
    <col min="1797" max="1797" width="13.44140625" style="55" bestFit="1" customWidth="1"/>
    <col min="1798" max="1798" width="11" style="55" bestFit="1" customWidth="1"/>
    <col min="1799" max="1799" width="8.109375" style="55" customWidth="1"/>
    <col min="1800" max="1800" width="12.33203125" style="55" customWidth="1"/>
    <col min="1801" max="1801" width="10.44140625" style="55" customWidth="1"/>
    <col min="1802" max="1802" width="0" style="55" hidden="1" customWidth="1"/>
    <col min="1803" max="1803" width="17" style="55" bestFit="1" customWidth="1"/>
    <col min="1804" max="1828" width="0" style="55" hidden="1" customWidth="1"/>
    <col min="1829" max="2048" width="9.109375" style="55"/>
    <col min="2049" max="2050" width="3.33203125" style="55" customWidth="1"/>
    <col min="2051" max="2051" width="34.109375" style="55" customWidth="1"/>
    <col min="2052" max="2052" width="9.88671875" style="55" customWidth="1"/>
    <col min="2053" max="2053" width="13.44140625" style="55" bestFit="1" customWidth="1"/>
    <col min="2054" max="2054" width="11" style="55" bestFit="1" customWidth="1"/>
    <col min="2055" max="2055" width="8.109375" style="55" customWidth="1"/>
    <col min="2056" max="2056" width="12.33203125" style="55" customWidth="1"/>
    <col min="2057" max="2057" width="10.44140625" style="55" customWidth="1"/>
    <col min="2058" max="2058" width="0" style="55" hidden="1" customWidth="1"/>
    <col min="2059" max="2059" width="17" style="55" bestFit="1" customWidth="1"/>
    <col min="2060" max="2084" width="0" style="55" hidden="1" customWidth="1"/>
    <col min="2085" max="2304" width="9.109375" style="55"/>
    <col min="2305" max="2306" width="3.33203125" style="55" customWidth="1"/>
    <col min="2307" max="2307" width="34.109375" style="55" customWidth="1"/>
    <col min="2308" max="2308" width="9.88671875" style="55" customWidth="1"/>
    <col min="2309" max="2309" width="13.44140625" style="55" bestFit="1" customWidth="1"/>
    <col min="2310" max="2310" width="11" style="55" bestFit="1" customWidth="1"/>
    <col min="2311" max="2311" width="8.109375" style="55" customWidth="1"/>
    <col min="2312" max="2312" width="12.33203125" style="55" customWidth="1"/>
    <col min="2313" max="2313" width="10.44140625" style="55" customWidth="1"/>
    <col min="2314" max="2314" width="0" style="55" hidden="1" customWidth="1"/>
    <col min="2315" max="2315" width="17" style="55" bestFit="1" customWidth="1"/>
    <col min="2316" max="2340" width="0" style="55" hidden="1" customWidth="1"/>
    <col min="2341" max="2560" width="9.109375" style="55"/>
    <col min="2561" max="2562" width="3.33203125" style="55" customWidth="1"/>
    <col min="2563" max="2563" width="34.109375" style="55" customWidth="1"/>
    <col min="2564" max="2564" width="9.88671875" style="55" customWidth="1"/>
    <col min="2565" max="2565" width="13.44140625" style="55" bestFit="1" customWidth="1"/>
    <col min="2566" max="2566" width="11" style="55" bestFit="1" customWidth="1"/>
    <col min="2567" max="2567" width="8.109375" style="55" customWidth="1"/>
    <col min="2568" max="2568" width="12.33203125" style="55" customWidth="1"/>
    <col min="2569" max="2569" width="10.44140625" style="55" customWidth="1"/>
    <col min="2570" max="2570" width="0" style="55" hidden="1" customWidth="1"/>
    <col min="2571" max="2571" width="17" style="55" bestFit="1" customWidth="1"/>
    <col min="2572" max="2596" width="0" style="55" hidden="1" customWidth="1"/>
    <col min="2597" max="2816" width="9.109375" style="55"/>
    <col min="2817" max="2818" width="3.33203125" style="55" customWidth="1"/>
    <col min="2819" max="2819" width="34.109375" style="55" customWidth="1"/>
    <col min="2820" max="2820" width="9.88671875" style="55" customWidth="1"/>
    <col min="2821" max="2821" width="13.44140625" style="55" bestFit="1" customWidth="1"/>
    <col min="2822" max="2822" width="11" style="55" bestFit="1" customWidth="1"/>
    <col min="2823" max="2823" width="8.109375" style="55" customWidth="1"/>
    <col min="2824" max="2824" width="12.33203125" style="55" customWidth="1"/>
    <col min="2825" max="2825" width="10.44140625" style="55" customWidth="1"/>
    <col min="2826" max="2826" width="0" style="55" hidden="1" customWidth="1"/>
    <col min="2827" max="2827" width="17" style="55" bestFit="1" customWidth="1"/>
    <col min="2828" max="2852" width="0" style="55" hidden="1" customWidth="1"/>
    <col min="2853" max="3072" width="9.109375" style="55"/>
    <col min="3073" max="3074" width="3.33203125" style="55" customWidth="1"/>
    <col min="3075" max="3075" width="34.109375" style="55" customWidth="1"/>
    <col min="3076" max="3076" width="9.88671875" style="55" customWidth="1"/>
    <col min="3077" max="3077" width="13.44140625" style="55" bestFit="1" customWidth="1"/>
    <col min="3078" max="3078" width="11" style="55" bestFit="1" customWidth="1"/>
    <col min="3079" max="3079" width="8.109375" style="55" customWidth="1"/>
    <col min="3080" max="3080" width="12.33203125" style="55" customWidth="1"/>
    <col min="3081" max="3081" width="10.44140625" style="55" customWidth="1"/>
    <col min="3082" max="3082" width="0" style="55" hidden="1" customWidth="1"/>
    <col min="3083" max="3083" width="17" style="55" bestFit="1" customWidth="1"/>
    <col min="3084" max="3108" width="0" style="55" hidden="1" customWidth="1"/>
    <col min="3109" max="3328" width="9.109375" style="55"/>
    <col min="3329" max="3330" width="3.33203125" style="55" customWidth="1"/>
    <col min="3331" max="3331" width="34.109375" style="55" customWidth="1"/>
    <col min="3332" max="3332" width="9.88671875" style="55" customWidth="1"/>
    <col min="3333" max="3333" width="13.44140625" style="55" bestFit="1" customWidth="1"/>
    <col min="3334" max="3334" width="11" style="55" bestFit="1" customWidth="1"/>
    <col min="3335" max="3335" width="8.109375" style="55" customWidth="1"/>
    <col min="3336" max="3336" width="12.33203125" style="55" customWidth="1"/>
    <col min="3337" max="3337" width="10.44140625" style="55" customWidth="1"/>
    <col min="3338" max="3338" width="0" style="55" hidden="1" customWidth="1"/>
    <col min="3339" max="3339" width="17" style="55" bestFit="1" customWidth="1"/>
    <col min="3340" max="3364" width="0" style="55" hidden="1" customWidth="1"/>
    <col min="3365" max="3584" width="9.109375" style="55"/>
    <col min="3585" max="3586" width="3.33203125" style="55" customWidth="1"/>
    <col min="3587" max="3587" width="34.109375" style="55" customWidth="1"/>
    <col min="3588" max="3588" width="9.88671875" style="55" customWidth="1"/>
    <col min="3589" max="3589" width="13.44140625" style="55" bestFit="1" customWidth="1"/>
    <col min="3590" max="3590" width="11" style="55" bestFit="1" customWidth="1"/>
    <col min="3591" max="3591" width="8.109375" style="55" customWidth="1"/>
    <col min="3592" max="3592" width="12.33203125" style="55" customWidth="1"/>
    <col min="3593" max="3593" width="10.44140625" style="55" customWidth="1"/>
    <col min="3594" max="3594" width="0" style="55" hidden="1" customWidth="1"/>
    <col min="3595" max="3595" width="17" style="55" bestFit="1" customWidth="1"/>
    <col min="3596" max="3620" width="0" style="55" hidden="1" customWidth="1"/>
    <col min="3621" max="3840" width="9.109375" style="55"/>
    <col min="3841" max="3842" width="3.33203125" style="55" customWidth="1"/>
    <col min="3843" max="3843" width="34.109375" style="55" customWidth="1"/>
    <col min="3844" max="3844" width="9.88671875" style="55" customWidth="1"/>
    <col min="3845" max="3845" width="13.44140625" style="55" bestFit="1" customWidth="1"/>
    <col min="3846" max="3846" width="11" style="55" bestFit="1" customWidth="1"/>
    <col min="3847" max="3847" width="8.109375" style="55" customWidth="1"/>
    <col min="3848" max="3848" width="12.33203125" style="55" customWidth="1"/>
    <col min="3849" max="3849" width="10.44140625" style="55" customWidth="1"/>
    <col min="3850" max="3850" width="0" style="55" hidden="1" customWidth="1"/>
    <col min="3851" max="3851" width="17" style="55" bestFit="1" customWidth="1"/>
    <col min="3852" max="3876" width="0" style="55" hidden="1" customWidth="1"/>
    <col min="3877" max="4096" width="9.109375" style="55"/>
    <col min="4097" max="4098" width="3.33203125" style="55" customWidth="1"/>
    <col min="4099" max="4099" width="34.109375" style="55" customWidth="1"/>
    <col min="4100" max="4100" width="9.88671875" style="55" customWidth="1"/>
    <col min="4101" max="4101" width="13.44140625" style="55" bestFit="1" customWidth="1"/>
    <col min="4102" max="4102" width="11" style="55" bestFit="1" customWidth="1"/>
    <col min="4103" max="4103" width="8.109375" style="55" customWidth="1"/>
    <col min="4104" max="4104" width="12.33203125" style="55" customWidth="1"/>
    <col min="4105" max="4105" width="10.44140625" style="55" customWidth="1"/>
    <col min="4106" max="4106" width="0" style="55" hidden="1" customWidth="1"/>
    <col min="4107" max="4107" width="17" style="55" bestFit="1" customWidth="1"/>
    <col min="4108" max="4132" width="0" style="55" hidden="1" customWidth="1"/>
    <col min="4133" max="4352" width="9.109375" style="55"/>
    <col min="4353" max="4354" width="3.33203125" style="55" customWidth="1"/>
    <col min="4355" max="4355" width="34.109375" style="55" customWidth="1"/>
    <col min="4356" max="4356" width="9.88671875" style="55" customWidth="1"/>
    <col min="4357" max="4357" width="13.44140625" style="55" bestFit="1" customWidth="1"/>
    <col min="4358" max="4358" width="11" style="55" bestFit="1" customWidth="1"/>
    <col min="4359" max="4359" width="8.109375" style="55" customWidth="1"/>
    <col min="4360" max="4360" width="12.33203125" style="55" customWidth="1"/>
    <col min="4361" max="4361" width="10.44140625" style="55" customWidth="1"/>
    <col min="4362" max="4362" width="0" style="55" hidden="1" customWidth="1"/>
    <col min="4363" max="4363" width="17" style="55" bestFit="1" customWidth="1"/>
    <col min="4364" max="4388" width="0" style="55" hidden="1" customWidth="1"/>
    <col min="4389" max="4608" width="9.109375" style="55"/>
    <col min="4609" max="4610" width="3.33203125" style="55" customWidth="1"/>
    <col min="4611" max="4611" width="34.109375" style="55" customWidth="1"/>
    <col min="4612" max="4612" width="9.88671875" style="55" customWidth="1"/>
    <col min="4613" max="4613" width="13.44140625" style="55" bestFit="1" customWidth="1"/>
    <col min="4614" max="4614" width="11" style="55" bestFit="1" customWidth="1"/>
    <col min="4615" max="4615" width="8.109375" style="55" customWidth="1"/>
    <col min="4616" max="4616" width="12.33203125" style="55" customWidth="1"/>
    <col min="4617" max="4617" width="10.44140625" style="55" customWidth="1"/>
    <col min="4618" max="4618" width="0" style="55" hidden="1" customWidth="1"/>
    <col min="4619" max="4619" width="17" style="55" bestFit="1" customWidth="1"/>
    <col min="4620" max="4644" width="0" style="55" hidden="1" customWidth="1"/>
    <col min="4645" max="4864" width="9.109375" style="55"/>
    <col min="4865" max="4866" width="3.33203125" style="55" customWidth="1"/>
    <col min="4867" max="4867" width="34.109375" style="55" customWidth="1"/>
    <col min="4868" max="4868" width="9.88671875" style="55" customWidth="1"/>
    <col min="4869" max="4869" width="13.44140625" style="55" bestFit="1" customWidth="1"/>
    <col min="4870" max="4870" width="11" style="55" bestFit="1" customWidth="1"/>
    <col min="4871" max="4871" width="8.109375" style="55" customWidth="1"/>
    <col min="4872" max="4872" width="12.33203125" style="55" customWidth="1"/>
    <col min="4873" max="4873" width="10.44140625" style="55" customWidth="1"/>
    <col min="4874" max="4874" width="0" style="55" hidden="1" customWidth="1"/>
    <col min="4875" max="4875" width="17" style="55" bestFit="1" customWidth="1"/>
    <col min="4876" max="4900" width="0" style="55" hidden="1" customWidth="1"/>
    <col min="4901" max="5120" width="9.109375" style="55"/>
    <col min="5121" max="5122" width="3.33203125" style="55" customWidth="1"/>
    <col min="5123" max="5123" width="34.109375" style="55" customWidth="1"/>
    <col min="5124" max="5124" width="9.88671875" style="55" customWidth="1"/>
    <col min="5125" max="5125" width="13.44140625" style="55" bestFit="1" customWidth="1"/>
    <col min="5126" max="5126" width="11" style="55" bestFit="1" customWidth="1"/>
    <col min="5127" max="5127" width="8.109375" style="55" customWidth="1"/>
    <col min="5128" max="5128" width="12.33203125" style="55" customWidth="1"/>
    <col min="5129" max="5129" width="10.44140625" style="55" customWidth="1"/>
    <col min="5130" max="5130" width="0" style="55" hidden="1" customWidth="1"/>
    <col min="5131" max="5131" width="17" style="55" bestFit="1" customWidth="1"/>
    <col min="5132" max="5156" width="0" style="55" hidden="1" customWidth="1"/>
    <col min="5157" max="5376" width="9.109375" style="55"/>
    <col min="5377" max="5378" width="3.33203125" style="55" customWidth="1"/>
    <col min="5379" max="5379" width="34.109375" style="55" customWidth="1"/>
    <col min="5380" max="5380" width="9.88671875" style="55" customWidth="1"/>
    <col min="5381" max="5381" width="13.44140625" style="55" bestFit="1" customWidth="1"/>
    <col min="5382" max="5382" width="11" style="55" bestFit="1" customWidth="1"/>
    <col min="5383" max="5383" width="8.109375" style="55" customWidth="1"/>
    <col min="5384" max="5384" width="12.33203125" style="55" customWidth="1"/>
    <col min="5385" max="5385" width="10.44140625" style="55" customWidth="1"/>
    <col min="5386" max="5386" width="0" style="55" hidden="1" customWidth="1"/>
    <col min="5387" max="5387" width="17" style="55" bestFit="1" customWidth="1"/>
    <col min="5388" max="5412" width="0" style="55" hidden="1" customWidth="1"/>
    <col min="5413" max="5632" width="9.109375" style="55"/>
    <col min="5633" max="5634" width="3.33203125" style="55" customWidth="1"/>
    <col min="5635" max="5635" width="34.109375" style="55" customWidth="1"/>
    <col min="5636" max="5636" width="9.88671875" style="55" customWidth="1"/>
    <col min="5637" max="5637" width="13.44140625" style="55" bestFit="1" customWidth="1"/>
    <col min="5638" max="5638" width="11" style="55" bestFit="1" customWidth="1"/>
    <col min="5639" max="5639" width="8.109375" style="55" customWidth="1"/>
    <col min="5640" max="5640" width="12.33203125" style="55" customWidth="1"/>
    <col min="5641" max="5641" width="10.44140625" style="55" customWidth="1"/>
    <col min="5642" max="5642" width="0" style="55" hidden="1" customWidth="1"/>
    <col min="5643" max="5643" width="17" style="55" bestFit="1" customWidth="1"/>
    <col min="5644" max="5668" width="0" style="55" hidden="1" customWidth="1"/>
    <col min="5669" max="5888" width="9.109375" style="55"/>
    <col min="5889" max="5890" width="3.33203125" style="55" customWidth="1"/>
    <col min="5891" max="5891" width="34.109375" style="55" customWidth="1"/>
    <col min="5892" max="5892" width="9.88671875" style="55" customWidth="1"/>
    <col min="5893" max="5893" width="13.44140625" style="55" bestFit="1" customWidth="1"/>
    <col min="5894" max="5894" width="11" style="55" bestFit="1" customWidth="1"/>
    <col min="5895" max="5895" width="8.109375" style="55" customWidth="1"/>
    <col min="5896" max="5896" width="12.33203125" style="55" customWidth="1"/>
    <col min="5897" max="5897" width="10.44140625" style="55" customWidth="1"/>
    <col min="5898" max="5898" width="0" style="55" hidden="1" customWidth="1"/>
    <col min="5899" max="5899" width="17" style="55" bestFit="1" customWidth="1"/>
    <col min="5900" max="5924" width="0" style="55" hidden="1" customWidth="1"/>
    <col min="5925" max="6144" width="9.109375" style="55"/>
    <col min="6145" max="6146" width="3.33203125" style="55" customWidth="1"/>
    <col min="6147" max="6147" width="34.109375" style="55" customWidth="1"/>
    <col min="6148" max="6148" width="9.88671875" style="55" customWidth="1"/>
    <col min="6149" max="6149" width="13.44140625" style="55" bestFit="1" customWidth="1"/>
    <col min="6150" max="6150" width="11" style="55" bestFit="1" customWidth="1"/>
    <col min="6151" max="6151" width="8.109375" style="55" customWidth="1"/>
    <col min="6152" max="6152" width="12.33203125" style="55" customWidth="1"/>
    <col min="6153" max="6153" width="10.44140625" style="55" customWidth="1"/>
    <col min="6154" max="6154" width="0" style="55" hidden="1" customWidth="1"/>
    <col min="6155" max="6155" width="17" style="55" bestFit="1" customWidth="1"/>
    <col min="6156" max="6180" width="0" style="55" hidden="1" customWidth="1"/>
    <col min="6181" max="6400" width="9.109375" style="55"/>
    <col min="6401" max="6402" width="3.33203125" style="55" customWidth="1"/>
    <col min="6403" max="6403" width="34.109375" style="55" customWidth="1"/>
    <col min="6404" max="6404" width="9.88671875" style="55" customWidth="1"/>
    <col min="6405" max="6405" width="13.44140625" style="55" bestFit="1" customWidth="1"/>
    <col min="6406" max="6406" width="11" style="55" bestFit="1" customWidth="1"/>
    <col min="6407" max="6407" width="8.109375" style="55" customWidth="1"/>
    <col min="6408" max="6408" width="12.33203125" style="55" customWidth="1"/>
    <col min="6409" max="6409" width="10.44140625" style="55" customWidth="1"/>
    <col min="6410" max="6410" width="0" style="55" hidden="1" customWidth="1"/>
    <col min="6411" max="6411" width="17" style="55" bestFit="1" customWidth="1"/>
    <col min="6412" max="6436" width="0" style="55" hidden="1" customWidth="1"/>
    <col min="6437" max="6656" width="9.109375" style="55"/>
    <col min="6657" max="6658" width="3.33203125" style="55" customWidth="1"/>
    <col min="6659" max="6659" width="34.109375" style="55" customWidth="1"/>
    <col min="6660" max="6660" width="9.88671875" style="55" customWidth="1"/>
    <col min="6661" max="6661" width="13.44140625" style="55" bestFit="1" customWidth="1"/>
    <col min="6662" max="6662" width="11" style="55" bestFit="1" customWidth="1"/>
    <col min="6663" max="6663" width="8.109375" style="55" customWidth="1"/>
    <col min="6664" max="6664" width="12.33203125" style="55" customWidth="1"/>
    <col min="6665" max="6665" width="10.44140625" style="55" customWidth="1"/>
    <col min="6666" max="6666" width="0" style="55" hidden="1" customWidth="1"/>
    <col min="6667" max="6667" width="17" style="55" bestFit="1" customWidth="1"/>
    <col min="6668" max="6692" width="0" style="55" hidden="1" customWidth="1"/>
    <col min="6693" max="6912" width="9.109375" style="55"/>
    <col min="6913" max="6914" width="3.33203125" style="55" customWidth="1"/>
    <col min="6915" max="6915" width="34.109375" style="55" customWidth="1"/>
    <col min="6916" max="6916" width="9.88671875" style="55" customWidth="1"/>
    <col min="6917" max="6917" width="13.44140625" style="55" bestFit="1" customWidth="1"/>
    <col min="6918" max="6918" width="11" style="55" bestFit="1" customWidth="1"/>
    <col min="6919" max="6919" width="8.109375" style="55" customWidth="1"/>
    <col min="6920" max="6920" width="12.33203125" style="55" customWidth="1"/>
    <col min="6921" max="6921" width="10.44140625" style="55" customWidth="1"/>
    <col min="6922" max="6922" width="0" style="55" hidden="1" customWidth="1"/>
    <col min="6923" max="6923" width="17" style="55" bestFit="1" customWidth="1"/>
    <col min="6924" max="6948" width="0" style="55" hidden="1" customWidth="1"/>
    <col min="6949" max="7168" width="9.109375" style="55"/>
    <col min="7169" max="7170" width="3.33203125" style="55" customWidth="1"/>
    <col min="7171" max="7171" width="34.109375" style="55" customWidth="1"/>
    <col min="7172" max="7172" width="9.88671875" style="55" customWidth="1"/>
    <col min="7173" max="7173" width="13.44140625" style="55" bestFit="1" customWidth="1"/>
    <col min="7174" max="7174" width="11" style="55" bestFit="1" customWidth="1"/>
    <col min="7175" max="7175" width="8.109375" style="55" customWidth="1"/>
    <col min="7176" max="7176" width="12.33203125" style="55" customWidth="1"/>
    <col min="7177" max="7177" width="10.44140625" style="55" customWidth="1"/>
    <col min="7178" max="7178" width="0" style="55" hidden="1" customWidth="1"/>
    <col min="7179" max="7179" width="17" style="55" bestFit="1" customWidth="1"/>
    <col min="7180" max="7204" width="0" style="55" hidden="1" customWidth="1"/>
    <col min="7205" max="7424" width="9.109375" style="55"/>
    <col min="7425" max="7426" width="3.33203125" style="55" customWidth="1"/>
    <col min="7427" max="7427" width="34.109375" style="55" customWidth="1"/>
    <col min="7428" max="7428" width="9.88671875" style="55" customWidth="1"/>
    <col min="7429" max="7429" width="13.44140625" style="55" bestFit="1" customWidth="1"/>
    <col min="7430" max="7430" width="11" style="55" bestFit="1" customWidth="1"/>
    <col min="7431" max="7431" width="8.109375" style="55" customWidth="1"/>
    <col min="7432" max="7432" width="12.33203125" style="55" customWidth="1"/>
    <col min="7433" max="7433" width="10.44140625" style="55" customWidth="1"/>
    <col min="7434" max="7434" width="0" style="55" hidden="1" customWidth="1"/>
    <col min="7435" max="7435" width="17" style="55" bestFit="1" customWidth="1"/>
    <col min="7436" max="7460" width="0" style="55" hidden="1" customWidth="1"/>
    <col min="7461" max="7680" width="9.109375" style="55"/>
    <col min="7681" max="7682" width="3.33203125" style="55" customWidth="1"/>
    <col min="7683" max="7683" width="34.109375" style="55" customWidth="1"/>
    <col min="7684" max="7684" width="9.88671875" style="55" customWidth="1"/>
    <col min="7685" max="7685" width="13.44140625" style="55" bestFit="1" customWidth="1"/>
    <col min="7686" max="7686" width="11" style="55" bestFit="1" customWidth="1"/>
    <col min="7687" max="7687" width="8.109375" style="55" customWidth="1"/>
    <col min="7688" max="7688" width="12.33203125" style="55" customWidth="1"/>
    <col min="7689" max="7689" width="10.44140625" style="55" customWidth="1"/>
    <col min="7690" max="7690" width="0" style="55" hidden="1" customWidth="1"/>
    <col min="7691" max="7691" width="17" style="55" bestFit="1" customWidth="1"/>
    <col min="7692" max="7716" width="0" style="55" hidden="1" customWidth="1"/>
    <col min="7717" max="7936" width="9.109375" style="55"/>
    <col min="7937" max="7938" width="3.33203125" style="55" customWidth="1"/>
    <col min="7939" max="7939" width="34.109375" style="55" customWidth="1"/>
    <col min="7940" max="7940" width="9.88671875" style="55" customWidth="1"/>
    <col min="7941" max="7941" width="13.44140625" style="55" bestFit="1" customWidth="1"/>
    <col min="7942" max="7942" width="11" style="55" bestFit="1" customWidth="1"/>
    <col min="7943" max="7943" width="8.109375" style="55" customWidth="1"/>
    <col min="7944" max="7944" width="12.33203125" style="55" customWidth="1"/>
    <col min="7945" max="7945" width="10.44140625" style="55" customWidth="1"/>
    <col min="7946" max="7946" width="0" style="55" hidden="1" customWidth="1"/>
    <col min="7947" max="7947" width="17" style="55" bestFit="1" customWidth="1"/>
    <col min="7948" max="7972" width="0" style="55" hidden="1" customWidth="1"/>
    <col min="7973" max="8192" width="9.109375" style="55"/>
    <col min="8193" max="8194" width="3.33203125" style="55" customWidth="1"/>
    <col min="8195" max="8195" width="34.109375" style="55" customWidth="1"/>
    <col min="8196" max="8196" width="9.88671875" style="55" customWidth="1"/>
    <col min="8197" max="8197" width="13.44140625" style="55" bestFit="1" customWidth="1"/>
    <col min="8198" max="8198" width="11" style="55" bestFit="1" customWidth="1"/>
    <col min="8199" max="8199" width="8.109375" style="55" customWidth="1"/>
    <col min="8200" max="8200" width="12.33203125" style="55" customWidth="1"/>
    <col min="8201" max="8201" width="10.44140625" style="55" customWidth="1"/>
    <col min="8202" max="8202" width="0" style="55" hidden="1" customWidth="1"/>
    <col min="8203" max="8203" width="17" style="55" bestFit="1" customWidth="1"/>
    <col min="8204" max="8228" width="0" style="55" hidden="1" customWidth="1"/>
    <col min="8229" max="8448" width="9.109375" style="55"/>
    <col min="8449" max="8450" width="3.33203125" style="55" customWidth="1"/>
    <col min="8451" max="8451" width="34.109375" style="55" customWidth="1"/>
    <col min="8452" max="8452" width="9.88671875" style="55" customWidth="1"/>
    <col min="8453" max="8453" width="13.44140625" style="55" bestFit="1" customWidth="1"/>
    <col min="8454" max="8454" width="11" style="55" bestFit="1" customWidth="1"/>
    <col min="8455" max="8455" width="8.109375" style="55" customWidth="1"/>
    <col min="8456" max="8456" width="12.33203125" style="55" customWidth="1"/>
    <col min="8457" max="8457" width="10.44140625" style="55" customWidth="1"/>
    <col min="8458" max="8458" width="0" style="55" hidden="1" customWidth="1"/>
    <col min="8459" max="8459" width="17" style="55" bestFit="1" customWidth="1"/>
    <col min="8460" max="8484" width="0" style="55" hidden="1" customWidth="1"/>
    <col min="8485" max="8704" width="9.109375" style="55"/>
    <col min="8705" max="8706" width="3.33203125" style="55" customWidth="1"/>
    <col min="8707" max="8707" width="34.109375" style="55" customWidth="1"/>
    <col min="8708" max="8708" width="9.88671875" style="55" customWidth="1"/>
    <col min="8709" max="8709" width="13.44140625" style="55" bestFit="1" customWidth="1"/>
    <col min="8710" max="8710" width="11" style="55" bestFit="1" customWidth="1"/>
    <col min="8711" max="8711" width="8.109375" style="55" customWidth="1"/>
    <col min="8712" max="8712" width="12.33203125" style="55" customWidth="1"/>
    <col min="8713" max="8713" width="10.44140625" style="55" customWidth="1"/>
    <col min="8714" max="8714" width="0" style="55" hidden="1" customWidth="1"/>
    <col min="8715" max="8715" width="17" style="55" bestFit="1" customWidth="1"/>
    <col min="8716" max="8740" width="0" style="55" hidden="1" customWidth="1"/>
    <col min="8741" max="8960" width="9.109375" style="55"/>
    <col min="8961" max="8962" width="3.33203125" style="55" customWidth="1"/>
    <col min="8963" max="8963" width="34.109375" style="55" customWidth="1"/>
    <col min="8964" max="8964" width="9.88671875" style="55" customWidth="1"/>
    <col min="8965" max="8965" width="13.44140625" style="55" bestFit="1" customWidth="1"/>
    <col min="8966" max="8966" width="11" style="55" bestFit="1" customWidth="1"/>
    <col min="8967" max="8967" width="8.109375" style="55" customWidth="1"/>
    <col min="8968" max="8968" width="12.33203125" style="55" customWidth="1"/>
    <col min="8969" max="8969" width="10.44140625" style="55" customWidth="1"/>
    <col min="8970" max="8970" width="0" style="55" hidden="1" customWidth="1"/>
    <col min="8971" max="8971" width="17" style="55" bestFit="1" customWidth="1"/>
    <col min="8972" max="8996" width="0" style="55" hidden="1" customWidth="1"/>
    <col min="8997" max="9216" width="9.109375" style="55"/>
    <col min="9217" max="9218" width="3.33203125" style="55" customWidth="1"/>
    <col min="9219" max="9219" width="34.109375" style="55" customWidth="1"/>
    <col min="9220" max="9220" width="9.88671875" style="55" customWidth="1"/>
    <col min="9221" max="9221" width="13.44140625" style="55" bestFit="1" customWidth="1"/>
    <col min="9222" max="9222" width="11" style="55" bestFit="1" customWidth="1"/>
    <col min="9223" max="9223" width="8.109375" style="55" customWidth="1"/>
    <col min="9224" max="9224" width="12.33203125" style="55" customWidth="1"/>
    <col min="9225" max="9225" width="10.44140625" style="55" customWidth="1"/>
    <col min="9226" max="9226" width="0" style="55" hidden="1" customWidth="1"/>
    <col min="9227" max="9227" width="17" style="55" bestFit="1" customWidth="1"/>
    <col min="9228" max="9252" width="0" style="55" hidden="1" customWidth="1"/>
    <col min="9253" max="9472" width="9.109375" style="55"/>
    <col min="9473" max="9474" width="3.33203125" style="55" customWidth="1"/>
    <col min="9475" max="9475" width="34.109375" style="55" customWidth="1"/>
    <col min="9476" max="9476" width="9.88671875" style="55" customWidth="1"/>
    <col min="9477" max="9477" width="13.44140625" style="55" bestFit="1" customWidth="1"/>
    <col min="9478" max="9478" width="11" style="55" bestFit="1" customWidth="1"/>
    <col min="9479" max="9479" width="8.109375" style="55" customWidth="1"/>
    <col min="9480" max="9480" width="12.33203125" style="55" customWidth="1"/>
    <col min="9481" max="9481" width="10.44140625" style="55" customWidth="1"/>
    <col min="9482" max="9482" width="0" style="55" hidden="1" customWidth="1"/>
    <col min="9483" max="9483" width="17" style="55" bestFit="1" customWidth="1"/>
    <col min="9484" max="9508" width="0" style="55" hidden="1" customWidth="1"/>
    <col min="9509" max="9728" width="9.109375" style="55"/>
    <col min="9729" max="9730" width="3.33203125" style="55" customWidth="1"/>
    <col min="9731" max="9731" width="34.109375" style="55" customWidth="1"/>
    <col min="9732" max="9732" width="9.88671875" style="55" customWidth="1"/>
    <col min="9733" max="9733" width="13.44140625" style="55" bestFit="1" customWidth="1"/>
    <col min="9734" max="9734" width="11" style="55" bestFit="1" customWidth="1"/>
    <col min="9735" max="9735" width="8.109375" style="55" customWidth="1"/>
    <col min="9736" max="9736" width="12.33203125" style="55" customWidth="1"/>
    <col min="9737" max="9737" width="10.44140625" style="55" customWidth="1"/>
    <col min="9738" max="9738" width="0" style="55" hidden="1" customWidth="1"/>
    <col min="9739" max="9739" width="17" style="55" bestFit="1" customWidth="1"/>
    <col min="9740" max="9764" width="0" style="55" hidden="1" customWidth="1"/>
    <col min="9765" max="9984" width="9.109375" style="55"/>
    <col min="9985" max="9986" width="3.33203125" style="55" customWidth="1"/>
    <col min="9987" max="9987" width="34.109375" style="55" customWidth="1"/>
    <col min="9988" max="9988" width="9.88671875" style="55" customWidth="1"/>
    <col min="9989" max="9989" width="13.44140625" style="55" bestFit="1" customWidth="1"/>
    <col min="9990" max="9990" width="11" style="55" bestFit="1" customWidth="1"/>
    <col min="9991" max="9991" width="8.109375" style="55" customWidth="1"/>
    <col min="9992" max="9992" width="12.33203125" style="55" customWidth="1"/>
    <col min="9993" max="9993" width="10.44140625" style="55" customWidth="1"/>
    <col min="9994" max="9994" width="0" style="55" hidden="1" customWidth="1"/>
    <col min="9995" max="9995" width="17" style="55" bestFit="1" customWidth="1"/>
    <col min="9996" max="10020" width="0" style="55" hidden="1" customWidth="1"/>
    <col min="10021" max="10240" width="9.109375" style="55"/>
    <col min="10241" max="10242" width="3.33203125" style="55" customWidth="1"/>
    <col min="10243" max="10243" width="34.109375" style="55" customWidth="1"/>
    <col min="10244" max="10244" width="9.88671875" style="55" customWidth="1"/>
    <col min="10245" max="10245" width="13.44140625" style="55" bestFit="1" customWidth="1"/>
    <col min="10246" max="10246" width="11" style="55" bestFit="1" customWidth="1"/>
    <col min="10247" max="10247" width="8.109375" style="55" customWidth="1"/>
    <col min="10248" max="10248" width="12.33203125" style="55" customWidth="1"/>
    <col min="10249" max="10249" width="10.44140625" style="55" customWidth="1"/>
    <col min="10250" max="10250" width="0" style="55" hidden="1" customWidth="1"/>
    <col min="10251" max="10251" width="17" style="55" bestFit="1" customWidth="1"/>
    <col min="10252" max="10276" width="0" style="55" hidden="1" customWidth="1"/>
    <col min="10277" max="10496" width="9.109375" style="55"/>
    <col min="10497" max="10498" width="3.33203125" style="55" customWidth="1"/>
    <col min="10499" max="10499" width="34.109375" style="55" customWidth="1"/>
    <col min="10500" max="10500" width="9.88671875" style="55" customWidth="1"/>
    <col min="10501" max="10501" width="13.44140625" style="55" bestFit="1" customWidth="1"/>
    <col min="10502" max="10502" width="11" style="55" bestFit="1" customWidth="1"/>
    <col min="10503" max="10503" width="8.109375" style="55" customWidth="1"/>
    <col min="10504" max="10504" width="12.33203125" style="55" customWidth="1"/>
    <col min="10505" max="10505" width="10.44140625" style="55" customWidth="1"/>
    <col min="10506" max="10506" width="0" style="55" hidden="1" customWidth="1"/>
    <col min="10507" max="10507" width="17" style="55" bestFit="1" customWidth="1"/>
    <col min="10508" max="10532" width="0" style="55" hidden="1" customWidth="1"/>
    <col min="10533" max="10752" width="9.109375" style="55"/>
    <col min="10753" max="10754" width="3.33203125" style="55" customWidth="1"/>
    <col min="10755" max="10755" width="34.109375" style="55" customWidth="1"/>
    <col min="10756" max="10756" width="9.88671875" style="55" customWidth="1"/>
    <col min="10757" max="10757" width="13.44140625" style="55" bestFit="1" customWidth="1"/>
    <col min="10758" max="10758" width="11" style="55" bestFit="1" customWidth="1"/>
    <col min="10759" max="10759" width="8.109375" style="55" customWidth="1"/>
    <col min="10760" max="10760" width="12.33203125" style="55" customWidth="1"/>
    <col min="10761" max="10761" width="10.44140625" style="55" customWidth="1"/>
    <col min="10762" max="10762" width="0" style="55" hidden="1" customWidth="1"/>
    <col min="10763" max="10763" width="17" style="55" bestFit="1" customWidth="1"/>
    <col min="10764" max="10788" width="0" style="55" hidden="1" customWidth="1"/>
    <col min="10789" max="11008" width="9.109375" style="55"/>
    <col min="11009" max="11010" width="3.33203125" style="55" customWidth="1"/>
    <col min="11011" max="11011" width="34.109375" style="55" customWidth="1"/>
    <col min="11012" max="11012" width="9.88671875" style="55" customWidth="1"/>
    <col min="11013" max="11013" width="13.44140625" style="55" bestFit="1" customWidth="1"/>
    <col min="11014" max="11014" width="11" style="55" bestFit="1" customWidth="1"/>
    <col min="11015" max="11015" width="8.109375" style="55" customWidth="1"/>
    <col min="11016" max="11016" width="12.33203125" style="55" customWidth="1"/>
    <col min="11017" max="11017" width="10.44140625" style="55" customWidth="1"/>
    <col min="11018" max="11018" width="0" style="55" hidden="1" customWidth="1"/>
    <col min="11019" max="11019" width="17" style="55" bestFit="1" customWidth="1"/>
    <col min="11020" max="11044" width="0" style="55" hidden="1" customWidth="1"/>
    <col min="11045" max="11264" width="9.109375" style="55"/>
    <col min="11265" max="11266" width="3.33203125" style="55" customWidth="1"/>
    <col min="11267" max="11267" width="34.109375" style="55" customWidth="1"/>
    <col min="11268" max="11268" width="9.88671875" style="55" customWidth="1"/>
    <col min="11269" max="11269" width="13.44140625" style="55" bestFit="1" customWidth="1"/>
    <col min="11270" max="11270" width="11" style="55" bestFit="1" customWidth="1"/>
    <col min="11271" max="11271" width="8.109375" style="55" customWidth="1"/>
    <col min="11272" max="11272" width="12.33203125" style="55" customWidth="1"/>
    <col min="11273" max="11273" width="10.44140625" style="55" customWidth="1"/>
    <col min="11274" max="11274" width="0" style="55" hidden="1" customWidth="1"/>
    <col min="11275" max="11275" width="17" style="55" bestFit="1" customWidth="1"/>
    <col min="11276" max="11300" width="0" style="55" hidden="1" customWidth="1"/>
    <col min="11301" max="11520" width="9.109375" style="55"/>
    <col min="11521" max="11522" width="3.33203125" style="55" customWidth="1"/>
    <col min="11523" max="11523" width="34.109375" style="55" customWidth="1"/>
    <col min="11524" max="11524" width="9.88671875" style="55" customWidth="1"/>
    <col min="11525" max="11525" width="13.44140625" style="55" bestFit="1" customWidth="1"/>
    <col min="11526" max="11526" width="11" style="55" bestFit="1" customWidth="1"/>
    <col min="11527" max="11527" width="8.109375" style="55" customWidth="1"/>
    <col min="11528" max="11528" width="12.33203125" style="55" customWidth="1"/>
    <col min="11529" max="11529" width="10.44140625" style="55" customWidth="1"/>
    <col min="11530" max="11530" width="0" style="55" hidden="1" customWidth="1"/>
    <col min="11531" max="11531" width="17" style="55" bestFit="1" customWidth="1"/>
    <col min="11532" max="11556" width="0" style="55" hidden="1" customWidth="1"/>
    <col min="11557" max="11776" width="9.109375" style="55"/>
    <col min="11777" max="11778" width="3.33203125" style="55" customWidth="1"/>
    <col min="11779" max="11779" width="34.109375" style="55" customWidth="1"/>
    <col min="11780" max="11780" width="9.88671875" style="55" customWidth="1"/>
    <col min="11781" max="11781" width="13.44140625" style="55" bestFit="1" customWidth="1"/>
    <col min="11782" max="11782" width="11" style="55" bestFit="1" customWidth="1"/>
    <col min="11783" max="11783" width="8.109375" style="55" customWidth="1"/>
    <col min="11784" max="11784" width="12.33203125" style="55" customWidth="1"/>
    <col min="11785" max="11785" width="10.44140625" style="55" customWidth="1"/>
    <col min="11786" max="11786" width="0" style="55" hidden="1" customWidth="1"/>
    <col min="11787" max="11787" width="17" style="55" bestFit="1" customWidth="1"/>
    <col min="11788" max="11812" width="0" style="55" hidden="1" customWidth="1"/>
    <col min="11813" max="12032" width="9.109375" style="55"/>
    <col min="12033" max="12034" width="3.33203125" style="55" customWidth="1"/>
    <col min="12035" max="12035" width="34.109375" style="55" customWidth="1"/>
    <col min="12036" max="12036" width="9.88671875" style="55" customWidth="1"/>
    <col min="12037" max="12037" width="13.44140625" style="55" bestFit="1" customWidth="1"/>
    <col min="12038" max="12038" width="11" style="55" bestFit="1" customWidth="1"/>
    <col min="12039" max="12039" width="8.109375" style="55" customWidth="1"/>
    <col min="12040" max="12040" width="12.33203125" style="55" customWidth="1"/>
    <col min="12041" max="12041" width="10.44140625" style="55" customWidth="1"/>
    <col min="12042" max="12042" width="0" style="55" hidden="1" customWidth="1"/>
    <col min="12043" max="12043" width="17" style="55" bestFit="1" customWidth="1"/>
    <col min="12044" max="12068" width="0" style="55" hidden="1" customWidth="1"/>
    <col min="12069" max="12288" width="9.109375" style="55"/>
    <col min="12289" max="12290" width="3.33203125" style="55" customWidth="1"/>
    <col min="12291" max="12291" width="34.109375" style="55" customWidth="1"/>
    <col min="12292" max="12292" width="9.88671875" style="55" customWidth="1"/>
    <col min="12293" max="12293" width="13.44140625" style="55" bestFit="1" customWidth="1"/>
    <col min="12294" max="12294" width="11" style="55" bestFit="1" customWidth="1"/>
    <col min="12295" max="12295" width="8.109375" style="55" customWidth="1"/>
    <col min="12296" max="12296" width="12.33203125" style="55" customWidth="1"/>
    <col min="12297" max="12297" width="10.44140625" style="55" customWidth="1"/>
    <col min="12298" max="12298" width="0" style="55" hidden="1" customWidth="1"/>
    <col min="12299" max="12299" width="17" style="55" bestFit="1" customWidth="1"/>
    <col min="12300" max="12324" width="0" style="55" hidden="1" customWidth="1"/>
    <col min="12325" max="12544" width="9.109375" style="55"/>
    <col min="12545" max="12546" width="3.33203125" style="55" customWidth="1"/>
    <col min="12547" max="12547" width="34.109375" style="55" customWidth="1"/>
    <col min="12548" max="12548" width="9.88671875" style="55" customWidth="1"/>
    <col min="12549" max="12549" width="13.44140625" style="55" bestFit="1" customWidth="1"/>
    <col min="12550" max="12550" width="11" style="55" bestFit="1" customWidth="1"/>
    <col min="12551" max="12551" width="8.109375" style="55" customWidth="1"/>
    <col min="12552" max="12552" width="12.33203125" style="55" customWidth="1"/>
    <col min="12553" max="12553" width="10.44140625" style="55" customWidth="1"/>
    <col min="12554" max="12554" width="0" style="55" hidden="1" customWidth="1"/>
    <col min="12555" max="12555" width="17" style="55" bestFit="1" customWidth="1"/>
    <col min="12556" max="12580" width="0" style="55" hidden="1" customWidth="1"/>
    <col min="12581" max="12800" width="9.109375" style="55"/>
    <col min="12801" max="12802" width="3.33203125" style="55" customWidth="1"/>
    <col min="12803" max="12803" width="34.109375" style="55" customWidth="1"/>
    <col min="12804" max="12804" width="9.88671875" style="55" customWidth="1"/>
    <col min="12805" max="12805" width="13.44140625" style="55" bestFit="1" customWidth="1"/>
    <col min="12806" max="12806" width="11" style="55" bestFit="1" customWidth="1"/>
    <col min="12807" max="12807" width="8.109375" style="55" customWidth="1"/>
    <col min="12808" max="12808" width="12.33203125" style="55" customWidth="1"/>
    <col min="12809" max="12809" width="10.44140625" style="55" customWidth="1"/>
    <col min="12810" max="12810" width="0" style="55" hidden="1" customWidth="1"/>
    <col min="12811" max="12811" width="17" style="55" bestFit="1" customWidth="1"/>
    <col min="12812" max="12836" width="0" style="55" hidden="1" customWidth="1"/>
    <col min="12837" max="13056" width="9.109375" style="55"/>
    <col min="13057" max="13058" width="3.33203125" style="55" customWidth="1"/>
    <col min="13059" max="13059" width="34.109375" style="55" customWidth="1"/>
    <col min="13060" max="13060" width="9.88671875" style="55" customWidth="1"/>
    <col min="13061" max="13061" width="13.44140625" style="55" bestFit="1" customWidth="1"/>
    <col min="13062" max="13062" width="11" style="55" bestFit="1" customWidth="1"/>
    <col min="13063" max="13063" width="8.109375" style="55" customWidth="1"/>
    <col min="13064" max="13064" width="12.33203125" style="55" customWidth="1"/>
    <col min="13065" max="13065" width="10.44140625" style="55" customWidth="1"/>
    <col min="13066" max="13066" width="0" style="55" hidden="1" customWidth="1"/>
    <col min="13067" max="13067" width="17" style="55" bestFit="1" customWidth="1"/>
    <col min="13068" max="13092" width="0" style="55" hidden="1" customWidth="1"/>
    <col min="13093" max="13312" width="9.109375" style="55"/>
    <col min="13313" max="13314" width="3.33203125" style="55" customWidth="1"/>
    <col min="13315" max="13315" width="34.109375" style="55" customWidth="1"/>
    <col min="13316" max="13316" width="9.88671875" style="55" customWidth="1"/>
    <col min="13317" max="13317" width="13.44140625" style="55" bestFit="1" customWidth="1"/>
    <col min="13318" max="13318" width="11" style="55" bestFit="1" customWidth="1"/>
    <col min="13319" max="13319" width="8.109375" style="55" customWidth="1"/>
    <col min="13320" max="13320" width="12.33203125" style="55" customWidth="1"/>
    <col min="13321" max="13321" width="10.44140625" style="55" customWidth="1"/>
    <col min="13322" max="13322" width="0" style="55" hidden="1" customWidth="1"/>
    <col min="13323" max="13323" width="17" style="55" bestFit="1" customWidth="1"/>
    <col min="13324" max="13348" width="0" style="55" hidden="1" customWidth="1"/>
    <col min="13349" max="13568" width="9.109375" style="55"/>
    <col min="13569" max="13570" width="3.33203125" style="55" customWidth="1"/>
    <col min="13571" max="13571" width="34.109375" style="55" customWidth="1"/>
    <col min="13572" max="13572" width="9.88671875" style="55" customWidth="1"/>
    <col min="13573" max="13573" width="13.44140625" style="55" bestFit="1" customWidth="1"/>
    <col min="13574" max="13574" width="11" style="55" bestFit="1" customWidth="1"/>
    <col min="13575" max="13575" width="8.109375" style="55" customWidth="1"/>
    <col min="13576" max="13576" width="12.33203125" style="55" customWidth="1"/>
    <col min="13577" max="13577" width="10.44140625" style="55" customWidth="1"/>
    <col min="13578" max="13578" width="0" style="55" hidden="1" customWidth="1"/>
    <col min="13579" max="13579" width="17" style="55" bestFit="1" customWidth="1"/>
    <col min="13580" max="13604" width="0" style="55" hidden="1" customWidth="1"/>
    <col min="13605" max="13824" width="9.109375" style="55"/>
    <col min="13825" max="13826" width="3.33203125" style="55" customWidth="1"/>
    <col min="13827" max="13827" width="34.109375" style="55" customWidth="1"/>
    <col min="13828" max="13828" width="9.88671875" style="55" customWidth="1"/>
    <col min="13829" max="13829" width="13.44140625" style="55" bestFit="1" customWidth="1"/>
    <col min="13830" max="13830" width="11" style="55" bestFit="1" customWidth="1"/>
    <col min="13831" max="13831" width="8.109375" style="55" customWidth="1"/>
    <col min="13832" max="13832" width="12.33203125" style="55" customWidth="1"/>
    <col min="13833" max="13833" width="10.44140625" style="55" customWidth="1"/>
    <col min="13834" max="13834" width="0" style="55" hidden="1" customWidth="1"/>
    <col min="13835" max="13835" width="17" style="55" bestFit="1" customWidth="1"/>
    <col min="13836" max="13860" width="0" style="55" hidden="1" customWidth="1"/>
    <col min="13861" max="14080" width="9.109375" style="55"/>
    <col min="14081" max="14082" width="3.33203125" style="55" customWidth="1"/>
    <col min="14083" max="14083" width="34.109375" style="55" customWidth="1"/>
    <col min="14084" max="14084" width="9.88671875" style="55" customWidth="1"/>
    <col min="14085" max="14085" width="13.44140625" style="55" bestFit="1" customWidth="1"/>
    <col min="14086" max="14086" width="11" style="55" bestFit="1" customWidth="1"/>
    <col min="14087" max="14087" width="8.109375" style="55" customWidth="1"/>
    <col min="14088" max="14088" width="12.33203125" style="55" customWidth="1"/>
    <col min="14089" max="14089" width="10.44140625" style="55" customWidth="1"/>
    <col min="14090" max="14090" width="0" style="55" hidden="1" customWidth="1"/>
    <col min="14091" max="14091" width="17" style="55" bestFit="1" customWidth="1"/>
    <col min="14092" max="14116" width="0" style="55" hidden="1" customWidth="1"/>
    <col min="14117" max="14336" width="9.109375" style="55"/>
    <col min="14337" max="14338" width="3.33203125" style="55" customWidth="1"/>
    <col min="14339" max="14339" width="34.109375" style="55" customWidth="1"/>
    <col min="14340" max="14340" width="9.88671875" style="55" customWidth="1"/>
    <col min="14341" max="14341" width="13.44140625" style="55" bestFit="1" customWidth="1"/>
    <col min="14342" max="14342" width="11" style="55" bestFit="1" customWidth="1"/>
    <col min="14343" max="14343" width="8.109375" style="55" customWidth="1"/>
    <col min="14344" max="14344" width="12.33203125" style="55" customWidth="1"/>
    <col min="14345" max="14345" width="10.44140625" style="55" customWidth="1"/>
    <col min="14346" max="14346" width="0" style="55" hidden="1" customWidth="1"/>
    <col min="14347" max="14347" width="17" style="55" bestFit="1" customWidth="1"/>
    <col min="14348" max="14372" width="0" style="55" hidden="1" customWidth="1"/>
    <col min="14373" max="14592" width="9.109375" style="55"/>
    <col min="14593" max="14594" width="3.33203125" style="55" customWidth="1"/>
    <col min="14595" max="14595" width="34.109375" style="55" customWidth="1"/>
    <col min="14596" max="14596" width="9.88671875" style="55" customWidth="1"/>
    <col min="14597" max="14597" width="13.44140625" style="55" bestFit="1" customWidth="1"/>
    <col min="14598" max="14598" width="11" style="55" bestFit="1" customWidth="1"/>
    <col min="14599" max="14599" width="8.109375" style="55" customWidth="1"/>
    <col min="14600" max="14600" width="12.33203125" style="55" customWidth="1"/>
    <col min="14601" max="14601" width="10.44140625" style="55" customWidth="1"/>
    <col min="14602" max="14602" width="0" style="55" hidden="1" customWidth="1"/>
    <col min="14603" max="14603" width="17" style="55" bestFit="1" customWidth="1"/>
    <col min="14604" max="14628" width="0" style="55" hidden="1" customWidth="1"/>
    <col min="14629" max="14848" width="9.109375" style="55"/>
    <col min="14849" max="14850" width="3.33203125" style="55" customWidth="1"/>
    <col min="14851" max="14851" width="34.109375" style="55" customWidth="1"/>
    <col min="14852" max="14852" width="9.88671875" style="55" customWidth="1"/>
    <col min="14853" max="14853" width="13.44140625" style="55" bestFit="1" customWidth="1"/>
    <col min="14854" max="14854" width="11" style="55" bestFit="1" customWidth="1"/>
    <col min="14855" max="14855" width="8.109375" style="55" customWidth="1"/>
    <col min="14856" max="14856" width="12.33203125" style="55" customWidth="1"/>
    <col min="14857" max="14857" width="10.44140625" style="55" customWidth="1"/>
    <col min="14858" max="14858" width="0" style="55" hidden="1" customWidth="1"/>
    <col min="14859" max="14859" width="17" style="55" bestFit="1" customWidth="1"/>
    <col min="14860" max="14884" width="0" style="55" hidden="1" customWidth="1"/>
    <col min="14885" max="15104" width="9.109375" style="55"/>
    <col min="15105" max="15106" width="3.33203125" style="55" customWidth="1"/>
    <col min="15107" max="15107" width="34.109375" style="55" customWidth="1"/>
    <col min="15108" max="15108" width="9.88671875" style="55" customWidth="1"/>
    <col min="15109" max="15109" width="13.44140625" style="55" bestFit="1" customWidth="1"/>
    <col min="15110" max="15110" width="11" style="55" bestFit="1" customWidth="1"/>
    <col min="15111" max="15111" width="8.109375" style="55" customWidth="1"/>
    <col min="15112" max="15112" width="12.33203125" style="55" customWidth="1"/>
    <col min="15113" max="15113" width="10.44140625" style="55" customWidth="1"/>
    <col min="15114" max="15114" width="0" style="55" hidden="1" customWidth="1"/>
    <col min="15115" max="15115" width="17" style="55" bestFit="1" customWidth="1"/>
    <col min="15116" max="15140" width="0" style="55" hidden="1" customWidth="1"/>
    <col min="15141" max="15360" width="9.109375" style="55"/>
    <col min="15361" max="15362" width="3.33203125" style="55" customWidth="1"/>
    <col min="15363" max="15363" width="34.109375" style="55" customWidth="1"/>
    <col min="15364" max="15364" width="9.88671875" style="55" customWidth="1"/>
    <col min="15365" max="15365" width="13.44140625" style="55" bestFit="1" customWidth="1"/>
    <col min="15366" max="15366" width="11" style="55" bestFit="1" customWidth="1"/>
    <col min="15367" max="15367" width="8.109375" style="55" customWidth="1"/>
    <col min="15368" max="15368" width="12.33203125" style="55" customWidth="1"/>
    <col min="15369" max="15369" width="10.44140625" style="55" customWidth="1"/>
    <col min="15370" max="15370" width="0" style="55" hidden="1" customWidth="1"/>
    <col min="15371" max="15371" width="17" style="55" bestFit="1" customWidth="1"/>
    <col min="15372" max="15396" width="0" style="55" hidden="1" customWidth="1"/>
    <col min="15397" max="15616" width="9.109375" style="55"/>
    <col min="15617" max="15618" width="3.33203125" style="55" customWidth="1"/>
    <col min="15619" max="15619" width="34.109375" style="55" customWidth="1"/>
    <col min="15620" max="15620" width="9.88671875" style="55" customWidth="1"/>
    <col min="15621" max="15621" width="13.44140625" style="55" bestFit="1" customWidth="1"/>
    <col min="15622" max="15622" width="11" style="55" bestFit="1" customWidth="1"/>
    <col min="15623" max="15623" width="8.109375" style="55" customWidth="1"/>
    <col min="15624" max="15624" width="12.33203125" style="55" customWidth="1"/>
    <col min="15625" max="15625" width="10.44140625" style="55" customWidth="1"/>
    <col min="15626" max="15626" width="0" style="55" hidden="1" customWidth="1"/>
    <col min="15627" max="15627" width="17" style="55" bestFit="1" customWidth="1"/>
    <col min="15628" max="15652" width="0" style="55" hidden="1" customWidth="1"/>
    <col min="15653" max="15872" width="9.109375" style="55"/>
    <col min="15873" max="15874" width="3.33203125" style="55" customWidth="1"/>
    <col min="15875" max="15875" width="34.109375" style="55" customWidth="1"/>
    <col min="15876" max="15876" width="9.88671875" style="55" customWidth="1"/>
    <col min="15877" max="15877" width="13.44140625" style="55" bestFit="1" customWidth="1"/>
    <col min="15878" max="15878" width="11" style="55" bestFit="1" customWidth="1"/>
    <col min="15879" max="15879" width="8.109375" style="55" customWidth="1"/>
    <col min="15880" max="15880" width="12.33203125" style="55" customWidth="1"/>
    <col min="15881" max="15881" width="10.44140625" style="55" customWidth="1"/>
    <col min="15882" max="15882" width="0" style="55" hidden="1" customWidth="1"/>
    <col min="15883" max="15883" width="17" style="55" bestFit="1" customWidth="1"/>
    <col min="15884" max="15908" width="0" style="55" hidden="1" customWidth="1"/>
    <col min="15909" max="16128" width="9.109375" style="55"/>
    <col min="16129" max="16130" width="3.33203125" style="55" customWidth="1"/>
    <col min="16131" max="16131" width="34.109375" style="55" customWidth="1"/>
    <col min="16132" max="16132" width="9.88671875" style="55" customWidth="1"/>
    <col min="16133" max="16133" width="13.44140625" style="55" bestFit="1" customWidth="1"/>
    <col min="16134" max="16134" width="11" style="55" bestFit="1" customWidth="1"/>
    <col min="16135" max="16135" width="8.109375" style="55" customWidth="1"/>
    <col min="16136" max="16136" width="12.33203125" style="55" customWidth="1"/>
    <col min="16137" max="16137" width="10.44140625" style="55" customWidth="1"/>
    <col min="16138" max="16138" width="0" style="55" hidden="1" customWidth="1"/>
    <col min="16139" max="16139" width="17" style="55" bestFit="1" customWidth="1"/>
    <col min="16140" max="16164" width="0" style="55" hidden="1" customWidth="1"/>
    <col min="16165" max="16384" width="9.109375" style="55"/>
  </cols>
  <sheetData>
    <row r="1" spans="3:16" hidden="1" x14ac:dyDescent="0.25">
      <c r="C1" s="34"/>
      <c r="D1" s="35"/>
      <c r="E1" s="36"/>
      <c r="F1" s="37"/>
      <c r="G1" s="38"/>
      <c r="H1" s="38"/>
      <c r="I1" s="38"/>
      <c r="J1" s="38"/>
      <c r="K1" s="38"/>
      <c r="L1" s="38"/>
      <c r="M1" s="38"/>
    </row>
    <row r="2" spans="3:16" hidden="1" x14ac:dyDescent="0.25">
      <c r="C2" s="217" t="s">
        <v>88</v>
      </c>
      <c r="D2" s="217"/>
      <c r="E2" s="217"/>
      <c r="F2" s="217"/>
      <c r="G2" s="38"/>
      <c r="N2" s="40"/>
    </row>
    <row r="3" spans="3:16" ht="13.2" hidden="1" x14ac:dyDescent="0.25">
      <c r="C3" s="41"/>
      <c r="D3" s="218" t="s">
        <v>89</v>
      </c>
      <c r="E3" s="219"/>
      <c r="F3" s="41"/>
      <c r="G3" s="38"/>
      <c r="N3" s="40"/>
      <c r="P3" s="40"/>
    </row>
    <row r="4" spans="3:16" hidden="1" x14ac:dyDescent="0.25">
      <c r="C4" s="41"/>
      <c r="D4" s="41" t="s">
        <v>90</v>
      </c>
      <c r="E4" s="42" t="s">
        <v>91</v>
      </c>
      <c r="F4" s="41"/>
      <c r="G4" s="38"/>
      <c r="N4" s="40"/>
      <c r="P4" s="40"/>
    </row>
    <row r="5" spans="3:16" hidden="1" x14ac:dyDescent="0.25">
      <c r="C5" s="43" t="s">
        <v>92</v>
      </c>
      <c r="D5" s="44">
        <v>25</v>
      </c>
      <c r="E5" s="45">
        <v>25</v>
      </c>
      <c r="F5" s="41"/>
      <c r="G5" s="38"/>
      <c r="N5" s="40"/>
      <c r="P5" s="40"/>
    </row>
    <row r="6" spans="3:16" hidden="1" x14ac:dyDescent="0.25">
      <c r="C6" s="43" t="s">
        <v>93</v>
      </c>
      <c r="D6" s="41">
        <v>4</v>
      </c>
      <c r="E6" s="42">
        <v>4</v>
      </c>
      <c r="F6" s="41"/>
      <c r="G6" s="38"/>
      <c r="N6" s="40"/>
      <c r="P6" s="40"/>
    </row>
    <row r="7" spans="3:16" hidden="1" x14ac:dyDescent="0.25">
      <c r="C7" s="43" t="s">
        <v>94</v>
      </c>
      <c r="D7" s="44">
        <v>3</v>
      </c>
      <c r="E7" s="45">
        <v>3</v>
      </c>
      <c r="F7" s="41">
        <f>SUM(D7:E7)</f>
        <v>6</v>
      </c>
      <c r="G7" s="38"/>
      <c r="N7" s="40"/>
      <c r="P7" s="40"/>
    </row>
    <row r="8" spans="3:16" hidden="1" x14ac:dyDescent="0.25">
      <c r="C8" s="43" t="s">
        <v>95</v>
      </c>
      <c r="D8" s="44">
        <v>120</v>
      </c>
      <c r="E8" s="45">
        <v>75</v>
      </c>
      <c r="F8" s="41"/>
      <c r="G8" s="38"/>
      <c r="J8" s="46"/>
      <c r="N8" s="40"/>
      <c r="P8" s="40"/>
    </row>
    <row r="9" spans="3:16" hidden="1" x14ac:dyDescent="0.25">
      <c r="C9" s="43" t="s">
        <v>96</v>
      </c>
      <c r="D9" s="47">
        <f>D7*60/D8</f>
        <v>1.5</v>
      </c>
      <c r="E9" s="42">
        <f>E7*60/E8</f>
        <v>2.4</v>
      </c>
      <c r="F9" s="41">
        <f>SUM(D9:E9)</f>
        <v>3.9</v>
      </c>
      <c r="G9" s="38"/>
      <c r="N9" s="40"/>
      <c r="P9" s="40"/>
    </row>
    <row r="10" spans="3:16" hidden="1" x14ac:dyDescent="0.25">
      <c r="C10" s="43" t="s">
        <v>97</v>
      </c>
      <c r="D10" s="48">
        <f>D5*D6*D9</f>
        <v>150</v>
      </c>
      <c r="E10" s="42">
        <f>E5*E6*E9</f>
        <v>240</v>
      </c>
      <c r="F10" s="41">
        <f>SUM(D10:E10)</f>
        <v>390</v>
      </c>
      <c r="G10" s="38"/>
      <c r="N10" s="40"/>
      <c r="P10" s="40"/>
    </row>
    <row r="11" spans="3:16" hidden="1" x14ac:dyDescent="0.25">
      <c r="C11" s="43" t="s">
        <v>98</v>
      </c>
      <c r="D11" s="41">
        <f>D10*0.5</f>
        <v>75</v>
      </c>
      <c r="E11" s="42">
        <f>E10*0.5</f>
        <v>120</v>
      </c>
      <c r="F11" s="41">
        <f>SUM(D11:E11)</f>
        <v>195</v>
      </c>
      <c r="G11" s="38"/>
      <c r="N11" s="40"/>
      <c r="P11" s="40"/>
    </row>
    <row r="12" spans="3:16" hidden="1" x14ac:dyDescent="0.25">
      <c r="C12" s="43" t="s">
        <v>99</v>
      </c>
      <c r="D12" s="49">
        <v>0.8</v>
      </c>
      <c r="E12" s="45">
        <v>0.5</v>
      </c>
      <c r="F12" s="41"/>
      <c r="G12" s="38"/>
      <c r="N12" s="40"/>
      <c r="P12" s="40"/>
    </row>
    <row r="13" spans="3:16" hidden="1" x14ac:dyDescent="0.25">
      <c r="C13" s="50" t="s">
        <v>100</v>
      </c>
      <c r="D13" s="51">
        <f>D11*D12</f>
        <v>60</v>
      </c>
      <c r="E13" s="52">
        <f>E11*E12</f>
        <v>60</v>
      </c>
      <c r="F13" s="41">
        <f>SUM(D13:E13)</f>
        <v>120</v>
      </c>
      <c r="G13" s="38"/>
      <c r="N13" s="40"/>
      <c r="P13" s="40"/>
    </row>
    <row r="14" spans="3:16" hidden="1" x14ac:dyDescent="0.25">
      <c r="C14" s="43" t="s">
        <v>101</v>
      </c>
      <c r="D14" s="49">
        <v>0.3</v>
      </c>
      <c r="E14" s="45">
        <v>0.3</v>
      </c>
      <c r="F14" s="41"/>
    </row>
    <row r="15" spans="3:16" hidden="1" x14ac:dyDescent="0.25">
      <c r="C15" s="43" t="s">
        <v>102</v>
      </c>
      <c r="D15" s="49">
        <v>0.45</v>
      </c>
      <c r="E15" s="45">
        <v>0.45</v>
      </c>
      <c r="F15" s="41"/>
    </row>
    <row r="16" spans="3:16" hidden="1" x14ac:dyDescent="0.25">
      <c r="C16" s="43" t="s">
        <v>103</v>
      </c>
      <c r="D16" s="49">
        <v>0.6</v>
      </c>
      <c r="E16" s="45">
        <v>0.6</v>
      </c>
      <c r="F16" s="41"/>
    </row>
    <row r="17" spans="1:36" hidden="1" x14ac:dyDescent="0.25">
      <c r="C17" s="43" t="s">
        <v>104</v>
      </c>
      <c r="D17" s="49">
        <v>0.7</v>
      </c>
      <c r="E17" s="45">
        <v>0.7</v>
      </c>
      <c r="F17" s="41"/>
      <c r="G17" s="38"/>
      <c r="H17" s="38"/>
      <c r="I17" s="38"/>
      <c r="J17" s="38"/>
      <c r="K17" s="38"/>
      <c r="L17" s="38"/>
      <c r="M17" s="38"/>
      <c r="N17" s="38"/>
    </row>
    <row r="18" spans="1:36" hidden="1" x14ac:dyDescent="0.25">
      <c r="C18" s="43" t="s">
        <v>105</v>
      </c>
      <c r="D18" s="49">
        <v>0.8</v>
      </c>
      <c r="E18" s="45">
        <v>0.8</v>
      </c>
      <c r="F18" s="41"/>
      <c r="G18" s="41"/>
      <c r="H18" s="41"/>
      <c r="I18" s="41"/>
      <c r="J18" s="41"/>
      <c r="K18" s="41"/>
      <c r="L18" s="41"/>
      <c r="M18" s="41"/>
      <c r="N18" s="41"/>
      <c r="O18" s="217" t="s">
        <v>106</v>
      </c>
      <c r="P18" s="217"/>
      <c r="Q18" s="217"/>
      <c r="R18" s="217"/>
      <c r="S18" s="217"/>
      <c r="T18" s="217"/>
      <c r="U18" s="217"/>
      <c r="V18" s="217"/>
      <c r="W18" s="217"/>
      <c r="X18" s="217"/>
      <c r="Y18" s="217"/>
      <c r="Z18" s="217"/>
      <c r="AA18" s="214" t="s">
        <v>107</v>
      </c>
      <c r="AB18" s="214" t="s">
        <v>108</v>
      </c>
      <c r="AC18" s="214" t="s">
        <v>109</v>
      </c>
      <c r="AD18" s="214" t="s">
        <v>110</v>
      </c>
    </row>
    <row r="19" spans="1:36" s="60" customFormat="1" hidden="1" x14ac:dyDescent="0.25">
      <c r="A19" s="56"/>
      <c r="B19" s="56"/>
      <c r="C19" s="57"/>
      <c r="D19" s="215" t="s">
        <v>111</v>
      </c>
      <c r="E19" s="215"/>
      <c r="F19" s="215"/>
      <c r="G19" s="58" t="s">
        <v>112</v>
      </c>
      <c r="H19" s="58" t="s">
        <v>113</v>
      </c>
      <c r="I19" s="58" t="s">
        <v>114</v>
      </c>
      <c r="J19" s="58" t="s">
        <v>115</v>
      </c>
      <c r="K19" s="58" t="s">
        <v>116</v>
      </c>
      <c r="L19" s="58" t="s">
        <v>117</v>
      </c>
      <c r="M19" s="58" t="s">
        <v>118</v>
      </c>
      <c r="N19" s="58" t="s">
        <v>119</v>
      </c>
      <c r="O19" s="59" t="s">
        <v>120</v>
      </c>
      <c r="P19" s="59" t="s">
        <v>121</v>
      </c>
      <c r="Q19" s="59" t="s">
        <v>122</v>
      </c>
      <c r="R19" s="59" t="s">
        <v>123</v>
      </c>
      <c r="S19" s="59" t="s">
        <v>124</v>
      </c>
      <c r="T19" s="59" t="s">
        <v>125</v>
      </c>
      <c r="U19" s="59" t="s">
        <v>126</v>
      </c>
      <c r="V19" s="59" t="s">
        <v>127</v>
      </c>
      <c r="W19" s="59" t="s">
        <v>128</v>
      </c>
      <c r="X19" s="59" t="s">
        <v>129</v>
      </c>
      <c r="Y19" s="59" t="s">
        <v>130</v>
      </c>
      <c r="Z19" s="59" t="s">
        <v>131</v>
      </c>
      <c r="AA19" s="214"/>
      <c r="AB19" s="214"/>
      <c r="AC19" s="214"/>
      <c r="AD19" s="214"/>
      <c r="AE19" s="56"/>
      <c r="AF19" s="56"/>
      <c r="AG19" s="56"/>
      <c r="AH19" s="56"/>
      <c r="AI19" s="56"/>
      <c r="AJ19" s="56"/>
    </row>
    <row r="20" spans="1:36" s="60" customFormat="1" hidden="1" x14ac:dyDescent="0.25">
      <c r="A20" s="56"/>
      <c r="B20" s="56"/>
      <c r="C20" s="57"/>
      <c r="D20" s="41" t="s">
        <v>90</v>
      </c>
      <c r="E20" s="42" t="s">
        <v>91</v>
      </c>
      <c r="F20" s="58"/>
      <c r="G20" s="58"/>
      <c r="H20" s="58"/>
      <c r="I20" s="58"/>
      <c r="J20" s="58"/>
      <c r="K20" s="58"/>
      <c r="L20" s="58"/>
      <c r="M20" s="58"/>
      <c r="N20" s="58"/>
      <c r="O20" s="59">
        <v>31</v>
      </c>
      <c r="P20" s="59">
        <v>28</v>
      </c>
      <c r="Q20" s="59">
        <v>31</v>
      </c>
      <c r="R20" s="59">
        <v>30</v>
      </c>
      <c r="S20" s="59">
        <v>31</v>
      </c>
      <c r="T20" s="59">
        <v>30</v>
      </c>
      <c r="U20" s="59">
        <v>31</v>
      </c>
      <c r="V20" s="59">
        <v>31</v>
      </c>
      <c r="W20" s="59">
        <v>30</v>
      </c>
      <c r="X20" s="59">
        <v>31</v>
      </c>
      <c r="Y20" s="59">
        <v>30</v>
      </c>
      <c r="Z20" s="59">
        <v>31</v>
      </c>
      <c r="AA20" s="61"/>
      <c r="AB20" s="61"/>
      <c r="AC20" s="61"/>
      <c r="AD20" s="61"/>
      <c r="AE20" s="56"/>
      <c r="AF20" s="56"/>
      <c r="AG20" s="56"/>
      <c r="AH20" s="56"/>
      <c r="AI20" s="56"/>
      <c r="AJ20" s="56"/>
    </row>
    <row r="21" spans="1:36" hidden="1" x14ac:dyDescent="0.25">
      <c r="C21" s="43"/>
      <c r="D21" s="41" t="s">
        <v>132</v>
      </c>
      <c r="E21" s="42" t="s">
        <v>132</v>
      </c>
      <c r="F21" s="41" t="s">
        <v>133</v>
      </c>
      <c r="G21" s="62">
        <v>0</v>
      </c>
      <c r="H21" s="62">
        <v>0.4</v>
      </c>
      <c r="I21" s="62">
        <v>0.5</v>
      </c>
      <c r="J21" s="62">
        <v>0.4</v>
      </c>
      <c r="K21" s="62">
        <v>0.9</v>
      </c>
      <c r="L21" s="49">
        <v>1</v>
      </c>
      <c r="M21" s="49">
        <v>0.6</v>
      </c>
      <c r="N21" s="44"/>
      <c r="O21" s="49">
        <v>0.5</v>
      </c>
      <c r="P21" s="49">
        <v>0.5</v>
      </c>
      <c r="Q21" s="49">
        <v>0.8</v>
      </c>
      <c r="R21" s="49">
        <v>0.85</v>
      </c>
      <c r="S21" s="49">
        <v>1</v>
      </c>
      <c r="T21" s="49">
        <v>1</v>
      </c>
      <c r="U21" s="49">
        <v>0.8</v>
      </c>
      <c r="V21" s="49">
        <v>0.9</v>
      </c>
      <c r="W21" s="49">
        <v>0.85</v>
      </c>
      <c r="X21" s="49">
        <v>0.8</v>
      </c>
      <c r="Y21" s="49">
        <v>0.75</v>
      </c>
      <c r="Z21" s="49">
        <v>0.5</v>
      </c>
      <c r="AA21" s="63"/>
      <c r="AB21" s="64"/>
      <c r="AC21" s="41"/>
      <c r="AD21" s="41"/>
    </row>
    <row r="22" spans="1:36" hidden="1" x14ac:dyDescent="0.25">
      <c r="C22" s="43" t="s">
        <v>101</v>
      </c>
      <c r="D22" s="65">
        <f>D$13*D14</f>
        <v>18</v>
      </c>
      <c r="E22" s="66">
        <f>E$13*E14</f>
        <v>18</v>
      </c>
      <c r="F22" s="67">
        <f>SUM(D22:E22)</f>
        <v>36</v>
      </c>
      <c r="G22" s="68">
        <v>0</v>
      </c>
      <c r="H22" s="68">
        <f t="shared" ref="G22:M26" si="0">$F22*H$21</f>
        <v>14.4</v>
      </c>
      <c r="I22" s="68">
        <f t="shared" si="0"/>
        <v>18</v>
      </c>
      <c r="J22" s="68">
        <f t="shared" si="0"/>
        <v>14.4</v>
      </c>
      <c r="K22" s="68">
        <f>$F22*K$21</f>
        <v>32.4</v>
      </c>
      <c r="L22" s="68">
        <f t="shared" si="0"/>
        <v>36</v>
      </c>
      <c r="M22" s="68">
        <f t="shared" si="0"/>
        <v>21.599999999999998</v>
      </c>
      <c r="N22" s="68">
        <f>SUM(G22:M22)</f>
        <v>136.79999999999998</v>
      </c>
      <c r="O22" s="69">
        <f>INT(((O$20/7)*$N22)*O$21)</f>
        <v>302</v>
      </c>
      <c r="P22" s="69">
        <f t="shared" ref="P22:Z22" si="1">INT(((P$20/7)*$N22)*P$21)</f>
        <v>273</v>
      </c>
      <c r="Q22" s="69">
        <f t="shared" si="1"/>
        <v>484</v>
      </c>
      <c r="R22" s="69">
        <f t="shared" si="1"/>
        <v>498</v>
      </c>
      <c r="S22" s="69">
        <f t="shared" si="1"/>
        <v>605</v>
      </c>
      <c r="T22" s="69">
        <f t="shared" si="1"/>
        <v>586</v>
      </c>
      <c r="U22" s="69">
        <f t="shared" si="1"/>
        <v>484</v>
      </c>
      <c r="V22" s="69">
        <f t="shared" si="1"/>
        <v>545</v>
      </c>
      <c r="W22" s="69">
        <f t="shared" si="1"/>
        <v>498</v>
      </c>
      <c r="X22" s="69">
        <f t="shared" si="1"/>
        <v>484</v>
      </c>
      <c r="Y22" s="69">
        <f t="shared" si="1"/>
        <v>439</v>
      </c>
      <c r="Z22" s="69">
        <f t="shared" si="1"/>
        <v>302</v>
      </c>
      <c r="AA22" s="70">
        <f>SUM(O22:Z22)</f>
        <v>5500</v>
      </c>
      <c r="AB22" s="41">
        <f>INT(F13*52.14*6)</f>
        <v>37540</v>
      </c>
      <c r="AC22" s="71">
        <f>AA22/AB22</f>
        <v>0.14651038891848694</v>
      </c>
      <c r="AD22" s="71">
        <f>100%-AC22</f>
        <v>0.85348961108151311</v>
      </c>
      <c r="AE22" s="72"/>
    </row>
    <row r="23" spans="1:36" hidden="1" x14ac:dyDescent="0.25">
      <c r="C23" s="43" t="s">
        <v>102</v>
      </c>
      <c r="D23" s="65">
        <f t="shared" ref="D23:E26" si="2">D$13*D15</f>
        <v>27</v>
      </c>
      <c r="E23" s="66">
        <f t="shared" si="2"/>
        <v>27</v>
      </c>
      <c r="F23" s="67">
        <f>SUM(D23:E23)</f>
        <v>54</v>
      </c>
      <c r="G23" s="68">
        <f t="shared" si="0"/>
        <v>0</v>
      </c>
      <c r="H23" s="68">
        <f t="shared" si="0"/>
        <v>21.6</v>
      </c>
      <c r="I23" s="68">
        <f>$F23*I$21</f>
        <v>27</v>
      </c>
      <c r="J23" s="68">
        <f t="shared" si="0"/>
        <v>21.6</v>
      </c>
      <c r="K23" s="68">
        <f t="shared" si="0"/>
        <v>48.6</v>
      </c>
      <c r="L23" s="68">
        <f t="shared" si="0"/>
        <v>54</v>
      </c>
      <c r="M23" s="68">
        <f t="shared" si="0"/>
        <v>32.4</v>
      </c>
      <c r="N23" s="68">
        <f>SUM(G23:M23)</f>
        <v>205.20000000000002</v>
      </c>
      <c r="O23" s="69">
        <f t="shared" ref="O23:Z26" si="3">INT(((O$20/7)*$N23)*O$21)</f>
        <v>454</v>
      </c>
      <c r="P23" s="69">
        <f t="shared" si="3"/>
        <v>410</v>
      </c>
      <c r="Q23" s="69">
        <f t="shared" si="3"/>
        <v>726</v>
      </c>
      <c r="R23" s="69">
        <f t="shared" si="3"/>
        <v>747</v>
      </c>
      <c r="S23" s="69">
        <f t="shared" si="3"/>
        <v>908</v>
      </c>
      <c r="T23" s="69">
        <f t="shared" si="3"/>
        <v>879</v>
      </c>
      <c r="U23" s="69">
        <f t="shared" si="3"/>
        <v>726</v>
      </c>
      <c r="V23" s="69">
        <f t="shared" si="3"/>
        <v>817</v>
      </c>
      <c r="W23" s="69">
        <f t="shared" si="3"/>
        <v>747</v>
      </c>
      <c r="X23" s="69">
        <f t="shared" si="3"/>
        <v>726</v>
      </c>
      <c r="Y23" s="69">
        <f t="shared" si="3"/>
        <v>659</v>
      </c>
      <c r="Z23" s="69">
        <f t="shared" si="3"/>
        <v>454</v>
      </c>
      <c r="AA23" s="70">
        <f>SUM(O23:Z23)</f>
        <v>8253</v>
      </c>
      <c r="AB23" s="41">
        <f>AB22</f>
        <v>37540</v>
      </c>
      <c r="AC23" s="71">
        <f>AA23/AB23</f>
        <v>0.21984549813532231</v>
      </c>
      <c r="AD23" s="71">
        <f>100%-AC23</f>
        <v>0.78015450186467772</v>
      </c>
    </row>
    <row r="24" spans="1:36" hidden="1" x14ac:dyDescent="0.25">
      <c r="C24" s="43" t="s">
        <v>103</v>
      </c>
      <c r="D24" s="65">
        <f t="shared" si="2"/>
        <v>36</v>
      </c>
      <c r="E24" s="66">
        <f t="shared" si="2"/>
        <v>36</v>
      </c>
      <c r="F24" s="67">
        <f>SUM(D24:E24)</f>
        <v>72</v>
      </c>
      <c r="G24" s="68">
        <f t="shared" si="0"/>
        <v>0</v>
      </c>
      <c r="H24" s="68">
        <f t="shared" si="0"/>
        <v>28.8</v>
      </c>
      <c r="I24" s="68">
        <f t="shared" si="0"/>
        <v>36</v>
      </c>
      <c r="J24" s="68">
        <f t="shared" si="0"/>
        <v>28.8</v>
      </c>
      <c r="K24" s="68">
        <f t="shared" si="0"/>
        <v>64.8</v>
      </c>
      <c r="L24" s="68">
        <f t="shared" si="0"/>
        <v>72</v>
      </c>
      <c r="M24" s="68">
        <f t="shared" si="0"/>
        <v>43.199999999999996</v>
      </c>
      <c r="N24" s="68">
        <f>SUM(G24:M24)</f>
        <v>273.59999999999997</v>
      </c>
      <c r="O24" s="69">
        <f t="shared" si="3"/>
        <v>605</v>
      </c>
      <c r="P24" s="69">
        <f t="shared" si="3"/>
        <v>547</v>
      </c>
      <c r="Q24" s="69">
        <f t="shared" si="3"/>
        <v>969</v>
      </c>
      <c r="R24" s="69">
        <f t="shared" si="3"/>
        <v>996</v>
      </c>
      <c r="S24" s="69">
        <f t="shared" si="3"/>
        <v>1211</v>
      </c>
      <c r="T24" s="69">
        <f t="shared" si="3"/>
        <v>1172</v>
      </c>
      <c r="U24" s="69">
        <f t="shared" si="3"/>
        <v>969</v>
      </c>
      <c r="V24" s="69">
        <f t="shared" si="3"/>
        <v>1090</v>
      </c>
      <c r="W24" s="69">
        <f t="shared" si="3"/>
        <v>996</v>
      </c>
      <c r="X24" s="69">
        <f t="shared" si="3"/>
        <v>969</v>
      </c>
      <c r="Y24" s="69">
        <f t="shared" si="3"/>
        <v>879</v>
      </c>
      <c r="Z24" s="69">
        <f t="shared" si="3"/>
        <v>605</v>
      </c>
      <c r="AA24" s="70">
        <f>SUM(O24:Z24)</f>
        <v>11008</v>
      </c>
      <c r="AB24" s="41">
        <f>AB23</f>
        <v>37540</v>
      </c>
      <c r="AC24" s="71">
        <f>AA24/AB24</f>
        <v>0.29323388385721899</v>
      </c>
      <c r="AD24" s="71">
        <f>100%-AC24</f>
        <v>0.70676611614278095</v>
      </c>
    </row>
    <row r="25" spans="1:36" hidden="1" x14ac:dyDescent="0.25">
      <c r="C25" s="43" t="s">
        <v>104</v>
      </c>
      <c r="D25" s="65">
        <f t="shared" si="2"/>
        <v>42</v>
      </c>
      <c r="E25" s="66">
        <f t="shared" si="2"/>
        <v>42</v>
      </c>
      <c r="F25" s="67">
        <f>SUM(D25:E25)</f>
        <v>84</v>
      </c>
      <c r="G25" s="68">
        <f t="shared" si="0"/>
        <v>0</v>
      </c>
      <c r="H25" s="68">
        <f t="shared" si="0"/>
        <v>33.6</v>
      </c>
      <c r="I25" s="68">
        <f t="shared" si="0"/>
        <v>42</v>
      </c>
      <c r="J25" s="68">
        <f t="shared" si="0"/>
        <v>33.6</v>
      </c>
      <c r="K25" s="68">
        <f t="shared" si="0"/>
        <v>75.600000000000009</v>
      </c>
      <c r="L25" s="68">
        <f t="shared" si="0"/>
        <v>84</v>
      </c>
      <c r="M25" s="68">
        <f t="shared" si="0"/>
        <v>50.4</v>
      </c>
      <c r="N25" s="68">
        <f>SUM(G25:M25)</f>
        <v>319.2</v>
      </c>
      <c r="O25" s="69">
        <f t="shared" si="3"/>
        <v>706</v>
      </c>
      <c r="P25" s="69">
        <f t="shared" si="3"/>
        <v>638</v>
      </c>
      <c r="Q25" s="69">
        <f t="shared" si="3"/>
        <v>1130</v>
      </c>
      <c r="R25" s="69">
        <f t="shared" si="3"/>
        <v>1162</v>
      </c>
      <c r="S25" s="69">
        <f t="shared" si="3"/>
        <v>1413</v>
      </c>
      <c r="T25" s="69">
        <f t="shared" si="3"/>
        <v>1368</v>
      </c>
      <c r="U25" s="69">
        <f t="shared" si="3"/>
        <v>1130</v>
      </c>
      <c r="V25" s="69">
        <f t="shared" si="3"/>
        <v>1272</v>
      </c>
      <c r="W25" s="69">
        <f t="shared" si="3"/>
        <v>1162</v>
      </c>
      <c r="X25" s="69">
        <f t="shared" si="3"/>
        <v>1130</v>
      </c>
      <c r="Y25" s="69">
        <f t="shared" si="3"/>
        <v>1026</v>
      </c>
      <c r="Z25" s="69">
        <f t="shared" si="3"/>
        <v>706</v>
      </c>
      <c r="AA25" s="70">
        <f>SUM(O25:Z25)</f>
        <v>12843</v>
      </c>
      <c r="AB25" s="41">
        <f>AB24</f>
        <v>37540</v>
      </c>
      <c r="AC25" s="71">
        <f>AA25/AB25</f>
        <v>0.34211507725093232</v>
      </c>
      <c r="AD25" s="71">
        <f>100%-AC25</f>
        <v>0.65788492274906774</v>
      </c>
    </row>
    <row r="26" spans="1:36" hidden="1" x14ac:dyDescent="0.25">
      <c r="C26" s="43" t="s">
        <v>105</v>
      </c>
      <c r="D26" s="65">
        <f t="shared" si="2"/>
        <v>48</v>
      </c>
      <c r="E26" s="66">
        <f t="shared" si="2"/>
        <v>48</v>
      </c>
      <c r="F26" s="67">
        <f>SUM(D26:E26)</f>
        <v>96</v>
      </c>
      <c r="G26" s="68">
        <f t="shared" si="0"/>
        <v>0</v>
      </c>
      <c r="H26" s="68">
        <f t="shared" si="0"/>
        <v>38.400000000000006</v>
      </c>
      <c r="I26" s="68">
        <f t="shared" si="0"/>
        <v>48</v>
      </c>
      <c r="J26" s="68">
        <f t="shared" si="0"/>
        <v>38.400000000000006</v>
      </c>
      <c r="K26" s="68">
        <f t="shared" si="0"/>
        <v>86.4</v>
      </c>
      <c r="L26" s="68">
        <f t="shared" si="0"/>
        <v>96</v>
      </c>
      <c r="M26" s="68">
        <f t="shared" si="0"/>
        <v>57.599999999999994</v>
      </c>
      <c r="N26" s="68">
        <f>SUM(G26:M26)</f>
        <v>364.80000000000007</v>
      </c>
      <c r="O26" s="69">
        <f t="shared" si="3"/>
        <v>807</v>
      </c>
      <c r="P26" s="69">
        <f t="shared" si="3"/>
        <v>729</v>
      </c>
      <c r="Q26" s="69">
        <f t="shared" si="3"/>
        <v>1292</v>
      </c>
      <c r="R26" s="69">
        <f t="shared" si="3"/>
        <v>1328</v>
      </c>
      <c r="S26" s="69">
        <f t="shared" si="3"/>
        <v>1615</v>
      </c>
      <c r="T26" s="69">
        <f t="shared" si="3"/>
        <v>1563</v>
      </c>
      <c r="U26" s="69">
        <f t="shared" si="3"/>
        <v>1292</v>
      </c>
      <c r="V26" s="69">
        <f t="shared" si="3"/>
        <v>1453</v>
      </c>
      <c r="W26" s="69">
        <f t="shared" si="3"/>
        <v>1328</v>
      </c>
      <c r="X26" s="69">
        <f t="shared" si="3"/>
        <v>1292</v>
      </c>
      <c r="Y26" s="69">
        <f t="shared" si="3"/>
        <v>1172</v>
      </c>
      <c r="Z26" s="69">
        <f t="shared" si="3"/>
        <v>807</v>
      </c>
      <c r="AA26" s="70">
        <f>SUM(O26:Z26)</f>
        <v>14678</v>
      </c>
      <c r="AB26" s="41">
        <f>AB25</f>
        <v>37540</v>
      </c>
      <c r="AC26" s="71">
        <f>AA26/AB26</f>
        <v>0.3909962706446457</v>
      </c>
      <c r="AD26" s="71">
        <f>100%-AC26</f>
        <v>0.6090037293553543</v>
      </c>
    </row>
    <row r="27" spans="1:36" hidden="1" x14ac:dyDescent="0.25">
      <c r="C27" s="73"/>
      <c r="D27" s="74"/>
      <c r="E27" s="75"/>
      <c r="F27" s="76"/>
      <c r="G27" s="77"/>
      <c r="H27" s="77"/>
      <c r="I27" s="77"/>
      <c r="J27" s="77"/>
      <c r="K27" s="77"/>
      <c r="L27" s="77"/>
      <c r="M27" s="77"/>
      <c r="N27" s="77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9"/>
      <c r="AB27" s="38"/>
      <c r="AC27" s="80"/>
      <c r="AD27" s="80"/>
    </row>
    <row r="28" spans="1:36" s="139" customFormat="1" ht="15.9" customHeight="1" x14ac:dyDescent="0.25">
      <c r="B28" s="213" t="s">
        <v>250</v>
      </c>
    </row>
    <row r="29" spans="1:36" s="139" customFormat="1" ht="15.9" customHeight="1" x14ac:dyDescent="0.25">
      <c r="B29" s="213"/>
    </row>
    <row r="30" spans="1:36" ht="15" x14ac:dyDescent="0.25">
      <c r="A30" s="53" t="s">
        <v>134</v>
      </c>
      <c r="B30" s="53" t="s">
        <v>135</v>
      </c>
      <c r="C30" s="81" t="s">
        <v>136</v>
      </c>
      <c r="D30" s="74" t="s">
        <v>137</v>
      </c>
      <c r="E30" s="75"/>
      <c r="F30" s="76"/>
      <c r="G30" s="216" t="s">
        <v>138</v>
      </c>
      <c r="H30" s="216"/>
      <c r="I30" s="216"/>
      <c r="J30" s="38"/>
      <c r="K30" s="38"/>
      <c r="L30" s="38"/>
      <c r="M30" s="38"/>
      <c r="N30" s="3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9"/>
      <c r="AB30" s="38"/>
      <c r="AC30" s="80"/>
      <c r="AD30" s="80"/>
    </row>
    <row r="31" spans="1:36" ht="12.6" x14ac:dyDescent="0.15">
      <c r="A31" s="82" t="s">
        <v>139</v>
      </c>
      <c r="B31" s="82" t="s">
        <v>87</v>
      </c>
      <c r="C31" s="138" t="s">
        <v>140</v>
      </c>
      <c r="D31" s="86"/>
      <c r="E31" s="83" t="s">
        <v>141</v>
      </c>
      <c r="F31" s="82" t="s">
        <v>142</v>
      </c>
      <c r="G31" s="87" t="s">
        <v>143</v>
      </c>
      <c r="H31" s="87" t="s">
        <v>144</v>
      </c>
      <c r="I31" s="87" t="s">
        <v>145</v>
      </c>
      <c r="J31" s="82"/>
      <c r="K31" s="82" t="s">
        <v>146</v>
      </c>
      <c r="L31" s="82" t="s">
        <v>147</v>
      </c>
      <c r="M31" s="88" t="s">
        <v>148</v>
      </c>
      <c r="N31" s="82" t="s">
        <v>149</v>
      </c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5"/>
      <c r="AB31" s="89"/>
      <c r="AC31" s="90"/>
      <c r="AD31" s="91"/>
      <c r="AE31" s="91"/>
      <c r="AF31" s="91"/>
      <c r="AG31" s="89"/>
      <c r="AH31" s="90"/>
      <c r="AI31" s="92"/>
      <c r="AJ31" s="93"/>
    </row>
    <row r="32" spans="1:36" ht="11.4" x14ac:dyDescent="0.15">
      <c r="A32" s="82" t="s">
        <v>139</v>
      </c>
      <c r="B32" s="82" t="s">
        <v>87</v>
      </c>
      <c r="C32" s="94" t="s">
        <v>150</v>
      </c>
      <c r="D32" s="95">
        <v>0.05</v>
      </c>
      <c r="E32" s="83"/>
      <c r="F32" s="82">
        <v>1200</v>
      </c>
      <c r="G32" s="96"/>
      <c r="H32" s="96"/>
      <c r="I32" s="96"/>
      <c r="J32" s="82"/>
      <c r="K32" s="88"/>
      <c r="L32" s="82"/>
      <c r="M32" s="97"/>
      <c r="N32" s="82"/>
      <c r="O32" s="84">
        <f t="shared" ref="O32:Z32" si="4">INT(O$22*$D32)</f>
        <v>15</v>
      </c>
      <c r="P32" s="84">
        <f t="shared" si="4"/>
        <v>13</v>
      </c>
      <c r="Q32" s="84">
        <f t="shared" si="4"/>
        <v>24</v>
      </c>
      <c r="R32" s="84">
        <f t="shared" si="4"/>
        <v>24</v>
      </c>
      <c r="S32" s="84">
        <f t="shared" si="4"/>
        <v>30</v>
      </c>
      <c r="T32" s="84">
        <f t="shared" si="4"/>
        <v>29</v>
      </c>
      <c r="U32" s="84">
        <f t="shared" si="4"/>
        <v>24</v>
      </c>
      <c r="V32" s="84">
        <f t="shared" si="4"/>
        <v>27</v>
      </c>
      <c r="W32" s="84">
        <f t="shared" si="4"/>
        <v>24</v>
      </c>
      <c r="X32" s="84">
        <f t="shared" si="4"/>
        <v>24</v>
      </c>
      <c r="Y32" s="84">
        <f t="shared" si="4"/>
        <v>21</v>
      </c>
      <c r="Z32" s="84">
        <f t="shared" si="4"/>
        <v>15</v>
      </c>
      <c r="AA32" s="98">
        <f>SUM(O32:Z32)</f>
        <v>270</v>
      </c>
      <c r="AB32" s="99" t="s">
        <v>151</v>
      </c>
      <c r="AC32" s="100" t="s">
        <v>151</v>
      </c>
      <c r="AD32" s="91"/>
      <c r="AE32" s="91"/>
      <c r="AF32" s="91" t="s">
        <v>151</v>
      </c>
      <c r="AG32" s="99" t="s">
        <v>151</v>
      </c>
      <c r="AH32" s="100" t="s">
        <v>151</v>
      </c>
      <c r="AI32" s="92">
        <f>SUM(G32:I32)/3</f>
        <v>0</v>
      </c>
      <c r="AJ32" s="93" t="s">
        <v>151</v>
      </c>
    </row>
    <row r="33" spans="1:37" x14ac:dyDescent="0.15">
      <c r="A33" s="39"/>
      <c r="B33" s="39" t="s">
        <v>139</v>
      </c>
      <c r="C33" s="101" t="s">
        <v>152</v>
      </c>
      <c r="D33" s="102"/>
      <c r="E33" s="103">
        <v>120</v>
      </c>
      <c r="G33" s="104">
        <v>0.19700000000000001</v>
      </c>
      <c r="H33" s="104">
        <v>1.2449999999999999E-2</v>
      </c>
      <c r="I33" s="104">
        <v>6.6499999999999997E-3</v>
      </c>
      <c r="K33" s="105">
        <f t="shared" ref="K33:K45" si="5">AVERAGE(G33:I33)*E33</f>
        <v>8.6439999999999984</v>
      </c>
      <c r="M33" s="105"/>
      <c r="O33" s="106">
        <f t="shared" ref="O33:Z33" si="6">O$32*$E33</f>
        <v>1800</v>
      </c>
      <c r="P33" s="106">
        <f t="shared" si="6"/>
        <v>1560</v>
      </c>
      <c r="Q33" s="106">
        <f t="shared" si="6"/>
        <v>2880</v>
      </c>
      <c r="R33" s="106">
        <f t="shared" si="6"/>
        <v>2880</v>
      </c>
      <c r="S33" s="106">
        <f t="shared" si="6"/>
        <v>3600</v>
      </c>
      <c r="T33" s="106">
        <f t="shared" si="6"/>
        <v>3480</v>
      </c>
      <c r="U33" s="106">
        <f t="shared" si="6"/>
        <v>2880</v>
      </c>
      <c r="V33" s="106">
        <f t="shared" si="6"/>
        <v>3240</v>
      </c>
      <c r="W33" s="106">
        <f t="shared" si="6"/>
        <v>2880</v>
      </c>
      <c r="X33" s="106">
        <f t="shared" si="6"/>
        <v>2880</v>
      </c>
      <c r="Y33" s="106">
        <f t="shared" si="6"/>
        <v>2520</v>
      </c>
      <c r="Z33" s="106">
        <f t="shared" si="6"/>
        <v>1800</v>
      </c>
      <c r="AA33" s="107">
        <f>SUM(O33:Z33)</f>
        <v>32400</v>
      </c>
      <c r="AB33" s="108">
        <f>MAX(O33:Z33,1)/4/6</f>
        <v>150</v>
      </c>
      <c r="AC33" s="109">
        <f>AA33/12/4/6</f>
        <v>112.5</v>
      </c>
      <c r="AD33" s="110">
        <v>4</v>
      </c>
      <c r="AE33" s="110">
        <v>2</v>
      </c>
      <c r="AF33" s="110">
        <v>3.09</v>
      </c>
      <c r="AG33" s="108">
        <f>(AB33-AC33)*(AD33-AE33)*AF33</f>
        <v>231.75</v>
      </c>
      <c r="AH33" s="109">
        <f>(AC33/2)+AG33</f>
        <v>288</v>
      </c>
      <c r="AI33" s="111">
        <f>SUM(G33:I33)/3</f>
        <v>7.2033333333333324E-2</v>
      </c>
      <c r="AJ33" s="112">
        <f>AH33*AI33</f>
        <v>20.745599999999996</v>
      </c>
      <c r="AK33" s="130">
        <f>AVERAGE(G33:I33)</f>
        <v>7.2033333333333324E-2</v>
      </c>
    </row>
    <row r="34" spans="1:37" x14ac:dyDescent="0.15">
      <c r="A34" s="39"/>
      <c r="B34" s="39" t="s">
        <v>139</v>
      </c>
      <c r="C34" s="101" t="s">
        <v>153</v>
      </c>
      <c r="D34" s="102"/>
      <c r="E34" s="103">
        <v>370</v>
      </c>
      <c r="G34" s="104">
        <v>2.3031999999999999E-5</v>
      </c>
      <c r="H34" s="104">
        <v>2.3031999999999999E-5</v>
      </c>
      <c r="I34" s="104">
        <v>2.3031999999999999E-5</v>
      </c>
      <c r="K34" s="105">
        <f t="shared" si="5"/>
        <v>8.5218399999999975E-3</v>
      </c>
      <c r="M34" s="105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7"/>
      <c r="AB34" s="108"/>
      <c r="AC34" s="109"/>
      <c r="AD34" s="110"/>
      <c r="AE34" s="110"/>
      <c r="AF34" s="110"/>
      <c r="AG34" s="108"/>
      <c r="AH34" s="109"/>
      <c r="AI34" s="111"/>
      <c r="AJ34" s="112"/>
      <c r="AK34" s="130">
        <f t="shared" ref="AK34:AK97" si="7">AVERAGE(G34:I34)</f>
        <v>2.3031999999999996E-5</v>
      </c>
    </row>
    <row r="35" spans="1:37" x14ac:dyDescent="0.15">
      <c r="A35" s="39"/>
      <c r="B35" s="39" t="s">
        <v>139</v>
      </c>
      <c r="C35" s="101" t="s">
        <v>154</v>
      </c>
      <c r="D35" s="102"/>
      <c r="E35" s="103">
        <v>250</v>
      </c>
      <c r="G35" s="104">
        <v>7.0000000000000001E-3</v>
      </c>
      <c r="H35" s="104">
        <v>8.0000000000000002E-3</v>
      </c>
      <c r="I35" s="104">
        <v>7.8899999999999994E-3</v>
      </c>
      <c r="K35" s="105">
        <f t="shared" si="5"/>
        <v>1.9075000000000002</v>
      </c>
      <c r="M35" s="105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7"/>
      <c r="AB35" s="108"/>
      <c r="AC35" s="109"/>
      <c r="AD35" s="110"/>
      <c r="AE35" s="110"/>
      <c r="AF35" s="110"/>
      <c r="AG35" s="108"/>
      <c r="AH35" s="109"/>
      <c r="AI35" s="111"/>
      <c r="AJ35" s="112"/>
      <c r="AK35" s="130">
        <f t="shared" si="7"/>
        <v>7.6300000000000005E-3</v>
      </c>
    </row>
    <row r="36" spans="1:37" x14ac:dyDescent="0.15">
      <c r="A36" s="39"/>
      <c r="B36" s="39" t="s">
        <v>139</v>
      </c>
      <c r="C36" s="101" t="s">
        <v>155</v>
      </c>
      <c r="D36" s="102"/>
      <c r="E36" s="103">
        <v>65</v>
      </c>
      <c r="G36" s="104">
        <v>7.2459999999999997E-2</v>
      </c>
      <c r="H36" s="104">
        <v>7.8659999999999994E-2</v>
      </c>
      <c r="I36" s="104">
        <v>8.4680000000000005E-2</v>
      </c>
      <c r="K36" s="105">
        <f t="shared" si="5"/>
        <v>5.1089999999999991</v>
      </c>
      <c r="M36" s="105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7"/>
      <c r="AB36" s="108"/>
      <c r="AC36" s="109"/>
      <c r="AD36" s="110"/>
      <c r="AE36" s="110"/>
      <c r="AF36" s="110"/>
      <c r="AG36" s="108"/>
      <c r="AH36" s="109"/>
      <c r="AI36" s="111"/>
      <c r="AJ36" s="112"/>
      <c r="AK36" s="130">
        <f t="shared" si="7"/>
        <v>7.8599999999999989E-2</v>
      </c>
    </row>
    <row r="37" spans="1:37" x14ac:dyDescent="0.15">
      <c r="A37" s="39"/>
      <c r="B37" s="39" t="s">
        <v>139</v>
      </c>
      <c r="C37" s="101" t="s">
        <v>156</v>
      </c>
      <c r="D37" s="102"/>
      <c r="E37" s="103">
        <v>15</v>
      </c>
      <c r="G37" s="104">
        <v>6.5519999999999995E-2</v>
      </c>
      <c r="H37" s="104">
        <v>3.5979999999999998E-2</v>
      </c>
      <c r="I37" s="104">
        <v>3.7999999999999999E-2</v>
      </c>
      <c r="K37" s="105">
        <f t="shared" si="5"/>
        <v>0.6974999999999999</v>
      </c>
      <c r="M37" s="105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7"/>
      <c r="AB37" s="108"/>
      <c r="AC37" s="109"/>
      <c r="AD37" s="110"/>
      <c r="AE37" s="110"/>
      <c r="AF37" s="110"/>
      <c r="AG37" s="108"/>
      <c r="AH37" s="109"/>
      <c r="AI37" s="111"/>
      <c r="AJ37" s="112"/>
      <c r="AK37" s="130">
        <f t="shared" si="7"/>
        <v>4.6499999999999993E-2</v>
      </c>
    </row>
    <row r="38" spans="1:37" x14ac:dyDescent="0.15">
      <c r="A38" s="39"/>
      <c r="B38" s="39" t="s">
        <v>139</v>
      </c>
      <c r="C38" s="101" t="s">
        <v>157</v>
      </c>
      <c r="D38" s="102"/>
      <c r="E38" s="103">
        <v>120</v>
      </c>
      <c r="G38" s="104">
        <v>1.0999999999999999E-2</v>
      </c>
      <c r="H38" s="104">
        <v>0.01</v>
      </c>
      <c r="I38" s="104">
        <v>1.0999999999999999E-2</v>
      </c>
      <c r="K38" s="105">
        <f t="shared" si="5"/>
        <v>1.28</v>
      </c>
      <c r="M38" s="105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7"/>
      <c r="AB38" s="108"/>
      <c r="AC38" s="109"/>
      <c r="AD38" s="110"/>
      <c r="AE38" s="110"/>
      <c r="AF38" s="110"/>
      <c r="AG38" s="108"/>
      <c r="AH38" s="109"/>
      <c r="AI38" s="111"/>
      <c r="AJ38" s="112"/>
      <c r="AK38" s="130">
        <f t="shared" si="7"/>
        <v>1.0666666666666666E-2</v>
      </c>
    </row>
    <row r="39" spans="1:37" x14ac:dyDescent="0.15">
      <c r="A39" s="39"/>
      <c r="B39" s="39" t="s">
        <v>139</v>
      </c>
      <c r="C39" s="101" t="s">
        <v>158</v>
      </c>
      <c r="D39" s="102"/>
      <c r="E39" s="103">
        <v>120</v>
      </c>
      <c r="G39" s="104">
        <v>7.0000000000000001E-3</v>
      </c>
      <c r="H39" s="104">
        <v>9.7999999999999997E-3</v>
      </c>
      <c r="I39" s="104">
        <v>4.4999999999999997E-3</v>
      </c>
      <c r="K39" s="105">
        <f t="shared" si="5"/>
        <v>0.85199999999999998</v>
      </c>
      <c r="M39" s="105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7"/>
      <c r="AB39" s="108"/>
      <c r="AC39" s="109"/>
      <c r="AD39" s="110"/>
      <c r="AE39" s="110"/>
      <c r="AF39" s="110"/>
      <c r="AG39" s="108"/>
      <c r="AH39" s="109"/>
      <c r="AI39" s="111"/>
      <c r="AJ39" s="112"/>
      <c r="AK39" s="130">
        <f t="shared" si="7"/>
        <v>7.0999999999999995E-3</v>
      </c>
    </row>
    <row r="40" spans="1:37" x14ac:dyDescent="0.15">
      <c r="A40" s="39"/>
      <c r="B40" s="39" t="s">
        <v>139</v>
      </c>
      <c r="C40" s="101" t="s">
        <v>159</v>
      </c>
      <c r="D40" s="102"/>
      <c r="E40" s="103">
        <v>120</v>
      </c>
      <c r="G40" s="104">
        <v>1.4E-2</v>
      </c>
      <c r="H40" s="104">
        <v>0.02</v>
      </c>
      <c r="I40" s="104">
        <v>1.6666666666666601E-2</v>
      </c>
      <c r="K40" s="105">
        <f t="shared" si="5"/>
        <v>2.0266666666666642</v>
      </c>
      <c r="M40" s="105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7"/>
      <c r="AB40" s="108"/>
      <c r="AC40" s="109"/>
      <c r="AD40" s="110"/>
      <c r="AE40" s="110"/>
      <c r="AF40" s="110"/>
      <c r="AG40" s="108"/>
      <c r="AH40" s="109"/>
      <c r="AI40" s="111"/>
      <c r="AJ40" s="112"/>
      <c r="AK40" s="130">
        <f t="shared" si="7"/>
        <v>1.6888888888888866E-2</v>
      </c>
    </row>
    <row r="41" spans="1:37" x14ac:dyDescent="0.15">
      <c r="A41" s="39"/>
      <c r="B41" s="39" t="s">
        <v>139</v>
      </c>
      <c r="C41" s="101" t="s">
        <v>160</v>
      </c>
      <c r="D41" s="102"/>
      <c r="E41" s="103">
        <v>120</v>
      </c>
      <c r="G41" s="104">
        <v>1.071428571E-2</v>
      </c>
      <c r="H41" s="104">
        <v>1.6666666666666601E-2</v>
      </c>
      <c r="I41" s="104">
        <v>1.4267800000000001E-2</v>
      </c>
      <c r="K41" s="105">
        <f t="shared" si="5"/>
        <v>1.6659500950666639</v>
      </c>
      <c r="M41" s="105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7"/>
      <c r="AB41" s="108"/>
      <c r="AC41" s="109"/>
      <c r="AD41" s="110"/>
      <c r="AE41" s="110"/>
      <c r="AF41" s="110"/>
      <c r="AG41" s="108"/>
      <c r="AH41" s="109"/>
      <c r="AI41" s="111"/>
      <c r="AJ41" s="112"/>
      <c r="AK41" s="130">
        <f t="shared" si="7"/>
        <v>1.3882917458888866E-2</v>
      </c>
    </row>
    <row r="42" spans="1:37" x14ac:dyDescent="0.15">
      <c r="A42" s="39"/>
      <c r="B42" s="39" t="s">
        <v>139</v>
      </c>
      <c r="C42" s="101" t="s">
        <v>161</v>
      </c>
      <c r="D42" s="102"/>
      <c r="E42" s="103">
        <v>100</v>
      </c>
      <c r="G42" s="104">
        <v>8.0000000000000002E-3</v>
      </c>
      <c r="H42" s="104">
        <v>8.9999999999999993E-3</v>
      </c>
      <c r="I42" s="104">
        <v>0.01</v>
      </c>
      <c r="K42" s="105">
        <f t="shared" si="5"/>
        <v>0.90000000000000013</v>
      </c>
      <c r="M42" s="105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7"/>
      <c r="AB42" s="108"/>
      <c r="AC42" s="109"/>
      <c r="AD42" s="110"/>
      <c r="AE42" s="110"/>
      <c r="AF42" s="110"/>
      <c r="AG42" s="108"/>
      <c r="AH42" s="109"/>
      <c r="AI42" s="111"/>
      <c r="AJ42" s="112"/>
      <c r="AK42" s="130">
        <f t="shared" si="7"/>
        <v>9.0000000000000011E-3</v>
      </c>
    </row>
    <row r="43" spans="1:37" x14ac:dyDescent="0.15">
      <c r="A43" s="39"/>
      <c r="B43" s="39" t="s">
        <v>139</v>
      </c>
      <c r="C43" s="101" t="s">
        <v>162</v>
      </c>
      <c r="D43" s="102"/>
      <c r="E43" s="103">
        <v>20</v>
      </c>
      <c r="G43" s="104">
        <v>0.02</v>
      </c>
      <c r="H43" s="104">
        <v>0.25</v>
      </c>
      <c r="I43" s="104">
        <v>2.8000000000000001E-2</v>
      </c>
      <c r="K43" s="105">
        <f t="shared" si="5"/>
        <v>1.9866666666666668</v>
      </c>
      <c r="M43" s="105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7"/>
      <c r="AB43" s="108"/>
      <c r="AC43" s="109"/>
      <c r="AD43" s="110"/>
      <c r="AE43" s="110"/>
      <c r="AF43" s="110"/>
      <c r="AG43" s="108"/>
      <c r="AH43" s="109"/>
      <c r="AI43" s="111"/>
      <c r="AJ43" s="112"/>
      <c r="AK43" s="130">
        <f t="shared" si="7"/>
        <v>9.9333333333333343E-2</v>
      </c>
    </row>
    <row r="44" spans="1:37" x14ac:dyDescent="0.15">
      <c r="A44" s="39"/>
      <c r="B44" s="39" t="s">
        <v>139</v>
      </c>
      <c r="C44" s="101" t="s">
        <v>163</v>
      </c>
      <c r="D44" s="102"/>
      <c r="E44" s="103">
        <v>20</v>
      </c>
      <c r="G44" s="113">
        <v>5.5259999999999997E-2</v>
      </c>
      <c r="H44" s="113">
        <v>7.9810000000000006E-2</v>
      </c>
      <c r="I44" s="113">
        <v>6.6000000000000003E-2</v>
      </c>
      <c r="K44" s="105">
        <f t="shared" si="5"/>
        <v>1.3404666666666667</v>
      </c>
      <c r="M44" s="105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7"/>
      <c r="AB44" s="108"/>
      <c r="AC44" s="109"/>
      <c r="AD44" s="110"/>
      <c r="AE44" s="110"/>
      <c r="AF44" s="110"/>
      <c r="AG44" s="108"/>
      <c r="AH44" s="109"/>
      <c r="AI44" s="111"/>
      <c r="AJ44" s="112"/>
      <c r="AK44" s="130">
        <f t="shared" si="7"/>
        <v>6.7023333333333338E-2</v>
      </c>
    </row>
    <row r="45" spans="1:37" x14ac:dyDescent="0.15">
      <c r="A45" s="39"/>
      <c r="B45" s="39" t="s">
        <v>139</v>
      </c>
      <c r="C45" s="101" t="s">
        <v>164</v>
      </c>
      <c r="D45" s="102"/>
      <c r="E45" s="103">
        <v>27</v>
      </c>
      <c r="G45" s="104">
        <v>7.9799999999999992E-3</v>
      </c>
      <c r="H45" s="104">
        <v>5.7200000000000003E-3</v>
      </c>
      <c r="I45" s="104">
        <v>7.7799999999999996E-3</v>
      </c>
      <c r="K45" s="105">
        <f t="shared" si="5"/>
        <v>0.19331999999999999</v>
      </c>
      <c r="M45" s="105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7"/>
      <c r="AB45" s="108"/>
      <c r="AC45" s="109"/>
      <c r="AD45" s="110"/>
      <c r="AE45" s="110"/>
      <c r="AF45" s="110"/>
      <c r="AG45" s="108"/>
      <c r="AH45" s="109"/>
      <c r="AI45" s="111"/>
      <c r="AJ45" s="112"/>
      <c r="AK45" s="130">
        <f t="shared" si="7"/>
        <v>7.1599999999999997E-3</v>
      </c>
    </row>
    <row r="46" spans="1:37" x14ac:dyDescent="0.15">
      <c r="A46" s="39"/>
      <c r="B46" s="39" t="s">
        <v>87</v>
      </c>
      <c r="C46" s="114"/>
      <c r="D46" s="115"/>
      <c r="G46" s="105"/>
      <c r="H46" s="105"/>
      <c r="I46" s="105"/>
      <c r="K46" s="105">
        <f>SUM(K33:K45)</f>
        <v>26.611591935066663</v>
      </c>
      <c r="L46" s="105">
        <f>K46*D32*AA$22</f>
        <v>7318.1877821433327</v>
      </c>
      <c r="M46" s="105"/>
      <c r="N46" s="105">
        <f>M46*D32*AA$22</f>
        <v>0</v>
      </c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7"/>
      <c r="AB46" s="108"/>
      <c r="AC46" s="109"/>
      <c r="AD46" s="116"/>
      <c r="AE46" s="116"/>
      <c r="AF46" s="116"/>
      <c r="AG46" s="108"/>
      <c r="AH46" s="109"/>
      <c r="AI46" s="111"/>
      <c r="AJ46" s="112"/>
      <c r="AK46" s="130"/>
    </row>
    <row r="47" spans="1:37" ht="11.4" x14ac:dyDescent="0.15">
      <c r="A47" s="82" t="s">
        <v>139</v>
      </c>
      <c r="B47" s="82" t="s">
        <v>87</v>
      </c>
      <c r="C47" s="94" t="s">
        <v>165</v>
      </c>
      <c r="D47" s="95">
        <v>0.05</v>
      </c>
      <c r="E47" s="83"/>
      <c r="F47" s="82">
        <v>650</v>
      </c>
      <c r="G47" s="117"/>
      <c r="H47" s="96"/>
      <c r="I47" s="96"/>
      <c r="J47" s="82"/>
      <c r="K47" s="88"/>
      <c r="L47" s="82"/>
      <c r="M47" s="97"/>
      <c r="N47" s="82"/>
      <c r="O47" s="84">
        <f t="shared" ref="O47:Z47" si="8">INT(O$22*$D47)</f>
        <v>15</v>
      </c>
      <c r="P47" s="84">
        <f t="shared" si="8"/>
        <v>13</v>
      </c>
      <c r="Q47" s="84">
        <f t="shared" si="8"/>
        <v>24</v>
      </c>
      <c r="R47" s="84">
        <f t="shared" si="8"/>
        <v>24</v>
      </c>
      <c r="S47" s="84">
        <f t="shared" si="8"/>
        <v>30</v>
      </c>
      <c r="T47" s="84">
        <f t="shared" si="8"/>
        <v>29</v>
      </c>
      <c r="U47" s="84">
        <f t="shared" si="8"/>
        <v>24</v>
      </c>
      <c r="V47" s="84">
        <f t="shared" si="8"/>
        <v>27</v>
      </c>
      <c r="W47" s="84">
        <f t="shared" si="8"/>
        <v>24</v>
      </c>
      <c r="X47" s="84">
        <f t="shared" si="8"/>
        <v>24</v>
      </c>
      <c r="Y47" s="84">
        <f t="shared" si="8"/>
        <v>21</v>
      </c>
      <c r="Z47" s="84">
        <f t="shared" si="8"/>
        <v>15</v>
      </c>
      <c r="AA47" s="98">
        <f>SUM(O47:Z47)</f>
        <v>270</v>
      </c>
      <c r="AB47" s="99" t="s">
        <v>151</v>
      </c>
      <c r="AC47" s="100" t="s">
        <v>151</v>
      </c>
      <c r="AD47" s="91"/>
      <c r="AE47" s="91"/>
      <c r="AF47" s="91" t="s">
        <v>151</v>
      </c>
      <c r="AG47" s="99" t="s">
        <v>151</v>
      </c>
      <c r="AH47" s="100" t="s">
        <v>151</v>
      </c>
      <c r="AI47" s="92">
        <f>SUM(G47:I47)/3</f>
        <v>0</v>
      </c>
      <c r="AJ47" s="93" t="s">
        <v>151</v>
      </c>
      <c r="AK47" s="130"/>
    </row>
    <row r="48" spans="1:37" x14ac:dyDescent="0.15">
      <c r="A48" s="39"/>
      <c r="B48" s="39" t="s">
        <v>139</v>
      </c>
      <c r="C48" s="101" t="s">
        <v>166</v>
      </c>
      <c r="D48" s="102"/>
      <c r="E48" s="103">
        <v>500</v>
      </c>
      <c r="G48" s="104">
        <v>1.6E-2</v>
      </c>
      <c r="H48" s="104">
        <v>7.0000000000000001E-3</v>
      </c>
      <c r="I48" s="104">
        <v>1.2E-2</v>
      </c>
      <c r="K48" s="105">
        <f t="shared" ref="K48:K56" si="9">AVERAGE(G48:I48)*E48</f>
        <v>5.8333333333333339</v>
      </c>
      <c r="M48" s="105"/>
      <c r="O48" s="106">
        <f t="shared" ref="O48:Z48" si="10">O$47*$E48</f>
        <v>7500</v>
      </c>
      <c r="P48" s="106">
        <f t="shared" si="10"/>
        <v>6500</v>
      </c>
      <c r="Q48" s="106">
        <f t="shared" si="10"/>
        <v>12000</v>
      </c>
      <c r="R48" s="106">
        <f t="shared" si="10"/>
        <v>12000</v>
      </c>
      <c r="S48" s="106">
        <f t="shared" si="10"/>
        <v>15000</v>
      </c>
      <c r="T48" s="106">
        <f t="shared" si="10"/>
        <v>14500</v>
      </c>
      <c r="U48" s="106">
        <f t="shared" si="10"/>
        <v>12000</v>
      </c>
      <c r="V48" s="106">
        <f t="shared" si="10"/>
        <v>13500</v>
      </c>
      <c r="W48" s="106">
        <f t="shared" si="10"/>
        <v>12000</v>
      </c>
      <c r="X48" s="106">
        <f t="shared" si="10"/>
        <v>12000</v>
      </c>
      <c r="Y48" s="106">
        <f t="shared" si="10"/>
        <v>10500</v>
      </c>
      <c r="Z48" s="106">
        <f t="shared" si="10"/>
        <v>7500</v>
      </c>
      <c r="AA48" s="107">
        <f>SUM(O48:Z48)</f>
        <v>135000</v>
      </c>
      <c r="AB48" s="108">
        <f>MAX(O48:Z48,1)/4/6</f>
        <v>625</v>
      </c>
      <c r="AC48" s="109">
        <f>AA48/12/4/6</f>
        <v>468.75</v>
      </c>
      <c r="AD48" s="110">
        <v>4</v>
      </c>
      <c r="AE48" s="110">
        <v>2</v>
      </c>
      <c r="AF48" s="110">
        <v>3.09</v>
      </c>
      <c r="AG48" s="108">
        <f>(AB48-AC48)*(AD48-AE48)*AF48</f>
        <v>965.625</v>
      </c>
      <c r="AH48" s="109">
        <f>(AC48/2)+AG48</f>
        <v>1200</v>
      </c>
      <c r="AI48" s="111">
        <f>SUM(G48:I48)/3</f>
        <v>1.1666666666666667E-2</v>
      </c>
      <c r="AJ48" s="112">
        <f>AH48*AI48</f>
        <v>14</v>
      </c>
      <c r="AK48" s="130">
        <f t="shared" si="7"/>
        <v>1.1666666666666667E-2</v>
      </c>
    </row>
    <row r="49" spans="1:37" x14ac:dyDescent="0.15">
      <c r="A49" s="39"/>
      <c r="B49" s="39" t="s">
        <v>139</v>
      </c>
      <c r="C49" s="101" t="s">
        <v>153</v>
      </c>
      <c r="D49" s="102"/>
      <c r="E49" s="103">
        <v>300</v>
      </c>
      <c r="G49" s="104">
        <v>2.3031999999999999E-5</v>
      </c>
      <c r="H49" s="104">
        <v>2.3031999999999999E-5</v>
      </c>
      <c r="I49" s="104">
        <v>2.3031999999999999E-5</v>
      </c>
      <c r="K49" s="105">
        <f t="shared" si="9"/>
        <v>6.9095999999999984E-3</v>
      </c>
      <c r="M49" s="105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7"/>
      <c r="AB49" s="108"/>
      <c r="AC49" s="109"/>
      <c r="AD49" s="110"/>
      <c r="AE49" s="110"/>
      <c r="AF49" s="110"/>
      <c r="AG49" s="108"/>
      <c r="AH49" s="109"/>
      <c r="AI49" s="111"/>
      <c r="AJ49" s="112"/>
      <c r="AK49" s="130">
        <f t="shared" si="7"/>
        <v>2.3031999999999996E-5</v>
      </c>
    </row>
    <row r="50" spans="1:37" x14ac:dyDescent="0.15">
      <c r="A50" s="39"/>
      <c r="B50" s="39" t="s">
        <v>139</v>
      </c>
      <c r="C50" s="101" t="s">
        <v>164</v>
      </c>
      <c r="D50" s="102"/>
      <c r="E50" s="103">
        <v>5</v>
      </c>
      <c r="G50" s="104">
        <v>7.9799999999999992E-3</v>
      </c>
      <c r="H50" s="104">
        <v>5.7200000000000003E-3</v>
      </c>
      <c r="I50" s="104">
        <v>7.7799999999999996E-3</v>
      </c>
      <c r="K50" s="105">
        <f t="shared" si="9"/>
        <v>3.5799999999999998E-2</v>
      </c>
      <c r="M50" s="105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7"/>
      <c r="AB50" s="108"/>
      <c r="AC50" s="109"/>
      <c r="AD50" s="110"/>
      <c r="AE50" s="110"/>
      <c r="AF50" s="110"/>
      <c r="AG50" s="108"/>
      <c r="AH50" s="109"/>
      <c r="AI50" s="111"/>
      <c r="AJ50" s="112"/>
      <c r="AK50" s="130">
        <f t="shared" si="7"/>
        <v>7.1599999999999997E-3</v>
      </c>
    </row>
    <row r="51" spans="1:37" x14ac:dyDescent="0.15">
      <c r="A51" s="39"/>
      <c r="B51" s="39" t="s">
        <v>139</v>
      </c>
      <c r="C51" s="101" t="s">
        <v>167</v>
      </c>
      <c r="D51" s="102"/>
      <c r="E51" s="103">
        <v>30</v>
      </c>
      <c r="G51" s="104">
        <v>5.5E-2</v>
      </c>
      <c r="H51" s="104">
        <v>6.4299999999999996E-2</v>
      </c>
      <c r="I51" s="104">
        <v>6.4299999999999996E-2</v>
      </c>
      <c r="K51" s="105">
        <f t="shared" si="9"/>
        <v>1.8359999999999999</v>
      </c>
      <c r="M51" s="105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7"/>
      <c r="AB51" s="108"/>
      <c r="AC51" s="109"/>
      <c r="AD51" s="110"/>
      <c r="AE51" s="110"/>
      <c r="AF51" s="110"/>
      <c r="AG51" s="108"/>
      <c r="AH51" s="109"/>
      <c r="AI51" s="111"/>
      <c r="AJ51" s="112"/>
      <c r="AK51" s="130">
        <f t="shared" si="7"/>
        <v>6.1199999999999997E-2</v>
      </c>
    </row>
    <row r="52" spans="1:37" x14ac:dyDescent="0.15">
      <c r="A52" s="39"/>
      <c r="B52" s="39" t="s">
        <v>139</v>
      </c>
      <c r="C52" s="101" t="s">
        <v>168</v>
      </c>
      <c r="D52" s="102"/>
      <c r="E52" s="103">
        <v>2</v>
      </c>
      <c r="G52" s="104">
        <v>0.15720000000000001</v>
      </c>
      <c r="H52" s="104">
        <v>0.17299999999999999</v>
      </c>
      <c r="I52" s="104">
        <v>0.15379999999999999</v>
      </c>
      <c r="K52" s="105">
        <f t="shared" si="9"/>
        <v>0.32266666666666666</v>
      </c>
      <c r="M52" s="105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7"/>
      <c r="AB52" s="108"/>
      <c r="AC52" s="109"/>
      <c r="AD52" s="110"/>
      <c r="AE52" s="110"/>
      <c r="AF52" s="110"/>
      <c r="AG52" s="108"/>
      <c r="AH52" s="109"/>
      <c r="AI52" s="111"/>
      <c r="AJ52" s="112"/>
      <c r="AK52" s="130">
        <f t="shared" si="7"/>
        <v>0.16133333333333333</v>
      </c>
    </row>
    <row r="53" spans="1:37" x14ac:dyDescent="0.15">
      <c r="A53" s="39"/>
      <c r="B53" s="39" t="s">
        <v>139</v>
      </c>
      <c r="C53" s="101" t="s">
        <v>169</v>
      </c>
      <c r="D53" s="102"/>
      <c r="E53" s="103">
        <v>3</v>
      </c>
      <c r="G53" s="104">
        <v>0.5</v>
      </c>
      <c r="H53" s="104">
        <v>0.29166667000000002</v>
      </c>
      <c r="I53" s="104">
        <v>0.4</v>
      </c>
      <c r="K53" s="105">
        <f t="shared" si="9"/>
        <v>1.19166667</v>
      </c>
      <c r="M53" s="105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7"/>
      <c r="AB53" s="108"/>
      <c r="AC53" s="109"/>
      <c r="AD53" s="110"/>
      <c r="AE53" s="110"/>
      <c r="AF53" s="110"/>
      <c r="AG53" s="108"/>
      <c r="AH53" s="109"/>
      <c r="AI53" s="111"/>
      <c r="AJ53" s="112"/>
      <c r="AK53" s="130">
        <f t="shared" si="7"/>
        <v>0.39722222333333335</v>
      </c>
    </row>
    <row r="54" spans="1:37" x14ac:dyDescent="0.15">
      <c r="A54" s="39"/>
      <c r="B54" s="39" t="s">
        <v>139</v>
      </c>
      <c r="C54" s="101" t="s">
        <v>155</v>
      </c>
      <c r="D54" s="102"/>
      <c r="E54" s="103">
        <v>35</v>
      </c>
      <c r="G54" s="104">
        <v>7.2459999999999997E-2</v>
      </c>
      <c r="H54" s="104">
        <v>7.8659999999999994E-2</v>
      </c>
      <c r="I54" s="104">
        <v>8.4680000000000005E-2</v>
      </c>
      <c r="K54" s="105">
        <f t="shared" si="9"/>
        <v>2.7509999999999994</v>
      </c>
      <c r="M54" s="105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7"/>
      <c r="AB54" s="108"/>
      <c r="AC54" s="109"/>
      <c r="AD54" s="110"/>
      <c r="AE54" s="110"/>
      <c r="AF54" s="110"/>
      <c r="AG54" s="108"/>
      <c r="AH54" s="109"/>
      <c r="AI54" s="111"/>
      <c r="AJ54" s="112"/>
      <c r="AK54" s="130">
        <f t="shared" si="7"/>
        <v>7.8599999999999989E-2</v>
      </c>
    </row>
    <row r="55" spans="1:37" x14ac:dyDescent="0.15">
      <c r="A55" s="39"/>
      <c r="B55" s="39" t="s">
        <v>139</v>
      </c>
      <c r="C55" s="101" t="s">
        <v>170</v>
      </c>
      <c r="D55" s="102"/>
      <c r="E55" s="103">
        <v>30</v>
      </c>
      <c r="G55" s="104">
        <v>3.3707865169999997E-2</v>
      </c>
      <c r="H55" s="104">
        <v>2.8089887639999998E-2</v>
      </c>
      <c r="I55" s="104">
        <v>3.3707865169999997E-2</v>
      </c>
      <c r="K55" s="105">
        <f t="shared" si="9"/>
        <v>0.9550561797999999</v>
      </c>
      <c r="M55" s="105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7"/>
      <c r="AB55" s="108"/>
      <c r="AC55" s="109"/>
      <c r="AD55" s="110"/>
      <c r="AE55" s="110"/>
      <c r="AF55" s="110"/>
      <c r="AG55" s="108"/>
      <c r="AH55" s="109"/>
      <c r="AI55" s="111"/>
      <c r="AJ55" s="112"/>
      <c r="AK55" s="130">
        <f t="shared" si="7"/>
        <v>3.1835205993333331E-2</v>
      </c>
    </row>
    <row r="56" spans="1:37" x14ac:dyDescent="0.15">
      <c r="A56" s="39"/>
      <c r="B56" s="39" t="s">
        <v>139</v>
      </c>
      <c r="C56" s="101" t="s">
        <v>171</v>
      </c>
      <c r="D56" s="102"/>
      <c r="E56" s="103">
        <v>1</v>
      </c>
      <c r="G56" s="104">
        <v>5.9900000000000002E-2</v>
      </c>
      <c r="H56" s="104">
        <v>8.9200000000000002E-2</v>
      </c>
      <c r="I56" s="104">
        <v>6.9500000000000006E-2</v>
      </c>
      <c r="K56" s="105">
        <f t="shared" si="9"/>
        <v>7.2866666666666677E-2</v>
      </c>
      <c r="M56" s="105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7"/>
      <c r="AB56" s="108"/>
      <c r="AC56" s="109"/>
      <c r="AD56" s="110"/>
      <c r="AE56" s="110"/>
      <c r="AF56" s="110"/>
      <c r="AG56" s="108"/>
      <c r="AH56" s="109"/>
      <c r="AI56" s="111"/>
      <c r="AJ56" s="112"/>
      <c r="AK56" s="130">
        <f t="shared" si="7"/>
        <v>7.2866666666666677E-2</v>
      </c>
    </row>
    <row r="57" spans="1:37" x14ac:dyDescent="0.15">
      <c r="A57" s="39"/>
      <c r="B57" s="39" t="s">
        <v>87</v>
      </c>
      <c r="C57" s="114"/>
      <c r="D57" s="115"/>
      <c r="G57" s="105"/>
      <c r="H57" s="105"/>
      <c r="I57" s="105"/>
      <c r="K57" s="105">
        <f>SUM(K48:K56)</f>
        <v>13.005299116466666</v>
      </c>
      <c r="L57" s="105">
        <f>K57*D47*AA$22</f>
        <v>3576.4572570283331</v>
      </c>
      <c r="M57" s="105"/>
      <c r="N57" s="105">
        <f>M57*D47*AA$22</f>
        <v>0</v>
      </c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7"/>
      <c r="AB57" s="108"/>
      <c r="AC57" s="109"/>
      <c r="AD57" s="116"/>
      <c r="AE57" s="116"/>
      <c r="AF57" s="116"/>
      <c r="AG57" s="108"/>
      <c r="AH57" s="109"/>
      <c r="AI57" s="111"/>
      <c r="AJ57" s="112"/>
      <c r="AK57" s="130" t="e">
        <f t="shared" si="7"/>
        <v>#DIV/0!</v>
      </c>
    </row>
    <row r="58" spans="1:37" ht="11.4" x14ac:dyDescent="0.15">
      <c r="A58" s="82" t="s">
        <v>139</v>
      </c>
      <c r="B58" s="82" t="s">
        <v>87</v>
      </c>
      <c r="C58" s="94" t="s">
        <v>172</v>
      </c>
      <c r="D58" s="95">
        <v>0.13</v>
      </c>
      <c r="E58" s="83"/>
      <c r="F58" s="82">
        <v>1750</v>
      </c>
      <c r="G58" s="117"/>
      <c r="H58" s="96"/>
      <c r="I58" s="96"/>
      <c r="J58" s="82"/>
      <c r="K58" s="88"/>
      <c r="L58" s="82"/>
      <c r="M58" s="97"/>
      <c r="N58" s="82"/>
      <c r="O58" s="84">
        <f t="shared" ref="O58:Z58" si="11">INT(O$22*$D58)</f>
        <v>39</v>
      </c>
      <c r="P58" s="84">
        <f t="shared" si="11"/>
        <v>35</v>
      </c>
      <c r="Q58" s="84">
        <f t="shared" si="11"/>
        <v>62</v>
      </c>
      <c r="R58" s="84">
        <f t="shared" si="11"/>
        <v>64</v>
      </c>
      <c r="S58" s="84">
        <f t="shared" si="11"/>
        <v>78</v>
      </c>
      <c r="T58" s="84">
        <f t="shared" si="11"/>
        <v>76</v>
      </c>
      <c r="U58" s="84">
        <f t="shared" si="11"/>
        <v>62</v>
      </c>
      <c r="V58" s="84">
        <f t="shared" si="11"/>
        <v>70</v>
      </c>
      <c r="W58" s="84">
        <f t="shared" si="11"/>
        <v>64</v>
      </c>
      <c r="X58" s="84">
        <f t="shared" si="11"/>
        <v>62</v>
      </c>
      <c r="Y58" s="84">
        <f t="shared" si="11"/>
        <v>57</v>
      </c>
      <c r="Z58" s="84">
        <f t="shared" si="11"/>
        <v>39</v>
      </c>
      <c r="AA58" s="98">
        <f>SUM(O58:Z58)</f>
        <v>708</v>
      </c>
      <c r="AB58" s="99" t="s">
        <v>151</v>
      </c>
      <c r="AC58" s="100" t="s">
        <v>151</v>
      </c>
      <c r="AD58" s="91"/>
      <c r="AE58" s="91"/>
      <c r="AF58" s="91" t="s">
        <v>151</v>
      </c>
      <c r="AG58" s="99" t="s">
        <v>151</v>
      </c>
      <c r="AH58" s="100" t="s">
        <v>151</v>
      </c>
      <c r="AI58" s="92">
        <f>SUM(G58:I58)/3</f>
        <v>0</v>
      </c>
      <c r="AJ58" s="93" t="s">
        <v>151</v>
      </c>
      <c r="AK58" s="130" t="e">
        <f t="shared" si="7"/>
        <v>#DIV/0!</v>
      </c>
    </row>
    <row r="59" spans="1:37" x14ac:dyDescent="0.15">
      <c r="A59" s="39"/>
      <c r="B59" s="39" t="s">
        <v>139</v>
      </c>
      <c r="C59" s="101" t="s">
        <v>173</v>
      </c>
      <c r="D59" s="102"/>
      <c r="E59" s="103">
        <v>500</v>
      </c>
      <c r="G59" s="104">
        <v>0.01</v>
      </c>
      <c r="H59" s="104">
        <v>1.2E-2</v>
      </c>
      <c r="I59" s="104">
        <v>7.4999999999999997E-3</v>
      </c>
      <c r="K59" s="105">
        <f t="shared" ref="K59:K70" si="12">AVERAGE(G59:I59)*E59</f>
        <v>4.9166666666666661</v>
      </c>
      <c r="M59" s="105"/>
      <c r="O59" s="106">
        <f>O$58*$E59</f>
        <v>19500</v>
      </c>
      <c r="P59" s="106">
        <f t="shared" ref="P59:Z59" si="13">P$58*$E59</f>
        <v>17500</v>
      </c>
      <c r="Q59" s="106">
        <f t="shared" si="13"/>
        <v>31000</v>
      </c>
      <c r="R59" s="106">
        <f t="shared" si="13"/>
        <v>32000</v>
      </c>
      <c r="S59" s="106">
        <f t="shared" si="13"/>
        <v>39000</v>
      </c>
      <c r="T59" s="106">
        <f t="shared" si="13"/>
        <v>38000</v>
      </c>
      <c r="U59" s="106">
        <f t="shared" si="13"/>
        <v>31000</v>
      </c>
      <c r="V59" s="106">
        <f t="shared" si="13"/>
        <v>35000</v>
      </c>
      <c r="W59" s="106">
        <f t="shared" si="13"/>
        <v>32000</v>
      </c>
      <c r="X59" s="106">
        <f t="shared" si="13"/>
        <v>31000</v>
      </c>
      <c r="Y59" s="106">
        <f t="shared" si="13"/>
        <v>28500</v>
      </c>
      <c r="Z59" s="106">
        <f t="shared" si="13"/>
        <v>19500</v>
      </c>
      <c r="AA59" s="107">
        <f>SUM(O59:Z59)</f>
        <v>354000</v>
      </c>
      <c r="AB59" s="108">
        <f>MAX(O59:Z59,1)/4/6</f>
        <v>1625</v>
      </c>
      <c r="AC59" s="109">
        <f>AA59/12/4/6</f>
        <v>1229.1666666666667</v>
      </c>
      <c r="AD59" s="110">
        <v>4</v>
      </c>
      <c r="AE59" s="110">
        <v>2</v>
      </c>
      <c r="AF59" s="110">
        <v>3.09</v>
      </c>
      <c r="AG59" s="108">
        <f>(AB59-AC59)*(AD59-AE59)*AF59</f>
        <v>2446.2499999999995</v>
      </c>
      <c r="AH59" s="109">
        <f>(AC59/2)+AG59</f>
        <v>3060.833333333333</v>
      </c>
      <c r="AI59" s="111">
        <f>SUM(G59:I59)/3</f>
        <v>9.8333333333333328E-3</v>
      </c>
      <c r="AJ59" s="112">
        <f>AH59*AI59</f>
        <v>30.098194444444442</v>
      </c>
      <c r="AK59" s="130">
        <f t="shared" si="7"/>
        <v>9.8333333333333328E-3</v>
      </c>
    </row>
    <row r="60" spans="1:37" x14ac:dyDescent="0.15">
      <c r="A60" s="39"/>
      <c r="B60" s="39" t="s">
        <v>139</v>
      </c>
      <c r="C60" s="101" t="s">
        <v>161</v>
      </c>
      <c r="D60" s="102"/>
      <c r="E60" s="103">
        <v>150</v>
      </c>
      <c r="G60" s="104">
        <v>8.0000000000000002E-3</v>
      </c>
      <c r="H60" s="104">
        <v>8.9999999999999993E-3</v>
      </c>
      <c r="I60" s="104">
        <v>0.01</v>
      </c>
      <c r="K60" s="105">
        <f t="shared" si="12"/>
        <v>1.35</v>
      </c>
      <c r="M60" s="105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7"/>
      <c r="AB60" s="108"/>
      <c r="AC60" s="109"/>
      <c r="AD60" s="110"/>
      <c r="AE60" s="110"/>
      <c r="AF60" s="110"/>
      <c r="AG60" s="108"/>
      <c r="AH60" s="109"/>
      <c r="AI60" s="111"/>
      <c r="AJ60" s="112"/>
      <c r="AK60" s="130">
        <f t="shared" si="7"/>
        <v>9.0000000000000011E-3</v>
      </c>
    </row>
    <row r="61" spans="1:37" x14ac:dyDescent="0.15">
      <c r="A61" s="39"/>
      <c r="B61" s="39" t="s">
        <v>139</v>
      </c>
      <c r="C61" s="101" t="s">
        <v>174</v>
      </c>
      <c r="D61" s="102"/>
      <c r="E61" s="103">
        <v>400</v>
      </c>
      <c r="G61" s="104">
        <v>0.01</v>
      </c>
      <c r="H61" s="104">
        <v>1.1599999999999999E-2</v>
      </c>
      <c r="I61" s="104">
        <v>1.2E-2</v>
      </c>
      <c r="K61" s="105">
        <f t="shared" si="12"/>
        <v>4.4800000000000004</v>
      </c>
      <c r="M61" s="105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7"/>
      <c r="AB61" s="108"/>
      <c r="AC61" s="109"/>
      <c r="AD61" s="110"/>
      <c r="AE61" s="110"/>
      <c r="AF61" s="110"/>
      <c r="AG61" s="108"/>
      <c r="AH61" s="109"/>
      <c r="AI61" s="111"/>
      <c r="AJ61" s="112"/>
      <c r="AK61" s="130">
        <f t="shared" si="7"/>
        <v>1.1200000000000002E-2</v>
      </c>
    </row>
    <row r="62" spans="1:37" x14ac:dyDescent="0.15">
      <c r="A62" s="39"/>
      <c r="B62" s="39" t="s">
        <v>139</v>
      </c>
      <c r="C62" s="101" t="s">
        <v>175</v>
      </c>
      <c r="D62" s="102"/>
      <c r="E62" s="103">
        <v>520</v>
      </c>
      <c r="G62" s="104">
        <v>1.4999999999999999E-2</v>
      </c>
      <c r="H62" s="104">
        <v>1.4E-2</v>
      </c>
      <c r="I62" s="104">
        <v>1.2999999999999999E-2</v>
      </c>
      <c r="K62" s="105">
        <f t="shared" si="12"/>
        <v>7.2799999999999994</v>
      </c>
      <c r="M62" s="105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7"/>
      <c r="AB62" s="108"/>
      <c r="AC62" s="109"/>
      <c r="AD62" s="110"/>
      <c r="AE62" s="110"/>
      <c r="AF62" s="110"/>
      <c r="AG62" s="108"/>
      <c r="AH62" s="109"/>
      <c r="AI62" s="111"/>
      <c r="AJ62" s="112"/>
      <c r="AK62" s="130">
        <f t="shared" si="7"/>
        <v>1.3999999999999999E-2</v>
      </c>
    </row>
    <row r="63" spans="1:37" x14ac:dyDescent="0.15">
      <c r="A63" s="39"/>
      <c r="B63" s="39" t="s">
        <v>139</v>
      </c>
      <c r="C63" s="101" t="s">
        <v>176</v>
      </c>
      <c r="D63" s="102"/>
      <c r="E63" s="103">
        <v>12</v>
      </c>
      <c r="G63" s="104">
        <v>0.5</v>
      </c>
      <c r="H63" s="104">
        <v>0.29166667000000002</v>
      </c>
      <c r="I63" s="104">
        <v>0.4</v>
      </c>
      <c r="K63" s="105">
        <f t="shared" si="12"/>
        <v>4.7666666800000002</v>
      </c>
      <c r="M63" s="105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7"/>
      <c r="AB63" s="108"/>
      <c r="AC63" s="109"/>
      <c r="AD63" s="110"/>
      <c r="AE63" s="110"/>
      <c r="AF63" s="110"/>
      <c r="AG63" s="108"/>
      <c r="AH63" s="109"/>
      <c r="AI63" s="111"/>
      <c r="AJ63" s="112"/>
      <c r="AK63" s="130">
        <f t="shared" si="7"/>
        <v>0.39722222333333335</v>
      </c>
    </row>
    <row r="64" spans="1:37" x14ac:dyDescent="0.15">
      <c r="A64" s="39"/>
      <c r="B64" s="39" t="s">
        <v>139</v>
      </c>
      <c r="C64" s="101" t="s">
        <v>164</v>
      </c>
      <c r="D64" s="102"/>
      <c r="E64" s="103">
        <v>25</v>
      </c>
      <c r="G64" s="104">
        <v>7.9799999999999992E-3</v>
      </c>
      <c r="H64" s="104">
        <v>5.7200000000000003E-3</v>
      </c>
      <c r="I64" s="104">
        <v>7.7799999999999996E-3</v>
      </c>
      <c r="K64" s="105">
        <f t="shared" si="12"/>
        <v>0.17899999999999999</v>
      </c>
      <c r="M64" s="105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7"/>
      <c r="AB64" s="108"/>
      <c r="AC64" s="109"/>
      <c r="AD64" s="110"/>
      <c r="AE64" s="110"/>
      <c r="AF64" s="110"/>
      <c r="AG64" s="108"/>
      <c r="AH64" s="109"/>
      <c r="AI64" s="111"/>
      <c r="AJ64" s="112"/>
      <c r="AK64" s="130">
        <f t="shared" si="7"/>
        <v>7.1599999999999997E-3</v>
      </c>
    </row>
    <row r="65" spans="1:37" x14ac:dyDescent="0.15">
      <c r="A65" s="39"/>
      <c r="B65" s="39" t="s">
        <v>139</v>
      </c>
      <c r="C65" s="101" t="s">
        <v>177</v>
      </c>
      <c r="D65" s="102"/>
      <c r="E65" s="103">
        <v>2</v>
      </c>
      <c r="G65" s="104">
        <v>0.15720000000000001</v>
      </c>
      <c r="H65" s="104">
        <v>0.17299999999999999</v>
      </c>
      <c r="I65" s="104">
        <v>0.15379999999999999</v>
      </c>
      <c r="K65" s="105">
        <f t="shared" si="12"/>
        <v>0.32266666666666666</v>
      </c>
      <c r="M65" s="105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7"/>
      <c r="AB65" s="108"/>
      <c r="AC65" s="109"/>
      <c r="AD65" s="110"/>
      <c r="AE65" s="110"/>
      <c r="AF65" s="110"/>
      <c r="AG65" s="108"/>
      <c r="AH65" s="109"/>
      <c r="AI65" s="111"/>
      <c r="AJ65" s="112"/>
      <c r="AK65" s="130">
        <f t="shared" si="7"/>
        <v>0.16133333333333333</v>
      </c>
    </row>
    <row r="66" spans="1:37" x14ac:dyDescent="0.15">
      <c r="A66" s="39"/>
      <c r="B66" s="39" t="s">
        <v>139</v>
      </c>
      <c r="C66" s="101" t="s">
        <v>155</v>
      </c>
      <c r="D66" s="102"/>
      <c r="E66" s="103">
        <v>20</v>
      </c>
      <c r="G66" s="104">
        <v>7.2459999999999997E-2</v>
      </c>
      <c r="H66" s="104">
        <v>7.8659999999999994E-2</v>
      </c>
      <c r="I66" s="104">
        <v>8.4680000000000005E-2</v>
      </c>
      <c r="K66" s="105">
        <f t="shared" si="12"/>
        <v>1.5719999999999998</v>
      </c>
      <c r="M66" s="105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7"/>
      <c r="AB66" s="108"/>
      <c r="AC66" s="109"/>
      <c r="AD66" s="110"/>
      <c r="AE66" s="110"/>
      <c r="AF66" s="110"/>
      <c r="AG66" s="108"/>
      <c r="AH66" s="109"/>
      <c r="AI66" s="111"/>
      <c r="AJ66" s="112"/>
      <c r="AK66" s="130">
        <f t="shared" si="7"/>
        <v>7.8599999999999989E-2</v>
      </c>
    </row>
    <row r="67" spans="1:37" x14ac:dyDescent="0.15">
      <c r="A67" s="39"/>
      <c r="B67" s="39" t="s">
        <v>139</v>
      </c>
      <c r="C67" s="101" t="s">
        <v>178</v>
      </c>
      <c r="D67" s="102"/>
      <c r="E67" s="103">
        <v>150</v>
      </c>
      <c r="G67" s="104">
        <v>0.10245</v>
      </c>
      <c r="H67" s="104">
        <v>7.1400000000000005E-2</v>
      </c>
      <c r="I67" s="104">
        <v>8.9833333333333001E-2</v>
      </c>
      <c r="K67" s="105">
        <f t="shared" si="12"/>
        <v>13.18416666666665</v>
      </c>
      <c r="M67" s="105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7"/>
      <c r="AB67" s="108"/>
      <c r="AC67" s="109"/>
      <c r="AD67" s="110"/>
      <c r="AE67" s="110"/>
      <c r="AF67" s="110"/>
      <c r="AG67" s="108"/>
      <c r="AH67" s="109"/>
      <c r="AI67" s="111"/>
      <c r="AJ67" s="112"/>
      <c r="AK67" s="130">
        <f t="shared" si="7"/>
        <v>8.7894444444444331E-2</v>
      </c>
    </row>
    <row r="68" spans="1:37" x14ac:dyDescent="0.15">
      <c r="A68" s="39"/>
      <c r="B68" s="39" t="s">
        <v>139</v>
      </c>
      <c r="C68" s="101" t="s">
        <v>153</v>
      </c>
      <c r="D68" s="102"/>
      <c r="E68" s="103">
        <v>500</v>
      </c>
      <c r="G68" s="104">
        <v>2.3031999999999999E-5</v>
      </c>
      <c r="H68" s="104">
        <v>2.3031999999999999E-5</v>
      </c>
      <c r="I68" s="104">
        <v>2.3031999999999999E-5</v>
      </c>
      <c r="K68" s="105">
        <f t="shared" si="12"/>
        <v>1.1515999999999998E-2</v>
      </c>
      <c r="M68" s="105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7"/>
      <c r="AB68" s="108"/>
      <c r="AC68" s="109"/>
      <c r="AD68" s="110"/>
      <c r="AE68" s="110"/>
      <c r="AF68" s="110"/>
      <c r="AG68" s="108"/>
      <c r="AH68" s="109"/>
      <c r="AI68" s="111"/>
      <c r="AJ68" s="112"/>
      <c r="AK68" s="130">
        <f t="shared" si="7"/>
        <v>2.3031999999999996E-5</v>
      </c>
    </row>
    <row r="69" spans="1:37" x14ac:dyDescent="0.15">
      <c r="A69" s="39"/>
      <c r="B69" s="39" t="s">
        <v>139</v>
      </c>
      <c r="C69" s="101" t="s">
        <v>179</v>
      </c>
      <c r="D69" s="102"/>
      <c r="E69" s="103">
        <v>2</v>
      </c>
      <c r="G69" s="104">
        <v>0.1198</v>
      </c>
      <c r="H69" s="104">
        <v>9.8500000000000004E-2</v>
      </c>
      <c r="I69" s="104">
        <v>0.1149</v>
      </c>
      <c r="K69" s="105">
        <f t="shared" si="12"/>
        <v>0.22213333333333332</v>
      </c>
      <c r="M69" s="105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7"/>
      <c r="AB69" s="108"/>
      <c r="AC69" s="109"/>
      <c r="AD69" s="110"/>
      <c r="AE69" s="110"/>
      <c r="AF69" s="110"/>
      <c r="AG69" s="108"/>
      <c r="AH69" s="109"/>
      <c r="AI69" s="111"/>
      <c r="AJ69" s="112"/>
      <c r="AK69" s="130">
        <f t="shared" si="7"/>
        <v>0.11106666666666666</v>
      </c>
    </row>
    <row r="70" spans="1:37" x14ac:dyDescent="0.15">
      <c r="A70" s="39"/>
      <c r="B70" s="39" t="s">
        <v>139</v>
      </c>
      <c r="C70" s="101" t="s">
        <v>180</v>
      </c>
      <c r="D70" s="102"/>
      <c r="E70" s="103">
        <v>30</v>
      </c>
      <c r="G70" s="104">
        <v>1.992E-2</v>
      </c>
      <c r="H70" s="104">
        <v>2.4850000000000001E-2</v>
      </c>
      <c r="I70" s="104">
        <v>2.1499999999999998E-2</v>
      </c>
      <c r="K70" s="105">
        <f t="shared" si="12"/>
        <v>0.66269999999999996</v>
      </c>
      <c r="M70" s="105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7"/>
      <c r="AB70" s="108"/>
      <c r="AC70" s="109"/>
      <c r="AD70" s="110"/>
      <c r="AE70" s="110"/>
      <c r="AF70" s="110"/>
      <c r="AG70" s="108"/>
      <c r="AH70" s="109"/>
      <c r="AI70" s="111"/>
      <c r="AJ70" s="112"/>
      <c r="AK70" s="130">
        <f t="shared" si="7"/>
        <v>2.2089999999999999E-2</v>
      </c>
    </row>
    <row r="71" spans="1:37" x14ac:dyDescent="0.15">
      <c r="A71" s="39"/>
      <c r="B71" s="39" t="s">
        <v>87</v>
      </c>
      <c r="C71" s="114"/>
      <c r="D71" s="115"/>
      <c r="G71" s="105"/>
      <c r="H71" s="105"/>
      <c r="I71" s="105"/>
      <c r="K71" s="105">
        <f>SUM(K59:K70)</f>
        <v>38.947516013333313</v>
      </c>
      <c r="L71" s="105">
        <f>K71*D58*AA$22</f>
        <v>27847.47394953332</v>
      </c>
      <c r="M71" s="105"/>
      <c r="N71" s="105">
        <f>M71*D58*AA$22</f>
        <v>0</v>
      </c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7"/>
      <c r="AB71" s="108"/>
      <c r="AC71" s="109"/>
      <c r="AD71" s="116"/>
      <c r="AE71" s="116"/>
      <c r="AF71" s="116"/>
      <c r="AG71" s="108"/>
      <c r="AH71" s="109"/>
      <c r="AI71" s="111"/>
      <c r="AJ71" s="112"/>
      <c r="AK71" s="130" t="e">
        <f t="shared" si="7"/>
        <v>#DIV/0!</v>
      </c>
    </row>
    <row r="72" spans="1:37" ht="11.4" x14ac:dyDescent="0.15">
      <c r="A72" s="82" t="s">
        <v>139</v>
      </c>
      <c r="B72" s="82" t="s">
        <v>87</v>
      </c>
      <c r="C72" s="94" t="s">
        <v>181</v>
      </c>
      <c r="D72" s="95">
        <v>6.5000000000000002E-2</v>
      </c>
      <c r="E72" s="83"/>
      <c r="F72" s="82">
        <v>1160</v>
      </c>
      <c r="G72" s="117"/>
      <c r="H72" s="96"/>
      <c r="I72" s="96"/>
      <c r="J72" s="82"/>
      <c r="K72" s="88"/>
      <c r="L72" s="82"/>
      <c r="M72" s="97"/>
      <c r="N72" s="82"/>
      <c r="O72" s="84">
        <f t="shared" ref="O72:Z72" si="14">INT(O$22*$D72)</f>
        <v>19</v>
      </c>
      <c r="P72" s="84">
        <f t="shared" si="14"/>
        <v>17</v>
      </c>
      <c r="Q72" s="84">
        <f t="shared" si="14"/>
        <v>31</v>
      </c>
      <c r="R72" s="84">
        <f t="shared" si="14"/>
        <v>32</v>
      </c>
      <c r="S72" s="84">
        <f t="shared" si="14"/>
        <v>39</v>
      </c>
      <c r="T72" s="84">
        <f t="shared" si="14"/>
        <v>38</v>
      </c>
      <c r="U72" s="84">
        <f t="shared" si="14"/>
        <v>31</v>
      </c>
      <c r="V72" s="84">
        <f t="shared" si="14"/>
        <v>35</v>
      </c>
      <c r="W72" s="84">
        <f t="shared" si="14"/>
        <v>32</v>
      </c>
      <c r="X72" s="84">
        <f t="shared" si="14"/>
        <v>31</v>
      </c>
      <c r="Y72" s="84">
        <f t="shared" si="14"/>
        <v>28</v>
      </c>
      <c r="Z72" s="84">
        <f t="shared" si="14"/>
        <v>19</v>
      </c>
      <c r="AA72" s="98">
        <f>SUM(O72:Z72)</f>
        <v>352</v>
      </c>
      <c r="AB72" s="99" t="s">
        <v>151</v>
      </c>
      <c r="AC72" s="100" t="s">
        <v>151</v>
      </c>
      <c r="AD72" s="91"/>
      <c r="AE72" s="91"/>
      <c r="AF72" s="91" t="s">
        <v>151</v>
      </c>
      <c r="AG72" s="99" t="s">
        <v>151</v>
      </c>
      <c r="AH72" s="100" t="s">
        <v>151</v>
      </c>
      <c r="AI72" s="92">
        <f>SUM(G72:I72)/3</f>
        <v>0</v>
      </c>
      <c r="AJ72" s="93" t="s">
        <v>151</v>
      </c>
      <c r="AK72" s="130" t="e">
        <f t="shared" si="7"/>
        <v>#DIV/0!</v>
      </c>
    </row>
    <row r="73" spans="1:37" x14ac:dyDescent="0.15">
      <c r="A73" s="39"/>
      <c r="B73" s="39" t="s">
        <v>139</v>
      </c>
      <c r="C73" s="101" t="s">
        <v>182</v>
      </c>
      <c r="D73" s="102"/>
      <c r="E73" s="103">
        <v>110</v>
      </c>
      <c r="G73" s="104">
        <v>8.0000000000000002E-3</v>
      </c>
      <c r="H73" s="104">
        <v>8.9999999999999993E-3</v>
      </c>
      <c r="I73" s="104">
        <v>0.01</v>
      </c>
      <c r="K73" s="105">
        <f t="shared" ref="K73:K83" si="15">AVERAGE(G73:I73)*E73</f>
        <v>0.9900000000000001</v>
      </c>
      <c r="M73" s="105"/>
      <c r="O73" s="106">
        <f>O$72*$E73</f>
        <v>2090</v>
      </c>
      <c r="P73" s="106">
        <f t="shared" ref="P73:Z73" si="16">P$72*$E73</f>
        <v>1870</v>
      </c>
      <c r="Q73" s="106">
        <f t="shared" si="16"/>
        <v>3410</v>
      </c>
      <c r="R73" s="106">
        <f t="shared" si="16"/>
        <v>3520</v>
      </c>
      <c r="S73" s="106">
        <f t="shared" si="16"/>
        <v>4290</v>
      </c>
      <c r="T73" s="106">
        <f t="shared" si="16"/>
        <v>4180</v>
      </c>
      <c r="U73" s="106">
        <f t="shared" si="16"/>
        <v>3410</v>
      </c>
      <c r="V73" s="106">
        <f t="shared" si="16"/>
        <v>3850</v>
      </c>
      <c r="W73" s="106">
        <f t="shared" si="16"/>
        <v>3520</v>
      </c>
      <c r="X73" s="106">
        <f t="shared" si="16"/>
        <v>3410</v>
      </c>
      <c r="Y73" s="106">
        <f t="shared" si="16"/>
        <v>3080</v>
      </c>
      <c r="Z73" s="106">
        <f t="shared" si="16"/>
        <v>2090</v>
      </c>
      <c r="AA73" s="107">
        <f>SUM(O73:Z73)</f>
        <v>38720</v>
      </c>
      <c r="AB73" s="108">
        <f>MAX(O73:Z73,1)/4/6</f>
        <v>178.75</v>
      </c>
      <c r="AC73" s="109">
        <f>AA73/12/4/6</f>
        <v>134.44444444444443</v>
      </c>
      <c r="AD73" s="110">
        <v>4</v>
      </c>
      <c r="AE73" s="110">
        <v>2</v>
      </c>
      <c r="AF73" s="110">
        <v>3.09</v>
      </c>
      <c r="AG73" s="108">
        <f>(AB73-AC73)*(AD73-AE73)*AF73</f>
        <v>273.80833333333339</v>
      </c>
      <c r="AH73" s="109">
        <f>(AC73/2)+AG73</f>
        <v>341.03055555555562</v>
      </c>
      <c r="AI73" s="111">
        <f>SUM(G73:I73)/3</f>
        <v>9.0000000000000011E-3</v>
      </c>
      <c r="AJ73" s="112">
        <f>AH73*AI73</f>
        <v>3.0692750000000011</v>
      </c>
      <c r="AK73" s="130">
        <f t="shared" si="7"/>
        <v>9.0000000000000011E-3</v>
      </c>
    </row>
    <row r="74" spans="1:37" x14ac:dyDescent="0.15">
      <c r="A74" s="39"/>
      <c r="B74" s="39" t="s">
        <v>139</v>
      </c>
      <c r="C74" s="101" t="s">
        <v>176</v>
      </c>
      <c r="D74" s="102"/>
      <c r="E74" s="103">
        <v>9</v>
      </c>
      <c r="G74" s="104">
        <v>0.5</v>
      </c>
      <c r="H74" s="104">
        <v>0.29166667000000002</v>
      </c>
      <c r="I74" s="104">
        <v>0.4</v>
      </c>
      <c r="K74" s="105">
        <f t="shared" si="15"/>
        <v>3.5750000100000001</v>
      </c>
      <c r="M74" s="105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7"/>
      <c r="AB74" s="108"/>
      <c r="AC74" s="109"/>
      <c r="AD74" s="110"/>
      <c r="AE74" s="110"/>
      <c r="AF74" s="110"/>
      <c r="AG74" s="108"/>
      <c r="AH74" s="109"/>
      <c r="AI74" s="111"/>
      <c r="AJ74" s="112"/>
      <c r="AK74" s="130">
        <f t="shared" si="7"/>
        <v>0.39722222333333335</v>
      </c>
    </row>
    <row r="75" spans="1:37" x14ac:dyDescent="0.15">
      <c r="A75" s="39"/>
      <c r="B75" s="39" t="s">
        <v>139</v>
      </c>
      <c r="C75" s="101" t="s">
        <v>183</v>
      </c>
      <c r="D75" s="102"/>
      <c r="E75" s="103">
        <v>500</v>
      </c>
      <c r="G75" s="104">
        <v>1.7999999999999999E-2</v>
      </c>
      <c r="H75" s="104">
        <v>3.1600000000000003E-2</v>
      </c>
      <c r="I75" s="104">
        <v>1.7250000000000001E-2</v>
      </c>
      <c r="K75" s="105">
        <f t="shared" si="15"/>
        <v>11.141666666666667</v>
      </c>
      <c r="M75" s="105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7"/>
      <c r="AB75" s="108"/>
      <c r="AC75" s="109"/>
      <c r="AD75" s="110"/>
      <c r="AE75" s="110"/>
      <c r="AF75" s="110"/>
      <c r="AG75" s="108"/>
      <c r="AH75" s="109"/>
      <c r="AI75" s="111"/>
      <c r="AJ75" s="112"/>
      <c r="AK75" s="130">
        <f t="shared" si="7"/>
        <v>2.2283333333333336E-2</v>
      </c>
    </row>
    <row r="76" spans="1:37" x14ac:dyDescent="0.15">
      <c r="A76" s="39"/>
      <c r="B76" s="39" t="s">
        <v>139</v>
      </c>
      <c r="C76" s="101" t="s">
        <v>184</v>
      </c>
      <c r="D76" s="102"/>
      <c r="E76" s="103">
        <v>15</v>
      </c>
      <c r="G76" s="104">
        <v>7.9799999999999992E-3</v>
      </c>
      <c r="H76" s="104">
        <v>5.7200000000000003E-3</v>
      </c>
      <c r="I76" s="104">
        <v>7.7799999999999996E-3</v>
      </c>
      <c r="K76" s="105">
        <f t="shared" si="15"/>
        <v>0.1074</v>
      </c>
      <c r="M76" s="105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7"/>
      <c r="AB76" s="108"/>
      <c r="AC76" s="109"/>
      <c r="AD76" s="110"/>
      <c r="AE76" s="110"/>
      <c r="AF76" s="110"/>
      <c r="AG76" s="108"/>
      <c r="AH76" s="109"/>
      <c r="AI76" s="111"/>
      <c r="AJ76" s="112"/>
      <c r="AK76" s="130">
        <f t="shared" si="7"/>
        <v>7.1599999999999997E-3</v>
      </c>
    </row>
    <row r="77" spans="1:37" x14ac:dyDescent="0.15">
      <c r="A77" s="39"/>
      <c r="B77" s="39" t="s">
        <v>139</v>
      </c>
      <c r="C77" s="101" t="s">
        <v>185</v>
      </c>
      <c r="D77" s="102"/>
      <c r="E77" s="103">
        <v>50</v>
      </c>
      <c r="G77" s="104">
        <v>4.1298701299999997E-2</v>
      </c>
      <c r="H77" s="104">
        <v>4.9000000000000002E-2</v>
      </c>
      <c r="I77" s="104">
        <v>5.1999999999999998E-2</v>
      </c>
      <c r="K77" s="105">
        <f t="shared" si="15"/>
        <v>2.3716450216666667</v>
      </c>
      <c r="M77" s="105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7"/>
      <c r="AB77" s="108"/>
      <c r="AC77" s="109"/>
      <c r="AD77" s="110"/>
      <c r="AE77" s="110"/>
      <c r="AF77" s="110"/>
      <c r="AG77" s="108"/>
      <c r="AH77" s="109"/>
      <c r="AI77" s="111"/>
      <c r="AJ77" s="112"/>
      <c r="AK77" s="130">
        <f t="shared" si="7"/>
        <v>4.7432900433333335E-2</v>
      </c>
    </row>
    <row r="78" spans="1:37" x14ac:dyDescent="0.15">
      <c r="A78" s="39"/>
      <c r="B78" s="39" t="s">
        <v>139</v>
      </c>
      <c r="C78" s="101" t="s">
        <v>175</v>
      </c>
      <c r="D78" s="102"/>
      <c r="E78" s="103">
        <v>250</v>
      </c>
      <c r="G78" s="104">
        <v>1.4999999999999999E-2</v>
      </c>
      <c r="H78" s="104">
        <v>1.4E-2</v>
      </c>
      <c r="I78" s="104">
        <v>1.2999999999999999E-2</v>
      </c>
      <c r="K78" s="105">
        <f t="shared" si="15"/>
        <v>3.4999999999999996</v>
      </c>
      <c r="M78" s="105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7"/>
      <c r="AB78" s="108"/>
      <c r="AC78" s="109"/>
      <c r="AD78" s="110"/>
      <c r="AE78" s="110"/>
      <c r="AF78" s="110"/>
      <c r="AG78" s="108"/>
      <c r="AH78" s="109"/>
      <c r="AI78" s="111"/>
      <c r="AJ78" s="112"/>
      <c r="AK78" s="130">
        <f t="shared" si="7"/>
        <v>1.3999999999999999E-2</v>
      </c>
    </row>
    <row r="79" spans="1:37" x14ac:dyDescent="0.15">
      <c r="A79" s="39"/>
      <c r="B79" s="39" t="s">
        <v>139</v>
      </c>
      <c r="C79" s="101" t="s">
        <v>186</v>
      </c>
      <c r="D79" s="102"/>
      <c r="E79" s="103">
        <v>15</v>
      </c>
      <c r="G79" s="104">
        <v>5.6666666666699998E-2</v>
      </c>
      <c r="H79" s="104">
        <v>6.4705882349999994E-2</v>
      </c>
      <c r="I79" s="104">
        <v>4.922E-2</v>
      </c>
      <c r="K79" s="105">
        <f t="shared" si="15"/>
        <v>0.85296274508350001</v>
      </c>
      <c r="M79" s="105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7"/>
      <c r="AB79" s="108"/>
      <c r="AC79" s="109"/>
      <c r="AD79" s="110"/>
      <c r="AE79" s="110"/>
      <c r="AF79" s="110"/>
      <c r="AG79" s="108"/>
      <c r="AH79" s="109"/>
      <c r="AI79" s="111"/>
      <c r="AJ79" s="112"/>
      <c r="AK79" s="130">
        <f t="shared" si="7"/>
        <v>5.6864183005566671E-2</v>
      </c>
    </row>
    <row r="80" spans="1:37" x14ac:dyDescent="0.15">
      <c r="A80" s="39"/>
      <c r="B80" s="39" t="s">
        <v>139</v>
      </c>
      <c r="C80" s="101" t="s">
        <v>187</v>
      </c>
      <c r="D80" s="102"/>
      <c r="E80" s="103">
        <v>150</v>
      </c>
      <c r="G80" s="104">
        <v>2.4850000000000001E-2</v>
      </c>
      <c r="H80" s="104">
        <v>0.02</v>
      </c>
      <c r="I80" s="104">
        <v>1.4478E-2</v>
      </c>
      <c r="K80" s="105">
        <f t="shared" si="15"/>
        <v>2.9663999999999997</v>
      </c>
      <c r="M80" s="105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7"/>
      <c r="AB80" s="108"/>
      <c r="AC80" s="109"/>
      <c r="AD80" s="110"/>
      <c r="AE80" s="110"/>
      <c r="AF80" s="110"/>
      <c r="AG80" s="108"/>
      <c r="AH80" s="109"/>
      <c r="AI80" s="111"/>
      <c r="AJ80" s="112"/>
      <c r="AK80" s="130">
        <f t="shared" si="7"/>
        <v>1.9775999999999998E-2</v>
      </c>
    </row>
    <row r="81" spans="1:37" x14ac:dyDescent="0.15">
      <c r="A81" s="39"/>
      <c r="B81" s="39" t="s">
        <v>139</v>
      </c>
      <c r="C81" s="101" t="s">
        <v>188</v>
      </c>
      <c r="D81" s="102"/>
      <c r="E81" s="103">
        <v>50</v>
      </c>
      <c r="G81" s="104">
        <v>0.02</v>
      </c>
      <c r="H81" s="104">
        <v>0.25</v>
      </c>
      <c r="I81" s="104">
        <v>2.8000000000000001E-2</v>
      </c>
      <c r="K81" s="105">
        <f t="shared" si="15"/>
        <v>4.9666666666666668</v>
      </c>
      <c r="M81" s="105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7"/>
      <c r="AB81" s="108"/>
      <c r="AC81" s="109"/>
      <c r="AD81" s="110"/>
      <c r="AE81" s="110"/>
      <c r="AF81" s="110"/>
      <c r="AG81" s="108"/>
      <c r="AH81" s="109"/>
      <c r="AI81" s="111"/>
      <c r="AJ81" s="112"/>
      <c r="AK81" s="130">
        <f t="shared" si="7"/>
        <v>9.9333333333333343E-2</v>
      </c>
    </row>
    <row r="82" spans="1:37" x14ac:dyDescent="0.15">
      <c r="A82" s="39"/>
      <c r="B82" s="39" t="s">
        <v>139</v>
      </c>
      <c r="C82" s="101" t="s">
        <v>189</v>
      </c>
      <c r="D82" s="102"/>
      <c r="E82" s="103">
        <v>35</v>
      </c>
      <c r="G82" s="104">
        <v>7.2459999999999997E-2</v>
      </c>
      <c r="H82" s="104">
        <v>7.8659999999999994E-2</v>
      </c>
      <c r="I82" s="104">
        <v>8.4680000000000005E-2</v>
      </c>
      <c r="K82" s="105">
        <f t="shared" si="15"/>
        <v>2.7509999999999994</v>
      </c>
      <c r="M82" s="105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7"/>
      <c r="AB82" s="108"/>
      <c r="AC82" s="109"/>
      <c r="AD82" s="110"/>
      <c r="AE82" s="110"/>
      <c r="AF82" s="110"/>
      <c r="AG82" s="108"/>
      <c r="AH82" s="109"/>
      <c r="AI82" s="111"/>
      <c r="AJ82" s="112"/>
      <c r="AK82" s="130">
        <f t="shared" si="7"/>
        <v>7.8599999999999989E-2</v>
      </c>
    </row>
    <row r="83" spans="1:37" x14ac:dyDescent="0.15">
      <c r="A83" s="39"/>
      <c r="B83" s="39" t="s">
        <v>139</v>
      </c>
      <c r="C83" s="101" t="s">
        <v>164</v>
      </c>
      <c r="D83" s="102"/>
      <c r="E83" s="103">
        <v>18</v>
      </c>
      <c r="G83" s="104">
        <v>7.9799999999999992E-3</v>
      </c>
      <c r="H83" s="104">
        <v>5.7200000000000003E-3</v>
      </c>
      <c r="I83" s="104">
        <v>7.7799999999999996E-3</v>
      </c>
      <c r="K83" s="105">
        <f t="shared" si="15"/>
        <v>0.12887999999999999</v>
      </c>
      <c r="M83" s="105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7"/>
      <c r="AB83" s="108"/>
      <c r="AC83" s="109"/>
      <c r="AD83" s="110"/>
      <c r="AE83" s="110"/>
      <c r="AF83" s="110"/>
      <c r="AG83" s="108"/>
      <c r="AH83" s="109"/>
      <c r="AI83" s="111"/>
      <c r="AJ83" s="112"/>
      <c r="AK83" s="130">
        <f t="shared" si="7"/>
        <v>7.1599999999999997E-3</v>
      </c>
    </row>
    <row r="84" spans="1:37" x14ac:dyDescent="0.15">
      <c r="A84" s="39"/>
      <c r="B84" s="39" t="s">
        <v>87</v>
      </c>
      <c r="C84" s="114"/>
      <c r="D84" s="115"/>
      <c r="G84" s="105"/>
      <c r="H84" s="105"/>
      <c r="I84" s="105"/>
      <c r="K84" s="105">
        <f>SUM(K73:K83)</f>
        <v>33.351621110083499</v>
      </c>
      <c r="L84" s="105">
        <f>K84*D72*AA$22</f>
        <v>11923.204546854853</v>
      </c>
      <c r="M84" s="105"/>
      <c r="N84" s="105">
        <f>M84*D72*AA$22</f>
        <v>0</v>
      </c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7"/>
      <c r="AB84" s="108"/>
      <c r="AC84" s="109"/>
      <c r="AD84" s="116"/>
      <c r="AE84" s="116"/>
      <c r="AF84" s="116"/>
      <c r="AG84" s="108"/>
      <c r="AH84" s="109"/>
      <c r="AI84" s="111"/>
      <c r="AJ84" s="112"/>
      <c r="AK84" s="130" t="e">
        <f t="shared" si="7"/>
        <v>#DIV/0!</v>
      </c>
    </row>
    <row r="85" spans="1:37" ht="11.4" x14ac:dyDescent="0.15">
      <c r="A85" s="82" t="s">
        <v>139</v>
      </c>
      <c r="B85" s="82" t="s">
        <v>87</v>
      </c>
      <c r="C85" s="94" t="s">
        <v>190</v>
      </c>
      <c r="D85" s="95">
        <v>0.1</v>
      </c>
      <c r="E85" s="83"/>
      <c r="F85" s="82">
        <v>1700</v>
      </c>
      <c r="G85" s="117"/>
      <c r="H85" s="96"/>
      <c r="I85" s="96"/>
      <c r="J85" s="82"/>
      <c r="K85" s="88"/>
      <c r="L85" s="82"/>
      <c r="M85" s="97"/>
      <c r="N85" s="82"/>
      <c r="O85" s="84">
        <f t="shared" ref="O85:Z85" si="17">INT(O$22*$D85)</f>
        <v>30</v>
      </c>
      <c r="P85" s="84">
        <f t="shared" si="17"/>
        <v>27</v>
      </c>
      <c r="Q85" s="84">
        <f t="shared" si="17"/>
        <v>48</v>
      </c>
      <c r="R85" s="84">
        <f t="shared" si="17"/>
        <v>49</v>
      </c>
      <c r="S85" s="84">
        <f t="shared" si="17"/>
        <v>60</v>
      </c>
      <c r="T85" s="84">
        <f t="shared" si="17"/>
        <v>58</v>
      </c>
      <c r="U85" s="84">
        <f t="shared" si="17"/>
        <v>48</v>
      </c>
      <c r="V85" s="84">
        <f t="shared" si="17"/>
        <v>54</v>
      </c>
      <c r="W85" s="84">
        <f t="shared" si="17"/>
        <v>49</v>
      </c>
      <c r="X85" s="84">
        <f t="shared" si="17"/>
        <v>48</v>
      </c>
      <c r="Y85" s="84">
        <f t="shared" si="17"/>
        <v>43</v>
      </c>
      <c r="Z85" s="84">
        <f t="shared" si="17"/>
        <v>30</v>
      </c>
      <c r="AA85" s="98">
        <f>SUM(O85:Z85)</f>
        <v>544</v>
      </c>
      <c r="AB85" s="99" t="s">
        <v>151</v>
      </c>
      <c r="AC85" s="100" t="s">
        <v>151</v>
      </c>
      <c r="AD85" s="91"/>
      <c r="AE85" s="91"/>
      <c r="AF85" s="91" t="s">
        <v>151</v>
      </c>
      <c r="AG85" s="99" t="s">
        <v>151</v>
      </c>
      <c r="AH85" s="100" t="s">
        <v>151</v>
      </c>
      <c r="AI85" s="92">
        <f>SUM(G85:I85)/3</f>
        <v>0</v>
      </c>
      <c r="AJ85" s="93" t="s">
        <v>151</v>
      </c>
      <c r="AK85" s="130" t="e">
        <f t="shared" si="7"/>
        <v>#DIV/0!</v>
      </c>
    </row>
    <row r="86" spans="1:37" x14ac:dyDescent="0.15">
      <c r="A86" s="39"/>
      <c r="B86" s="39" t="s">
        <v>139</v>
      </c>
      <c r="C86" s="101" t="s">
        <v>191</v>
      </c>
      <c r="D86" s="102"/>
      <c r="E86" s="103">
        <v>600</v>
      </c>
      <c r="G86" s="104">
        <v>1.402631579E-2</v>
      </c>
      <c r="H86" s="104">
        <v>1.0707142857E-2</v>
      </c>
      <c r="I86" s="104">
        <v>1.402631579E-2</v>
      </c>
      <c r="K86" s="105">
        <f t="shared" ref="K86:K97" si="18">AVERAGE(G86:I86)*E86</f>
        <v>7.7519548874000002</v>
      </c>
      <c r="M86" s="105"/>
      <c r="O86" s="106" t="e">
        <f>O$85*#REF!</f>
        <v>#REF!</v>
      </c>
      <c r="P86" s="106" t="e">
        <f>P$85*#REF!</f>
        <v>#REF!</v>
      </c>
      <c r="Q86" s="106" t="e">
        <f>Q$85*#REF!</f>
        <v>#REF!</v>
      </c>
      <c r="R86" s="106" t="e">
        <f>R$85*#REF!</f>
        <v>#REF!</v>
      </c>
      <c r="S86" s="106" t="e">
        <f>S$85*#REF!</f>
        <v>#REF!</v>
      </c>
      <c r="T86" s="106" t="e">
        <f>T$85*#REF!</f>
        <v>#REF!</v>
      </c>
      <c r="U86" s="106" t="e">
        <f>U$85*#REF!</f>
        <v>#REF!</v>
      </c>
      <c r="V86" s="106" t="e">
        <f>V$85*#REF!</f>
        <v>#REF!</v>
      </c>
      <c r="W86" s="106" t="e">
        <f>W$85*#REF!</f>
        <v>#REF!</v>
      </c>
      <c r="X86" s="106" t="e">
        <f>X$85*#REF!</f>
        <v>#REF!</v>
      </c>
      <c r="Y86" s="106" t="e">
        <f>Y$85*#REF!</f>
        <v>#REF!</v>
      </c>
      <c r="Z86" s="106" t="e">
        <f>Z$85*#REF!</f>
        <v>#REF!</v>
      </c>
      <c r="AA86" s="107" t="e">
        <f>SUM(O86:Z86)</f>
        <v>#REF!</v>
      </c>
      <c r="AB86" s="108" t="e">
        <f>MAX(O86:Z86,1)/4/6</f>
        <v>#REF!</v>
      </c>
      <c r="AC86" s="109" t="e">
        <f>AA86/12/4/6</f>
        <v>#REF!</v>
      </c>
      <c r="AD86" s="110">
        <v>4</v>
      </c>
      <c r="AE86" s="110">
        <v>2</v>
      </c>
      <c r="AF86" s="110">
        <v>3.09</v>
      </c>
      <c r="AG86" s="108" t="e">
        <f>(AB86-AC86)*(AD86-AE86)*AF86</f>
        <v>#REF!</v>
      </c>
      <c r="AH86" s="109" t="e">
        <f>(AC86/2)+AG86</f>
        <v>#REF!</v>
      </c>
      <c r="AI86" s="111">
        <f>SUM(G86:I86)/3</f>
        <v>1.2919924812333334E-2</v>
      </c>
      <c r="AJ86" s="112" t="e">
        <f>AH86*AI86</f>
        <v>#REF!</v>
      </c>
      <c r="AK86" s="130">
        <f t="shared" si="7"/>
        <v>1.2919924812333334E-2</v>
      </c>
    </row>
    <row r="87" spans="1:37" x14ac:dyDescent="0.15">
      <c r="A87" s="39"/>
      <c r="B87" s="39" t="s">
        <v>139</v>
      </c>
      <c r="C87" s="101" t="s">
        <v>155</v>
      </c>
      <c r="D87" s="102"/>
      <c r="E87" s="103">
        <v>60</v>
      </c>
      <c r="G87" s="104">
        <v>7.2459999999999997E-2</v>
      </c>
      <c r="H87" s="104">
        <v>7.8659999999999994E-2</v>
      </c>
      <c r="I87" s="104">
        <v>8.4680000000000005E-2</v>
      </c>
      <c r="K87" s="105">
        <f t="shared" si="18"/>
        <v>4.7159999999999993</v>
      </c>
      <c r="M87" s="105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7"/>
      <c r="AB87" s="108"/>
      <c r="AC87" s="109"/>
      <c r="AD87" s="110"/>
      <c r="AE87" s="110"/>
      <c r="AF87" s="110"/>
      <c r="AG87" s="108"/>
      <c r="AH87" s="109"/>
      <c r="AI87" s="111"/>
      <c r="AJ87" s="112"/>
      <c r="AK87" s="130">
        <f t="shared" si="7"/>
        <v>7.8599999999999989E-2</v>
      </c>
    </row>
    <row r="88" spans="1:37" x14ac:dyDescent="0.15">
      <c r="A88" s="39"/>
      <c r="B88" s="39" t="s">
        <v>139</v>
      </c>
      <c r="C88" s="101" t="s">
        <v>192</v>
      </c>
      <c r="D88" s="102"/>
      <c r="E88" s="103">
        <v>240</v>
      </c>
      <c r="G88" s="104">
        <v>0.01</v>
      </c>
      <c r="H88" s="104">
        <v>3.4500000000000003E-2</v>
      </c>
      <c r="I88" s="104">
        <v>3.5000000000000003E-2</v>
      </c>
      <c r="K88" s="105">
        <f t="shared" si="18"/>
        <v>6.3600000000000012</v>
      </c>
      <c r="M88" s="105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7"/>
      <c r="AB88" s="108"/>
      <c r="AC88" s="109"/>
      <c r="AD88" s="110"/>
      <c r="AE88" s="110"/>
      <c r="AF88" s="110"/>
      <c r="AG88" s="108"/>
      <c r="AH88" s="109"/>
      <c r="AI88" s="111"/>
      <c r="AJ88" s="112"/>
      <c r="AK88" s="130">
        <f t="shared" si="7"/>
        <v>2.6500000000000006E-2</v>
      </c>
    </row>
    <row r="89" spans="1:37" x14ac:dyDescent="0.15">
      <c r="A89" s="39"/>
      <c r="B89" s="39" t="s">
        <v>139</v>
      </c>
      <c r="C89" s="101" t="s">
        <v>182</v>
      </c>
      <c r="D89" s="102"/>
      <c r="E89" s="103">
        <v>110</v>
      </c>
      <c r="G89" s="104">
        <v>8.0000000000000002E-3</v>
      </c>
      <c r="H89" s="104">
        <v>8.9999999999999993E-3</v>
      </c>
      <c r="I89" s="104">
        <v>0.01</v>
      </c>
      <c r="K89" s="105">
        <f t="shared" si="18"/>
        <v>0.9900000000000001</v>
      </c>
      <c r="M89" s="105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7"/>
      <c r="AB89" s="108"/>
      <c r="AC89" s="109"/>
      <c r="AD89" s="110"/>
      <c r="AE89" s="110"/>
      <c r="AF89" s="110"/>
      <c r="AG89" s="108"/>
      <c r="AH89" s="109"/>
      <c r="AI89" s="111"/>
      <c r="AJ89" s="112"/>
      <c r="AK89" s="130">
        <f t="shared" si="7"/>
        <v>9.0000000000000011E-3</v>
      </c>
    </row>
    <row r="90" spans="1:37" x14ac:dyDescent="0.15">
      <c r="A90" s="39"/>
      <c r="B90" s="39" t="s">
        <v>139</v>
      </c>
      <c r="C90" s="101" t="s">
        <v>176</v>
      </c>
      <c r="D90" s="102"/>
      <c r="E90" s="103">
        <v>10</v>
      </c>
      <c r="G90" s="104">
        <v>0.5</v>
      </c>
      <c r="H90" s="104">
        <v>0.29166667000000002</v>
      </c>
      <c r="I90" s="104">
        <v>0.4</v>
      </c>
      <c r="K90" s="105">
        <f t="shared" si="18"/>
        <v>3.9722222333333335</v>
      </c>
      <c r="M90" s="105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7"/>
      <c r="AB90" s="108"/>
      <c r="AC90" s="109"/>
      <c r="AD90" s="110"/>
      <c r="AE90" s="110"/>
      <c r="AF90" s="110"/>
      <c r="AG90" s="108"/>
      <c r="AH90" s="109"/>
      <c r="AI90" s="111"/>
      <c r="AJ90" s="112"/>
      <c r="AK90" s="130">
        <f t="shared" si="7"/>
        <v>0.39722222333333335</v>
      </c>
    </row>
    <row r="91" spans="1:37" x14ac:dyDescent="0.15">
      <c r="A91" s="39"/>
      <c r="B91" s="39" t="s">
        <v>139</v>
      </c>
      <c r="C91" s="101" t="s">
        <v>193</v>
      </c>
      <c r="D91" s="102"/>
      <c r="E91" s="103">
        <v>20</v>
      </c>
      <c r="G91" s="104">
        <v>7.9799999999999992E-3</v>
      </c>
      <c r="H91" s="104">
        <v>5.7200000000000003E-3</v>
      </c>
      <c r="I91" s="104">
        <v>7.7799999999999996E-3</v>
      </c>
      <c r="K91" s="105">
        <f t="shared" si="18"/>
        <v>0.14319999999999999</v>
      </c>
      <c r="M91" s="105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7"/>
      <c r="AB91" s="108"/>
      <c r="AC91" s="109"/>
      <c r="AD91" s="110"/>
      <c r="AE91" s="110"/>
      <c r="AF91" s="110"/>
      <c r="AG91" s="108"/>
      <c r="AH91" s="109"/>
      <c r="AI91" s="111"/>
      <c r="AJ91" s="112"/>
      <c r="AK91" s="130">
        <f t="shared" si="7"/>
        <v>7.1599999999999997E-3</v>
      </c>
    </row>
    <row r="92" spans="1:37" x14ac:dyDescent="0.15">
      <c r="A92" s="39"/>
      <c r="B92" s="39" t="s">
        <v>139</v>
      </c>
      <c r="C92" s="101" t="s">
        <v>194</v>
      </c>
      <c r="D92" s="102"/>
      <c r="E92" s="103">
        <v>400</v>
      </c>
      <c r="G92" s="104">
        <v>1.4999999999999999E-2</v>
      </c>
      <c r="H92" s="104">
        <v>1.4E-2</v>
      </c>
      <c r="I92" s="104">
        <v>1.2999999999999999E-2</v>
      </c>
      <c r="K92" s="105">
        <f t="shared" si="18"/>
        <v>5.6</v>
      </c>
      <c r="M92" s="105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7"/>
      <c r="AB92" s="108"/>
      <c r="AC92" s="109"/>
      <c r="AD92" s="110"/>
      <c r="AE92" s="110"/>
      <c r="AF92" s="110"/>
      <c r="AG92" s="108"/>
      <c r="AH92" s="109"/>
      <c r="AI92" s="111"/>
      <c r="AJ92" s="112"/>
      <c r="AK92" s="130">
        <f t="shared" si="7"/>
        <v>1.3999999999999999E-2</v>
      </c>
    </row>
    <row r="93" spans="1:37" x14ac:dyDescent="0.15">
      <c r="A93" s="39"/>
      <c r="B93" s="39" t="s">
        <v>139</v>
      </c>
      <c r="C93" s="101" t="s">
        <v>195</v>
      </c>
      <c r="D93" s="102"/>
      <c r="E93" s="103">
        <v>30</v>
      </c>
      <c r="G93" s="104">
        <v>1.666666667E-2</v>
      </c>
      <c r="H93" s="104">
        <v>0.09</v>
      </c>
      <c r="I93" s="104">
        <v>0.16550000000000001</v>
      </c>
      <c r="K93" s="105">
        <f t="shared" si="18"/>
        <v>2.7216666667</v>
      </c>
      <c r="M93" s="105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7"/>
      <c r="AB93" s="108"/>
      <c r="AC93" s="109"/>
      <c r="AD93" s="110"/>
      <c r="AE93" s="110"/>
      <c r="AF93" s="110"/>
      <c r="AG93" s="108"/>
      <c r="AH93" s="109"/>
      <c r="AI93" s="111"/>
      <c r="AJ93" s="112"/>
      <c r="AK93" s="130">
        <f t="shared" si="7"/>
        <v>9.0722222223333329E-2</v>
      </c>
    </row>
    <row r="94" spans="1:37" x14ac:dyDescent="0.15">
      <c r="A94" s="39"/>
      <c r="B94" s="39" t="s">
        <v>139</v>
      </c>
      <c r="C94" s="101" t="s">
        <v>196</v>
      </c>
      <c r="D94" s="102"/>
      <c r="E94" s="103">
        <v>250</v>
      </c>
      <c r="G94" s="104">
        <v>3.5000000000000003E-2</v>
      </c>
      <c r="H94" s="104">
        <v>4.4299999999999999E-2</v>
      </c>
      <c r="I94" s="104">
        <v>4.4299999999999999E-2</v>
      </c>
      <c r="K94" s="105">
        <f t="shared" si="18"/>
        <v>10.300000000000002</v>
      </c>
      <c r="M94" s="105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7"/>
      <c r="AB94" s="108"/>
      <c r="AC94" s="109"/>
      <c r="AD94" s="110"/>
      <c r="AE94" s="110"/>
      <c r="AF94" s="110"/>
      <c r="AG94" s="108"/>
      <c r="AH94" s="109"/>
      <c r="AI94" s="111"/>
      <c r="AJ94" s="112"/>
      <c r="AK94" s="130">
        <f t="shared" si="7"/>
        <v>4.1200000000000007E-2</v>
      </c>
    </row>
    <row r="95" spans="1:37" x14ac:dyDescent="0.15">
      <c r="A95" s="39"/>
      <c r="B95" s="39" t="s">
        <v>139</v>
      </c>
      <c r="C95" s="101" t="s">
        <v>197</v>
      </c>
      <c r="D95" s="102"/>
      <c r="E95" s="103">
        <v>5</v>
      </c>
      <c r="G95" s="104">
        <v>1.2999999999999999E-2</v>
      </c>
      <c r="H95" s="104">
        <v>1.6E-2</v>
      </c>
      <c r="I95" s="104">
        <v>1.498E-2</v>
      </c>
      <c r="K95" s="105">
        <f t="shared" si="18"/>
        <v>7.3300000000000004E-2</v>
      </c>
      <c r="M95" s="105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7"/>
      <c r="AB95" s="108"/>
      <c r="AC95" s="109"/>
      <c r="AD95" s="110"/>
      <c r="AE95" s="110"/>
      <c r="AF95" s="110"/>
      <c r="AG95" s="108"/>
      <c r="AH95" s="109"/>
      <c r="AI95" s="111"/>
      <c r="AJ95" s="112"/>
      <c r="AK95" s="130">
        <f t="shared" si="7"/>
        <v>1.4659999999999999E-2</v>
      </c>
    </row>
    <row r="96" spans="1:37" x14ac:dyDescent="0.15">
      <c r="A96" s="39"/>
      <c r="B96" s="39" t="s">
        <v>139</v>
      </c>
      <c r="C96" s="101" t="s">
        <v>198</v>
      </c>
      <c r="D96" s="102"/>
      <c r="E96" s="103">
        <v>65</v>
      </c>
      <c r="G96" s="104">
        <v>1.7999999999999999E-2</v>
      </c>
      <c r="H96" s="104">
        <v>1.9599999999999999E-2</v>
      </c>
      <c r="I96" s="104">
        <v>8.7500000000000008E-3</v>
      </c>
      <c r="K96" s="105">
        <f t="shared" si="18"/>
        <v>1.0042499999999999</v>
      </c>
      <c r="M96" s="105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7"/>
      <c r="AB96" s="108"/>
      <c r="AC96" s="109"/>
      <c r="AD96" s="110"/>
      <c r="AE96" s="110"/>
      <c r="AF96" s="110"/>
      <c r="AG96" s="108"/>
      <c r="AH96" s="109"/>
      <c r="AI96" s="111"/>
      <c r="AJ96" s="112"/>
      <c r="AK96" s="130">
        <f t="shared" si="7"/>
        <v>1.5449999999999998E-2</v>
      </c>
    </row>
    <row r="97" spans="1:37" x14ac:dyDescent="0.15">
      <c r="A97" s="39"/>
      <c r="B97" s="39" t="s">
        <v>139</v>
      </c>
      <c r="C97" s="101" t="s">
        <v>199</v>
      </c>
      <c r="D97" s="102"/>
      <c r="E97" s="103">
        <v>3</v>
      </c>
      <c r="G97" s="104">
        <v>0.15720000000000001</v>
      </c>
      <c r="H97" s="104">
        <v>0.17299999999999999</v>
      </c>
      <c r="I97" s="104">
        <v>0.15379999999999999</v>
      </c>
      <c r="K97" s="105">
        <f t="shared" si="18"/>
        <v>0.48399999999999999</v>
      </c>
      <c r="M97" s="105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7"/>
      <c r="AB97" s="108"/>
      <c r="AC97" s="109"/>
      <c r="AD97" s="110"/>
      <c r="AE97" s="110"/>
      <c r="AF97" s="110"/>
      <c r="AG97" s="108"/>
      <c r="AH97" s="109"/>
      <c r="AI97" s="111"/>
      <c r="AJ97" s="112"/>
      <c r="AK97" s="130">
        <f t="shared" si="7"/>
        <v>0.16133333333333333</v>
      </c>
    </row>
    <row r="98" spans="1:37" x14ac:dyDescent="0.15">
      <c r="A98" s="39"/>
      <c r="B98" s="39" t="s">
        <v>87</v>
      </c>
      <c r="C98" s="114"/>
      <c r="D98" s="115"/>
      <c r="G98" s="105"/>
      <c r="H98" s="105"/>
      <c r="I98" s="105"/>
      <c r="K98" s="105">
        <f>SUM(K86:K97)</f>
        <v>44.116593787433345</v>
      </c>
      <c r="L98" s="105">
        <f>K98*D85*AA$22</f>
        <v>24264.126583088342</v>
      </c>
      <c r="M98" s="105"/>
      <c r="N98" s="105">
        <f>M98*D85*AA$22</f>
        <v>0</v>
      </c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7"/>
      <c r="AB98" s="108"/>
      <c r="AC98" s="109"/>
      <c r="AD98" s="116"/>
      <c r="AE98" s="116"/>
      <c r="AF98" s="116"/>
      <c r="AG98" s="108"/>
      <c r="AH98" s="109"/>
      <c r="AI98" s="111"/>
      <c r="AJ98" s="112"/>
      <c r="AK98" s="130" t="e">
        <f t="shared" ref="AK98:AK161" si="19">AVERAGE(G98:I98)</f>
        <v>#DIV/0!</v>
      </c>
    </row>
    <row r="99" spans="1:37" ht="11.4" x14ac:dyDescent="0.15">
      <c r="A99" s="82" t="s">
        <v>139</v>
      </c>
      <c r="B99" s="82" t="s">
        <v>87</v>
      </c>
      <c r="C99" s="94" t="s">
        <v>200</v>
      </c>
      <c r="D99" s="95">
        <v>7.0000000000000007E-2</v>
      </c>
      <c r="E99" s="83"/>
      <c r="F99" s="82">
        <v>1200</v>
      </c>
      <c r="G99" s="117"/>
      <c r="H99" s="96"/>
      <c r="I99" s="96"/>
      <c r="J99" s="82"/>
      <c r="K99" s="88"/>
      <c r="L99" s="82"/>
      <c r="M99" s="97"/>
      <c r="N99" s="82"/>
      <c r="O99" s="84">
        <f t="shared" ref="O99:Z99" si="20">INT(O$22*$D99)</f>
        <v>21</v>
      </c>
      <c r="P99" s="84">
        <f t="shared" si="20"/>
        <v>19</v>
      </c>
      <c r="Q99" s="84">
        <f t="shared" si="20"/>
        <v>33</v>
      </c>
      <c r="R99" s="84">
        <f t="shared" si="20"/>
        <v>34</v>
      </c>
      <c r="S99" s="84">
        <f t="shared" si="20"/>
        <v>42</v>
      </c>
      <c r="T99" s="84">
        <f t="shared" si="20"/>
        <v>41</v>
      </c>
      <c r="U99" s="84">
        <f t="shared" si="20"/>
        <v>33</v>
      </c>
      <c r="V99" s="84">
        <f t="shared" si="20"/>
        <v>38</v>
      </c>
      <c r="W99" s="84">
        <f t="shared" si="20"/>
        <v>34</v>
      </c>
      <c r="X99" s="84">
        <f t="shared" si="20"/>
        <v>33</v>
      </c>
      <c r="Y99" s="84">
        <f t="shared" si="20"/>
        <v>30</v>
      </c>
      <c r="Z99" s="84">
        <f t="shared" si="20"/>
        <v>21</v>
      </c>
      <c r="AA99" s="98">
        <f>SUM(O99:Z99)</f>
        <v>379</v>
      </c>
      <c r="AB99" s="99" t="s">
        <v>151</v>
      </c>
      <c r="AC99" s="100" t="s">
        <v>151</v>
      </c>
      <c r="AD99" s="91"/>
      <c r="AE99" s="91"/>
      <c r="AF99" s="91" t="s">
        <v>151</v>
      </c>
      <c r="AG99" s="99" t="s">
        <v>151</v>
      </c>
      <c r="AH99" s="100" t="s">
        <v>151</v>
      </c>
      <c r="AI99" s="92">
        <f>SUM(G99:I99)/3</f>
        <v>0</v>
      </c>
      <c r="AJ99" s="93" t="s">
        <v>151</v>
      </c>
      <c r="AK99" s="130" t="e">
        <f t="shared" si="19"/>
        <v>#DIV/0!</v>
      </c>
    </row>
    <row r="100" spans="1:37" x14ac:dyDescent="0.15">
      <c r="A100" s="39"/>
      <c r="B100" s="39" t="s">
        <v>139</v>
      </c>
      <c r="C100" s="101" t="s">
        <v>201</v>
      </c>
      <c r="D100" s="102"/>
      <c r="E100" s="103">
        <v>625</v>
      </c>
      <c r="G100" s="104">
        <v>7.0000000000000001E-3</v>
      </c>
      <c r="H100" s="104">
        <v>8.0000000000000002E-3</v>
      </c>
      <c r="I100" s="104">
        <v>7.8899999999999994E-3</v>
      </c>
      <c r="K100" s="105">
        <f t="shared" ref="K100:K107" si="21">AVERAGE(G100:I100)*E100</f>
        <v>4.7687500000000007</v>
      </c>
      <c r="M100" s="105"/>
      <c r="O100" s="106">
        <f>O$99*$E100</f>
        <v>13125</v>
      </c>
      <c r="P100" s="106">
        <f t="shared" ref="P100:Z100" si="22">P$99*$E100</f>
        <v>11875</v>
      </c>
      <c r="Q100" s="106">
        <f t="shared" si="22"/>
        <v>20625</v>
      </c>
      <c r="R100" s="106">
        <f t="shared" si="22"/>
        <v>21250</v>
      </c>
      <c r="S100" s="106">
        <f t="shared" si="22"/>
        <v>26250</v>
      </c>
      <c r="T100" s="106">
        <f t="shared" si="22"/>
        <v>25625</v>
      </c>
      <c r="U100" s="106">
        <f t="shared" si="22"/>
        <v>20625</v>
      </c>
      <c r="V100" s="106">
        <f t="shared" si="22"/>
        <v>23750</v>
      </c>
      <c r="W100" s="106">
        <f t="shared" si="22"/>
        <v>21250</v>
      </c>
      <c r="X100" s="106">
        <f t="shared" si="22"/>
        <v>20625</v>
      </c>
      <c r="Y100" s="106">
        <f t="shared" si="22"/>
        <v>18750</v>
      </c>
      <c r="Z100" s="106">
        <f t="shared" si="22"/>
        <v>13125</v>
      </c>
      <c r="AA100" s="107">
        <f>SUM(O100:Z100)</f>
        <v>236875</v>
      </c>
      <c r="AB100" s="108">
        <f>MAX(O100:Z100,1)/4/6</f>
        <v>1093.75</v>
      </c>
      <c r="AC100" s="109">
        <f>AA100/12/4/6</f>
        <v>822.4826388888888</v>
      </c>
      <c r="AD100" s="110">
        <v>4</v>
      </c>
      <c r="AE100" s="110">
        <v>2</v>
      </c>
      <c r="AF100" s="110">
        <v>3.09</v>
      </c>
      <c r="AG100" s="108">
        <f>(AB100-AC100)*(AD100-AE100)*AF100</f>
        <v>1676.4322916666672</v>
      </c>
      <c r="AH100" s="109">
        <f>(AC100/2)+AG100</f>
        <v>2087.6736111111118</v>
      </c>
      <c r="AI100" s="111">
        <f>SUM(G100:I100)/3</f>
        <v>7.6300000000000005E-3</v>
      </c>
      <c r="AJ100" s="112">
        <f>AH100*AI100</f>
        <v>15.928949652777783</v>
      </c>
      <c r="AK100" s="130">
        <f t="shared" si="19"/>
        <v>7.6300000000000005E-3</v>
      </c>
    </row>
    <row r="101" spans="1:37" x14ac:dyDescent="0.15">
      <c r="A101" s="39"/>
      <c r="B101" s="39" t="s">
        <v>139</v>
      </c>
      <c r="C101" s="101" t="s">
        <v>153</v>
      </c>
      <c r="D101" s="102"/>
      <c r="E101" s="103">
        <v>250</v>
      </c>
      <c r="G101" s="104">
        <v>2.3031999999999999E-5</v>
      </c>
      <c r="H101" s="104">
        <v>2.3031999999999999E-5</v>
      </c>
      <c r="I101" s="104">
        <v>2.3031999999999999E-5</v>
      </c>
      <c r="K101" s="105">
        <f t="shared" si="21"/>
        <v>5.7579999999999992E-3</v>
      </c>
      <c r="M101" s="105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7"/>
      <c r="AB101" s="108"/>
      <c r="AC101" s="109"/>
      <c r="AD101" s="110"/>
      <c r="AE101" s="110"/>
      <c r="AF101" s="110"/>
      <c r="AG101" s="108"/>
      <c r="AH101" s="109"/>
      <c r="AI101" s="111"/>
      <c r="AJ101" s="112"/>
      <c r="AK101" s="130">
        <f t="shared" si="19"/>
        <v>2.3031999999999996E-5</v>
      </c>
    </row>
    <row r="102" spans="1:37" x14ac:dyDescent="0.15">
      <c r="A102" s="39"/>
      <c r="B102" s="39" t="s">
        <v>139</v>
      </c>
      <c r="C102" s="101" t="s">
        <v>164</v>
      </c>
      <c r="D102" s="102"/>
      <c r="E102" s="103">
        <v>25</v>
      </c>
      <c r="G102" s="104">
        <v>7.9799999999999992E-3</v>
      </c>
      <c r="H102" s="104">
        <v>5.7200000000000003E-3</v>
      </c>
      <c r="I102" s="104">
        <v>7.7799999999999996E-3</v>
      </c>
      <c r="K102" s="105">
        <f t="shared" si="21"/>
        <v>0.17899999999999999</v>
      </c>
      <c r="M102" s="105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7"/>
      <c r="AB102" s="108"/>
      <c r="AC102" s="109"/>
      <c r="AD102" s="110"/>
      <c r="AE102" s="110"/>
      <c r="AF102" s="110"/>
      <c r="AG102" s="108"/>
      <c r="AH102" s="109"/>
      <c r="AI102" s="111"/>
      <c r="AJ102" s="112"/>
      <c r="AK102" s="130">
        <f t="shared" si="19"/>
        <v>7.1599999999999997E-3</v>
      </c>
    </row>
    <row r="103" spans="1:37" x14ac:dyDescent="0.15">
      <c r="A103" s="39"/>
      <c r="B103" s="39" t="s">
        <v>139</v>
      </c>
      <c r="C103" s="101" t="s">
        <v>155</v>
      </c>
      <c r="D103" s="102"/>
      <c r="E103" s="103">
        <v>90</v>
      </c>
      <c r="G103" s="104">
        <v>7.2459999999999997E-2</v>
      </c>
      <c r="H103" s="104">
        <v>7.8659999999999994E-2</v>
      </c>
      <c r="I103" s="104">
        <v>8.4680000000000005E-2</v>
      </c>
      <c r="K103" s="105">
        <f t="shared" si="21"/>
        <v>7.073999999999999</v>
      </c>
      <c r="M103" s="105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7"/>
      <c r="AB103" s="108"/>
      <c r="AC103" s="109"/>
      <c r="AD103" s="110"/>
      <c r="AE103" s="110"/>
      <c r="AF103" s="110"/>
      <c r="AG103" s="108"/>
      <c r="AH103" s="109"/>
      <c r="AI103" s="111"/>
      <c r="AJ103" s="112"/>
      <c r="AK103" s="130">
        <f t="shared" si="19"/>
        <v>7.8599999999999989E-2</v>
      </c>
    </row>
    <row r="104" spans="1:37" x14ac:dyDescent="0.15">
      <c r="A104" s="39"/>
      <c r="B104" s="39" t="s">
        <v>139</v>
      </c>
      <c r="C104" s="101" t="s">
        <v>202</v>
      </c>
      <c r="D104" s="102"/>
      <c r="E104" s="103">
        <v>200</v>
      </c>
      <c r="G104" s="104">
        <v>3.175E-2</v>
      </c>
      <c r="H104" s="104">
        <v>4.8000000000000001E-2</v>
      </c>
      <c r="I104" s="104">
        <v>3.9300000000000002E-2</v>
      </c>
      <c r="K104" s="105">
        <f t="shared" si="21"/>
        <v>7.9366666666666665</v>
      </c>
      <c r="M104" s="105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7"/>
      <c r="AB104" s="108"/>
      <c r="AC104" s="109"/>
      <c r="AD104" s="110"/>
      <c r="AE104" s="110"/>
      <c r="AF104" s="110"/>
      <c r="AG104" s="108"/>
      <c r="AH104" s="109"/>
      <c r="AI104" s="111"/>
      <c r="AJ104" s="112"/>
      <c r="AK104" s="130">
        <f t="shared" si="19"/>
        <v>3.9683333333333334E-2</v>
      </c>
    </row>
    <row r="105" spans="1:37" x14ac:dyDescent="0.15">
      <c r="A105" s="39"/>
      <c r="B105" s="39" t="s">
        <v>139</v>
      </c>
      <c r="C105" s="101" t="s">
        <v>203</v>
      </c>
      <c r="D105" s="102"/>
      <c r="E105" s="103">
        <v>30</v>
      </c>
      <c r="G105" s="104">
        <v>6.8599999999999994E-2</v>
      </c>
      <c r="H105" s="104">
        <v>8.9950000000000002E-2</v>
      </c>
      <c r="I105" s="104">
        <v>8.7919999999999998E-2</v>
      </c>
      <c r="K105" s="105">
        <f t="shared" si="21"/>
        <v>2.4647000000000001</v>
      </c>
      <c r="M105" s="105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7"/>
      <c r="AB105" s="108"/>
      <c r="AC105" s="109"/>
      <c r="AD105" s="110"/>
      <c r="AE105" s="110"/>
      <c r="AF105" s="110"/>
      <c r="AG105" s="108"/>
      <c r="AH105" s="109"/>
      <c r="AI105" s="111"/>
      <c r="AJ105" s="112"/>
      <c r="AK105" s="130">
        <f t="shared" si="19"/>
        <v>8.215666666666667E-2</v>
      </c>
    </row>
    <row r="106" spans="1:37" x14ac:dyDescent="0.15">
      <c r="A106" s="39"/>
      <c r="B106" s="39" t="s">
        <v>139</v>
      </c>
      <c r="C106" s="101" t="s">
        <v>204</v>
      </c>
      <c r="D106" s="102"/>
      <c r="E106" s="103">
        <v>120</v>
      </c>
      <c r="G106" s="104">
        <v>4.8899999999999999E-2</v>
      </c>
      <c r="H106" s="104">
        <v>3.9899999999999998E-2</v>
      </c>
      <c r="I106" s="104">
        <v>4.4999999999999998E-2</v>
      </c>
      <c r="K106" s="105">
        <f t="shared" si="21"/>
        <v>5.3519999999999994</v>
      </c>
      <c r="M106" s="105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7"/>
      <c r="AB106" s="108"/>
      <c r="AC106" s="109"/>
      <c r="AD106" s="110"/>
      <c r="AE106" s="110"/>
      <c r="AF106" s="110"/>
      <c r="AG106" s="108"/>
      <c r="AH106" s="109"/>
      <c r="AI106" s="111"/>
      <c r="AJ106" s="112"/>
      <c r="AK106" s="130">
        <f t="shared" si="19"/>
        <v>4.4599999999999994E-2</v>
      </c>
    </row>
    <row r="107" spans="1:37" x14ac:dyDescent="0.15">
      <c r="A107" s="39"/>
      <c r="B107" s="39" t="s">
        <v>139</v>
      </c>
      <c r="C107" s="101" t="s">
        <v>169</v>
      </c>
      <c r="D107" s="102"/>
      <c r="E107" s="103">
        <v>6</v>
      </c>
      <c r="G107" s="104">
        <v>0.5</v>
      </c>
      <c r="H107" s="104">
        <v>0.29166667000000002</v>
      </c>
      <c r="I107" s="104">
        <v>0.4</v>
      </c>
      <c r="K107" s="105">
        <f t="shared" si="21"/>
        <v>2.3833333400000001</v>
      </c>
      <c r="M107" s="105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7"/>
      <c r="AB107" s="108"/>
      <c r="AC107" s="109"/>
      <c r="AD107" s="110"/>
      <c r="AE107" s="110"/>
      <c r="AF107" s="110"/>
      <c r="AG107" s="108"/>
      <c r="AH107" s="109"/>
      <c r="AI107" s="111"/>
      <c r="AJ107" s="112"/>
      <c r="AK107" s="130">
        <f t="shared" si="19"/>
        <v>0.39722222333333335</v>
      </c>
    </row>
    <row r="108" spans="1:37" x14ac:dyDescent="0.15">
      <c r="A108" s="39"/>
      <c r="B108" s="39" t="s">
        <v>87</v>
      </c>
      <c r="C108" s="114"/>
      <c r="D108" s="115"/>
      <c r="G108" s="105"/>
      <c r="H108" s="105"/>
      <c r="I108" s="105"/>
      <c r="K108" s="105">
        <f>SUM(K100:K107)</f>
        <v>30.164208006666669</v>
      </c>
      <c r="L108" s="105">
        <f>K108*D99*AA$22</f>
        <v>11613.220082566668</v>
      </c>
      <c r="M108" s="105"/>
      <c r="N108" s="105">
        <f>M108*D99*AA$22</f>
        <v>0</v>
      </c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7"/>
      <c r="AB108" s="108"/>
      <c r="AC108" s="109"/>
      <c r="AD108" s="116"/>
      <c r="AE108" s="116"/>
      <c r="AF108" s="116"/>
      <c r="AG108" s="108"/>
      <c r="AH108" s="109"/>
      <c r="AI108" s="111"/>
      <c r="AJ108" s="112"/>
      <c r="AK108" s="130" t="e">
        <f t="shared" si="19"/>
        <v>#DIV/0!</v>
      </c>
    </row>
    <row r="109" spans="1:37" ht="11.4" x14ac:dyDescent="0.15">
      <c r="A109" s="82" t="s">
        <v>139</v>
      </c>
      <c r="B109" s="82" t="s">
        <v>87</v>
      </c>
      <c r="C109" s="94" t="s">
        <v>205</v>
      </c>
      <c r="D109" s="95">
        <v>3.5000000000000003E-2</v>
      </c>
      <c r="E109" s="83"/>
      <c r="F109" s="82">
        <v>1200</v>
      </c>
      <c r="G109" s="117"/>
      <c r="H109" s="96"/>
      <c r="I109" s="96"/>
      <c r="J109" s="82"/>
      <c r="K109" s="88"/>
      <c r="L109" s="82"/>
      <c r="M109" s="97"/>
      <c r="N109" s="82"/>
      <c r="O109" s="84">
        <f t="shared" ref="O109:Z109" si="23">INT(O$22*$D109)</f>
        <v>10</v>
      </c>
      <c r="P109" s="84">
        <f t="shared" si="23"/>
        <v>9</v>
      </c>
      <c r="Q109" s="84">
        <f t="shared" si="23"/>
        <v>16</v>
      </c>
      <c r="R109" s="84">
        <f t="shared" si="23"/>
        <v>17</v>
      </c>
      <c r="S109" s="84">
        <f t="shared" si="23"/>
        <v>21</v>
      </c>
      <c r="T109" s="84">
        <f t="shared" si="23"/>
        <v>20</v>
      </c>
      <c r="U109" s="84">
        <f t="shared" si="23"/>
        <v>16</v>
      </c>
      <c r="V109" s="84">
        <f t="shared" si="23"/>
        <v>19</v>
      </c>
      <c r="W109" s="84">
        <f t="shared" si="23"/>
        <v>17</v>
      </c>
      <c r="X109" s="84">
        <f t="shared" si="23"/>
        <v>16</v>
      </c>
      <c r="Y109" s="84">
        <f t="shared" si="23"/>
        <v>15</v>
      </c>
      <c r="Z109" s="84">
        <f t="shared" si="23"/>
        <v>10</v>
      </c>
      <c r="AA109" s="98">
        <f>SUM(O109:Z109)</f>
        <v>186</v>
      </c>
      <c r="AB109" s="99" t="s">
        <v>151</v>
      </c>
      <c r="AC109" s="100" t="s">
        <v>151</v>
      </c>
      <c r="AD109" s="91"/>
      <c r="AE109" s="91"/>
      <c r="AF109" s="91" t="s">
        <v>151</v>
      </c>
      <c r="AG109" s="99" t="s">
        <v>151</v>
      </c>
      <c r="AH109" s="100" t="s">
        <v>151</v>
      </c>
      <c r="AI109" s="92">
        <f>SUM(G109:I109)/3</f>
        <v>0</v>
      </c>
      <c r="AJ109" s="93" t="s">
        <v>151</v>
      </c>
      <c r="AK109" s="130" t="e">
        <f t="shared" si="19"/>
        <v>#DIV/0!</v>
      </c>
    </row>
    <row r="110" spans="1:37" x14ac:dyDescent="0.15">
      <c r="A110" s="39"/>
      <c r="B110" s="39" t="s">
        <v>139</v>
      </c>
      <c r="C110" s="101" t="s">
        <v>206</v>
      </c>
      <c r="D110" s="102"/>
      <c r="E110" s="103">
        <v>500</v>
      </c>
      <c r="G110" s="104">
        <v>1.0500000000000001E-2</v>
      </c>
      <c r="H110" s="104">
        <v>9.75E-3</v>
      </c>
      <c r="I110" s="104">
        <v>1.18E-2</v>
      </c>
      <c r="K110" s="105">
        <f t="shared" ref="K110:K119" si="24">AVERAGE(G110:I110)*E110</f>
        <v>5.3416666666666677</v>
      </c>
      <c r="M110" s="105"/>
      <c r="O110" s="106">
        <f>O$109*$E110</f>
        <v>5000</v>
      </c>
      <c r="P110" s="106">
        <f t="shared" ref="P110:Z110" si="25">P$109*$E110</f>
        <v>4500</v>
      </c>
      <c r="Q110" s="106">
        <f t="shared" si="25"/>
        <v>8000</v>
      </c>
      <c r="R110" s="106">
        <f t="shared" si="25"/>
        <v>8500</v>
      </c>
      <c r="S110" s="106">
        <f t="shared" si="25"/>
        <v>10500</v>
      </c>
      <c r="T110" s="106">
        <f t="shared" si="25"/>
        <v>10000</v>
      </c>
      <c r="U110" s="106">
        <f t="shared" si="25"/>
        <v>8000</v>
      </c>
      <c r="V110" s="106">
        <f t="shared" si="25"/>
        <v>9500</v>
      </c>
      <c r="W110" s="106">
        <f t="shared" si="25"/>
        <v>8500</v>
      </c>
      <c r="X110" s="106">
        <f t="shared" si="25"/>
        <v>8000</v>
      </c>
      <c r="Y110" s="106">
        <f t="shared" si="25"/>
        <v>7500</v>
      </c>
      <c r="Z110" s="106">
        <f t="shared" si="25"/>
        <v>5000</v>
      </c>
      <c r="AA110" s="107">
        <f>SUM(O110:Z110)</f>
        <v>93000</v>
      </c>
      <c r="AB110" s="108">
        <f>MAX(O110:Z110,1)/4/6</f>
        <v>437.5</v>
      </c>
      <c r="AC110" s="109">
        <f>AA110/12/4/6</f>
        <v>322.91666666666669</v>
      </c>
      <c r="AD110" s="110">
        <v>4</v>
      </c>
      <c r="AE110" s="110">
        <v>2</v>
      </c>
      <c r="AF110" s="110">
        <v>3.09</v>
      </c>
      <c r="AG110" s="108">
        <f>(AB110-AC110)*(AD110-AE110)*AF110</f>
        <v>708.12499999999989</v>
      </c>
      <c r="AH110" s="109">
        <f>(AC110/2)+AG110</f>
        <v>869.58333333333326</v>
      </c>
      <c r="AI110" s="111">
        <f>SUM(G110:I110)/3</f>
        <v>1.0683333333333335E-2</v>
      </c>
      <c r="AJ110" s="112">
        <f>AH110*AI110</f>
        <v>9.2900486111111107</v>
      </c>
      <c r="AK110" s="130">
        <f t="shared" si="19"/>
        <v>1.0683333333333335E-2</v>
      </c>
    </row>
    <row r="111" spans="1:37" x14ac:dyDescent="0.15">
      <c r="A111" s="39"/>
      <c r="B111" s="39" t="s">
        <v>139</v>
      </c>
      <c r="C111" s="101" t="s">
        <v>182</v>
      </c>
      <c r="D111" s="102"/>
      <c r="E111" s="103">
        <v>65</v>
      </c>
      <c r="G111" s="104">
        <v>8.0000000000000002E-3</v>
      </c>
      <c r="H111" s="104">
        <v>8.9999999999999993E-3</v>
      </c>
      <c r="I111" s="104">
        <v>0.01</v>
      </c>
      <c r="K111" s="105">
        <f t="shared" si="24"/>
        <v>0.58500000000000008</v>
      </c>
      <c r="M111" s="105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7"/>
      <c r="AB111" s="108"/>
      <c r="AC111" s="109"/>
      <c r="AD111" s="110"/>
      <c r="AE111" s="110"/>
      <c r="AF111" s="110"/>
      <c r="AG111" s="108"/>
      <c r="AH111" s="109"/>
      <c r="AI111" s="111"/>
      <c r="AJ111" s="112"/>
      <c r="AK111" s="130">
        <f t="shared" si="19"/>
        <v>9.0000000000000011E-3</v>
      </c>
    </row>
    <row r="112" spans="1:37" x14ac:dyDescent="0.15">
      <c r="A112" s="39"/>
      <c r="B112" s="39" t="s">
        <v>139</v>
      </c>
      <c r="C112" s="101" t="s">
        <v>169</v>
      </c>
      <c r="D112" s="102"/>
      <c r="E112" s="103">
        <v>6</v>
      </c>
      <c r="G112" s="104">
        <v>0.5</v>
      </c>
      <c r="H112" s="104">
        <v>0.29166667000000002</v>
      </c>
      <c r="I112" s="104">
        <v>0.4</v>
      </c>
      <c r="K112" s="105">
        <f t="shared" si="24"/>
        <v>2.3833333400000001</v>
      </c>
      <c r="M112" s="105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7"/>
      <c r="AB112" s="108"/>
      <c r="AC112" s="109"/>
      <c r="AD112" s="110"/>
      <c r="AE112" s="110"/>
      <c r="AF112" s="110"/>
      <c r="AG112" s="108"/>
      <c r="AH112" s="109"/>
      <c r="AI112" s="111"/>
      <c r="AJ112" s="112"/>
      <c r="AK112" s="130">
        <f t="shared" si="19"/>
        <v>0.39722222333333335</v>
      </c>
    </row>
    <row r="113" spans="1:37" x14ac:dyDescent="0.15">
      <c r="A113" s="39"/>
      <c r="B113" s="39" t="s">
        <v>139</v>
      </c>
      <c r="C113" s="101" t="s">
        <v>207</v>
      </c>
      <c r="D113" s="102"/>
      <c r="E113" s="103">
        <v>15</v>
      </c>
      <c r="G113" s="104">
        <v>5.5E-2</v>
      </c>
      <c r="H113" s="104">
        <v>2.8000000000000001E-2</v>
      </c>
      <c r="I113" s="104">
        <v>3.9949999999999999E-2</v>
      </c>
      <c r="K113" s="105">
        <f t="shared" si="24"/>
        <v>0.61475000000000002</v>
      </c>
      <c r="M113" s="105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7"/>
      <c r="AB113" s="108"/>
      <c r="AC113" s="109"/>
      <c r="AD113" s="110"/>
      <c r="AE113" s="110"/>
      <c r="AF113" s="110"/>
      <c r="AG113" s="108"/>
      <c r="AH113" s="109"/>
      <c r="AI113" s="111"/>
      <c r="AJ113" s="112"/>
      <c r="AK113" s="130">
        <f t="shared" si="19"/>
        <v>4.0983333333333337E-2</v>
      </c>
    </row>
    <row r="114" spans="1:37" x14ac:dyDescent="0.15">
      <c r="A114" s="39"/>
      <c r="B114" s="39" t="s">
        <v>139</v>
      </c>
      <c r="C114" s="101" t="s">
        <v>164</v>
      </c>
      <c r="D114" s="102"/>
      <c r="E114" s="103">
        <v>5</v>
      </c>
      <c r="G114" s="104">
        <v>7.9799999999999992E-3</v>
      </c>
      <c r="H114" s="104">
        <v>5.7200000000000003E-3</v>
      </c>
      <c r="I114" s="104">
        <v>7.7799999999999996E-3</v>
      </c>
      <c r="K114" s="105">
        <f t="shared" si="24"/>
        <v>3.5799999999999998E-2</v>
      </c>
      <c r="M114" s="105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7"/>
      <c r="AB114" s="108"/>
      <c r="AC114" s="109"/>
      <c r="AD114" s="110"/>
      <c r="AE114" s="110"/>
      <c r="AF114" s="110"/>
      <c r="AG114" s="108"/>
      <c r="AH114" s="109"/>
      <c r="AI114" s="111"/>
      <c r="AJ114" s="112"/>
      <c r="AK114" s="130">
        <f t="shared" si="19"/>
        <v>7.1599999999999997E-3</v>
      </c>
    </row>
    <row r="115" spans="1:37" x14ac:dyDescent="0.15">
      <c r="A115" s="39"/>
      <c r="B115" s="39" t="s">
        <v>139</v>
      </c>
      <c r="C115" s="101" t="s">
        <v>208</v>
      </c>
      <c r="D115" s="102"/>
      <c r="E115" s="103">
        <v>120</v>
      </c>
      <c r="G115" s="104">
        <v>5.7599999999999998E-2</v>
      </c>
      <c r="H115" s="104">
        <v>9.5920000000000005E-2</v>
      </c>
      <c r="I115" s="104">
        <v>0.14499999999999999</v>
      </c>
      <c r="K115" s="105">
        <f t="shared" si="24"/>
        <v>11.940800000000001</v>
      </c>
      <c r="M115" s="105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7"/>
      <c r="AB115" s="108"/>
      <c r="AC115" s="109"/>
      <c r="AD115" s="110"/>
      <c r="AE115" s="110"/>
      <c r="AF115" s="110"/>
      <c r="AG115" s="108"/>
      <c r="AH115" s="109"/>
      <c r="AI115" s="111"/>
      <c r="AJ115" s="112"/>
      <c r="AK115" s="130">
        <f t="shared" si="19"/>
        <v>9.9506666666666674E-2</v>
      </c>
    </row>
    <row r="116" spans="1:37" x14ac:dyDescent="0.15">
      <c r="A116" s="39"/>
      <c r="B116" s="39" t="s">
        <v>139</v>
      </c>
      <c r="C116" s="101" t="s">
        <v>209</v>
      </c>
      <c r="D116" s="102"/>
      <c r="E116" s="103">
        <v>30</v>
      </c>
      <c r="G116" s="104">
        <v>3.56E-2</v>
      </c>
      <c r="H116" s="104">
        <v>5.9312499999999997E-2</v>
      </c>
      <c r="I116" s="104">
        <v>2.4533333333333001E-2</v>
      </c>
      <c r="K116" s="105">
        <f t="shared" si="24"/>
        <v>1.1944583333333298</v>
      </c>
      <c r="M116" s="105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7"/>
      <c r="AB116" s="108"/>
      <c r="AC116" s="109"/>
      <c r="AD116" s="110"/>
      <c r="AE116" s="110"/>
      <c r="AF116" s="110"/>
      <c r="AG116" s="108"/>
      <c r="AH116" s="109"/>
      <c r="AI116" s="111"/>
      <c r="AJ116" s="112"/>
      <c r="AK116" s="130">
        <f t="shared" si="19"/>
        <v>3.9815277777777665E-2</v>
      </c>
    </row>
    <row r="117" spans="1:37" x14ac:dyDescent="0.15">
      <c r="A117" s="39"/>
      <c r="B117" s="39" t="s">
        <v>139</v>
      </c>
      <c r="C117" s="101" t="s">
        <v>210</v>
      </c>
      <c r="D117" s="102"/>
      <c r="E117" s="103">
        <v>100</v>
      </c>
      <c r="G117" s="104">
        <v>8.1024499999999999E-2</v>
      </c>
      <c r="H117" s="104">
        <v>8.1939999999999999E-2</v>
      </c>
      <c r="I117" s="104">
        <v>9.1298333333333301E-2</v>
      </c>
      <c r="K117" s="105">
        <f t="shared" si="24"/>
        <v>8.475427777777778</v>
      </c>
      <c r="M117" s="105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7"/>
      <c r="AB117" s="108"/>
      <c r="AC117" s="109"/>
      <c r="AD117" s="110"/>
      <c r="AE117" s="110"/>
      <c r="AF117" s="110"/>
      <c r="AG117" s="108"/>
      <c r="AH117" s="109"/>
      <c r="AI117" s="111"/>
      <c r="AJ117" s="112"/>
      <c r="AK117" s="130">
        <f t="shared" si="19"/>
        <v>8.4754277777777776E-2</v>
      </c>
    </row>
    <row r="118" spans="1:37" x14ac:dyDescent="0.15">
      <c r="A118" s="39"/>
      <c r="B118" s="39" t="s">
        <v>139</v>
      </c>
      <c r="C118" s="101" t="s">
        <v>155</v>
      </c>
      <c r="D118" s="102"/>
      <c r="E118" s="103">
        <v>30</v>
      </c>
      <c r="G118" s="104">
        <v>7.2459999999999997E-2</v>
      </c>
      <c r="H118" s="104">
        <v>7.8659999999999994E-2</v>
      </c>
      <c r="I118" s="104">
        <v>8.4680000000000005E-2</v>
      </c>
      <c r="K118" s="105">
        <f t="shared" si="24"/>
        <v>2.3579999999999997</v>
      </c>
      <c r="M118" s="105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7"/>
      <c r="AB118" s="108"/>
      <c r="AC118" s="109"/>
      <c r="AD118" s="110"/>
      <c r="AE118" s="110"/>
      <c r="AF118" s="110"/>
      <c r="AG118" s="108"/>
      <c r="AH118" s="109"/>
      <c r="AI118" s="111"/>
      <c r="AJ118" s="112"/>
      <c r="AK118" s="130">
        <f t="shared" si="19"/>
        <v>7.8599999999999989E-2</v>
      </c>
    </row>
    <row r="119" spans="1:37" x14ac:dyDescent="0.15">
      <c r="A119" s="39"/>
      <c r="B119" s="39" t="s">
        <v>139</v>
      </c>
      <c r="C119" s="101" t="s">
        <v>182</v>
      </c>
      <c r="D119" s="102"/>
      <c r="E119" s="103">
        <v>15</v>
      </c>
      <c r="G119" s="104">
        <v>8.0000000000000002E-3</v>
      </c>
      <c r="H119" s="104">
        <v>8.9999999999999993E-3</v>
      </c>
      <c r="I119" s="104">
        <v>0.01</v>
      </c>
      <c r="K119" s="105">
        <f t="shared" si="24"/>
        <v>0.13500000000000001</v>
      </c>
      <c r="M119" s="105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7"/>
      <c r="AB119" s="108"/>
      <c r="AC119" s="109"/>
      <c r="AD119" s="110"/>
      <c r="AE119" s="110"/>
      <c r="AF119" s="110"/>
      <c r="AG119" s="108"/>
      <c r="AH119" s="109"/>
      <c r="AI119" s="111"/>
      <c r="AJ119" s="112"/>
      <c r="AK119" s="130">
        <f t="shared" si="19"/>
        <v>9.0000000000000011E-3</v>
      </c>
    </row>
    <row r="120" spans="1:37" x14ac:dyDescent="0.15">
      <c r="A120" s="39"/>
      <c r="B120" s="39" t="s">
        <v>87</v>
      </c>
      <c r="C120" s="114"/>
      <c r="D120" s="115"/>
      <c r="G120" s="105"/>
      <c r="H120" s="105"/>
      <c r="I120" s="105"/>
      <c r="K120" s="105">
        <f>SUM(K110:K119)</f>
        <v>33.064236117777774</v>
      </c>
      <c r="L120" s="105">
        <f>K120*D109*AA$22</f>
        <v>6364.8654526722221</v>
      </c>
      <c r="M120" s="105"/>
      <c r="N120" s="105">
        <f>M120*D109*AA$22</f>
        <v>0</v>
      </c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7"/>
      <c r="AB120" s="108"/>
      <c r="AC120" s="109"/>
      <c r="AD120" s="116"/>
      <c r="AE120" s="116"/>
      <c r="AF120" s="116"/>
      <c r="AG120" s="108"/>
      <c r="AH120" s="109"/>
      <c r="AI120" s="111"/>
      <c r="AJ120" s="112"/>
      <c r="AK120" s="130" t="e">
        <f t="shared" si="19"/>
        <v>#DIV/0!</v>
      </c>
    </row>
    <row r="121" spans="1:37" ht="11.4" x14ac:dyDescent="0.15">
      <c r="A121" s="82" t="s">
        <v>139</v>
      </c>
      <c r="B121" s="82" t="s">
        <v>87</v>
      </c>
      <c r="C121" s="94" t="s">
        <v>211</v>
      </c>
      <c r="D121" s="95">
        <v>0.1</v>
      </c>
      <c r="E121" s="83"/>
      <c r="F121" s="82">
        <v>2000</v>
      </c>
      <c r="G121" s="117"/>
      <c r="H121" s="96"/>
      <c r="I121" s="96"/>
      <c r="J121" s="82"/>
      <c r="K121" s="88"/>
      <c r="L121" s="82"/>
      <c r="M121" s="97"/>
      <c r="N121" s="82"/>
      <c r="O121" s="84">
        <f t="shared" ref="O121:Z121" si="26">INT(O$22*$D121)</f>
        <v>30</v>
      </c>
      <c r="P121" s="84">
        <f t="shared" si="26"/>
        <v>27</v>
      </c>
      <c r="Q121" s="84">
        <f t="shared" si="26"/>
        <v>48</v>
      </c>
      <c r="R121" s="84">
        <f t="shared" si="26"/>
        <v>49</v>
      </c>
      <c r="S121" s="84">
        <f t="shared" si="26"/>
        <v>60</v>
      </c>
      <c r="T121" s="84">
        <f t="shared" si="26"/>
        <v>58</v>
      </c>
      <c r="U121" s="84">
        <f t="shared" si="26"/>
        <v>48</v>
      </c>
      <c r="V121" s="84">
        <f t="shared" si="26"/>
        <v>54</v>
      </c>
      <c r="W121" s="84">
        <f t="shared" si="26"/>
        <v>49</v>
      </c>
      <c r="X121" s="84">
        <f t="shared" si="26"/>
        <v>48</v>
      </c>
      <c r="Y121" s="84">
        <f t="shared" si="26"/>
        <v>43</v>
      </c>
      <c r="Z121" s="84">
        <f t="shared" si="26"/>
        <v>30</v>
      </c>
      <c r="AA121" s="98">
        <f>SUM(O121:Z121)</f>
        <v>544</v>
      </c>
      <c r="AB121" s="99" t="s">
        <v>151</v>
      </c>
      <c r="AC121" s="100" t="s">
        <v>151</v>
      </c>
      <c r="AD121" s="91"/>
      <c r="AE121" s="91"/>
      <c r="AF121" s="91" t="s">
        <v>151</v>
      </c>
      <c r="AG121" s="99" t="s">
        <v>151</v>
      </c>
      <c r="AH121" s="100" t="s">
        <v>151</v>
      </c>
      <c r="AI121" s="92">
        <f>SUM(G121:I121)/3</f>
        <v>0</v>
      </c>
      <c r="AJ121" s="93" t="s">
        <v>151</v>
      </c>
      <c r="AK121" s="130" t="e">
        <f t="shared" si="19"/>
        <v>#DIV/0!</v>
      </c>
    </row>
    <row r="122" spans="1:37" x14ac:dyDescent="0.15">
      <c r="A122" s="39"/>
      <c r="B122" s="39" t="s">
        <v>139</v>
      </c>
      <c r="C122" s="101" t="s">
        <v>212</v>
      </c>
      <c r="D122" s="102"/>
      <c r="E122" s="103">
        <v>800</v>
      </c>
      <c r="G122" s="118">
        <v>1.4999999999999999E-2</v>
      </c>
      <c r="H122" s="118">
        <v>1.4445E-2</v>
      </c>
      <c r="I122" s="118">
        <v>1.34E-2</v>
      </c>
      <c r="K122" s="105">
        <f t="shared" ref="K122:K130" si="27">AVERAGE(G122:I122)*E122</f>
        <v>11.425333333333333</v>
      </c>
      <c r="M122" s="105"/>
      <c r="O122" s="106">
        <f>O$121*$E122</f>
        <v>24000</v>
      </c>
      <c r="P122" s="106">
        <f t="shared" ref="P122:Z122" si="28">P$121*$E122</f>
        <v>21600</v>
      </c>
      <c r="Q122" s="106">
        <f t="shared" si="28"/>
        <v>38400</v>
      </c>
      <c r="R122" s="106">
        <f t="shared" si="28"/>
        <v>39200</v>
      </c>
      <c r="S122" s="106">
        <f t="shared" si="28"/>
        <v>48000</v>
      </c>
      <c r="T122" s="106">
        <f t="shared" si="28"/>
        <v>46400</v>
      </c>
      <c r="U122" s="106">
        <f t="shared" si="28"/>
        <v>38400</v>
      </c>
      <c r="V122" s="106">
        <f t="shared" si="28"/>
        <v>43200</v>
      </c>
      <c r="W122" s="106">
        <f t="shared" si="28"/>
        <v>39200</v>
      </c>
      <c r="X122" s="106">
        <f t="shared" si="28"/>
        <v>38400</v>
      </c>
      <c r="Y122" s="106">
        <f t="shared" si="28"/>
        <v>34400</v>
      </c>
      <c r="Z122" s="106">
        <f t="shared" si="28"/>
        <v>24000</v>
      </c>
      <c r="AA122" s="107">
        <f>SUM(O122:Z122)</f>
        <v>435200</v>
      </c>
      <c r="AB122" s="108">
        <f>MAX(O122:Z122,1)/4/6</f>
        <v>2000</v>
      </c>
      <c r="AC122" s="109">
        <f>AA122/12/4/6</f>
        <v>1511.1111111111111</v>
      </c>
      <c r="AD122" s="110">
        <v>7</v>
      </c>
      <c r="AE122" s="110">
        <v>5</v>
      </c>
      <c r="AF122" s="110">
        <v>3.09</v>
      </c>
      <c r="AG122" s="108">
        <f>(AB122-AC122)*(AD122-AE122)*AF122</f>
        <v>3021.3333333333335</v>
      </c>
      <c r="AH122" s="109">
        <f>(AC122/2)+AG122</f>
        <v>3776.8888888888891</v>
      </c>
      <c r="AI122" s="111">
        <f>SUM(G122:I122)/3</f>
        <v>1.4281666666666666E-2</v>
      </c>
      <c r="AJ122" s="112">
        <f>AH122*AI122</f>
        <v>53.940268148148149</v>
      </c>
      <c r="AK122" s="130">
        <f t="shared" si="19"/>
        <v>1.4281666666666666E-2</v>
      </c>
    </row>
    <row r="123" spans="1:37" x14ac:dyDescent="0.15">
      <c r="A123" s="39"/>
      <c r="B123" s="39" t="s">
        <v>139</v>
      </c>
      <c r="C123" s="101" t="s">
        <v>213</v>
      </c>
      <c r="D123" s="102"/>
      <c r="E123" s="103">
        <v>400</v>
      </c>
      <c r="G123" s="104">
        <v>8.3333333333333297E-3</v>
      </c>
      <c r="H123" s="104">
        <v>3.4500000000000003E-2</v>
      </c>
      <c r="I123" s="104">
        <v>7.4999999999999997E-3</v>
      </c>
      <c r="K123" s="105">
        <f t="shared" si="27"/>
        <v>6.7111111111111104</v>
      </c>
      <c r="M123" s="105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7"/>
      <c r="AB123" s="108"/>
      <c r="AC123" s="109"/>
      <c r="AD123" s="110"/>
      <c r="AE123" s="110"/>
      <c r="AF123" s="110"/>
      <c r="AG123" s="108"/>
      <c r="AH123" s="109"/>
      <c r="AI123" s="111"/>
      <c r="AJ123" s="112"/>
      <c r="AK123" s="130">
        <f t="shared" si="19"/>
        <v>1.6777777777777777E-2</v>
      </c>
    </row>
    <row r="124" spans="1:37" x14ac:dyDescent="0.15">
      <c r="A124" s="39"/>
      <c r="B124" s="39" t="s">
        <v>139</v>
      </c>
      <c r="C124" s="101" t="s">
        <v>214</v>
      </c>
      <c r="D124" s="102"/>
      <c r="E124" s="103">
        <v>250</v>
      </c>
      <c r="G124" s="104">
        <v>0.03</v>
      </c>
      <c r="H124" s="104">
        <v>3.4633333333333301E-2</v>
      </c>
      <c r="I124" s="104">
        <v>2.7633333333333301E-2</v>
      </c>
      <c r="K124" s="105">
        <f t="shared" si="27"/>
        <v>7.6888888888888829</v>
      </c>
      <c r="M124" s="105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7"/>
      <c r="AB124" s="108"/>
      <c r="AC124" s="109"/>
      <c r="AD124" s="110"/>
      <c r="AE124" s="110"/>
      <c r="AF124" s="110"/>
      <c r="AG124" s="108"/>
      <c r="AH124" s="109"/>
      <c r="AI124" s="111"/>
      <c r="AJ124" s="112"/>
      <c r="AK124" s="130">
        <f t="shared" si="19"/>
        <v>3.0755555555555533E-2</v>
      </c>
    </row>
    <row r="125" spans="1:37" x14ac:dyDescent="0.15">
      <c r="A125" s="39"/>
      <c r="B125" s="39" t="s">
        <v>139</v>
      </c>
      <c r="C125" s="101" t="s">
        <v>169</v>
      </c>
      <c r="D125" s="102"/>
      <c r="E125" s="103">
        <v>6</v>
      </c>
      <c r="G125" s="104">
        <v>0.5</v>
      </c>
      <c r="H125" s="104">
        <v>0.29166667000000002</v>
      </c>
      <c r="I125" s="104">
        <v>0.4</v>
      </c>
      <c r="K125" s="105">
        <f t="shared" si="27"/>
        <v>2.3833333400000001</v>
      </c>
      <c r="M125" s="105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7"/>
      <c r="AB125" s="108"/>
      <c r="AC125" s="109"/>
      <c r="AD125" s="110"/>
      <c r="AE125" s="110"/>
      <c r="AF125" s="110"/>
      <c r="AG125" s="108"/>
      <c r="AH125" s="109"/>
      <c r="AI125" s="111"/>
      <c r="AJ125" s="112"/>
      <c r="AK125" s="130">
        <f t="shared" si="19"/>
        <v>0.39722222333333335</v>
      </c>
    </row>
    <row r="126" spans="1:37" x14ac:dyDescent="0.15">
      <c r="A126" s="39"/>
      <c r="B126" s="39" t="s">
        <v>139</v>
      </c>
      <c r="C126" s="101" t="s">
        <v>182</v>
      </c>
      <c r="D126" s="102"/>
      <c r="E126" s="103">
        <v>100</v>
      </c>
      <c r="G126" s="104">
        <v>8.0000000000000002E-3</v>
      </c>
      <c r="H126" s="104">
        <v>8.9999999999999993E-3</v>
      </c>
      <c r="I126" s="104">
        <v>0.01</v>
      </c>
      <c r="K126" s="105">
        <f t="shared" si="27"/>
        <v>0.90000000000000013</v>
      </c>
      <c r="M126" s="105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7"/>
      <c r="AB126" s="108"/>
      <c r="AC126" s="109"/>
      <c r="AD126" s="110"/>
      <c r="AE126" s="110"/>
      <c r="AF126" s="110"/>
      <c r="AG126" s="108"/>
      <c r="AH126" s="109"/>
      <c r="AI126" s="111"/>
      <c r="AJ126" s="112"/>
      <c r="AK126" s="130">
        <f t="shared" si="19"/>
        <v>9.0000000000000011E-3</v>
      </c>
    </row>
    <row r="127" spans="1:37" x14ac:dyDescent="0.15">
      <c r="A127" s="39"/>
      <c r="B127" s="39" t="s">
        <v>139</v>
      </c>
      <c r="C127" s="101" t="s">
        <v>155</v>
      </c>
      <c r="D127" s="102"/>
      <c r="E127" s="103">
        <v>15</v>
      </c>
      <c r="G127" s="104">
        <v>7.2459999999999997E-2</v>
      </c>
      <c r="H127" s="104">
        <v>7.8659999999999994E-2</v>
      </c>
      <c r="I127" s="104">
        <v>8.4680000000000005E-2</v>
      </c>
      <c r="K127" s="105">
        <f t="shared" si="27"/>
        <v>1.1789999999999998</v>
      </c>
      <c r="M127" s="105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07"/>
      <c r="AB127" s="108"/>
      <c r="AC127" s="109"/>
      <c r="AD127" s="110"/>
      <c r="AE127" s="110"/>
      <c r="AF127" s="110"/>
      <c r="AG127" s="108"/>
      <c r="AH127" s="109"/>
      <c r="AI127" s="111"/>
      <c r="AJ127" s="112"/>
      <c r="AK127" s="130">
        <f t="shared" si="19"/>
        <v>7.8599999999999989E-2</v>
      </c>
    </row>
    <row r="128" spans="1:37" x14ac:dyDescent="0.15">
      <c r="A128" s="39"/>
      <c r="B128" s="39" t="s">
        <v>139</v>
      </c>
      <c r="C128" s="101" t="s">
        <v>215</v>
      </c>
      <c r="D128" s="102"/>
      <c r="E128" s="103">
        <v>15</v>
      </c>
      <c r="G128" s="104">
        <v>4.5999999999999999E-2</v>
      </c>
      <c r="H128" s="104">
        <v>7.3913043479999996E-2</v>
      </c>
      <c r="I128" s="104">
        <v>3.9E-2</v>
      </c>
      <c r="K128" s="105">
        <f t="shared" si="27"/>
        <v>0.79456521739999997</v>
      </c>
      <c r="M128" s="105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7"/>
      <c r="AB128" s="108"/>
      <c r="AC128" s="109"/>
      <c r="AD128" s="110"/>
      <c r="AE128" s="110"/>
      <c r="AF128" s="110"/>
      <c r="AG128" s="108"/>
      <c r="AH128" s="109"/>
      <c r="AI128" s="111"/>
      <c r="AJ128" s="112"/>
      <c r="AK128" s="130">
        <f t="shared" si="19"/>
        <v>5.2971014493333329E-2</v>
      </c>
    </row>
    <row r="129" spans="1:37" x14ac:dyDescent="0.15">
      <c r="A129" s="39"/>
      <c r="B129" s="39" t="s">
        <v>139</v>
      </c>
      <c r="C129" s="101" t="s">
        <v>164</v>
      </c>
      <c r="D129" s="102"/>
      <c r="E129" s="103">
        <v>10</v>
      </c>
      <c r="G129" s="104">
        <v>7.9799999999999992E-3</v>
      </c>
      <c r="H129" s="104">
        <v>5.7200000000000003E-3</v>
      </c>
      <c r="I129" s="104">
        <v>7.7799999999999996E-3</v>
      </c>
      <c r="K129" s="105">
        <f t="shared" si="27"/>
        <v>7.1599999999999997E-2</v>
      </c>
      <c r="M129" s="105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7"/>
      <c r="AB129" s="108"/>
      <c r="AC129" s="109"/>
      <c r="AD129" s="110"/>
      <c r="AE129" s="110"/>
      <c r="AF129" s="110"/>
      <c r="AG129" s="108"/>
      <c r="AH129" s="109"/>
      <c r="AI129" s="111"/>
      <c r="AJ129" s="112"/>
      <c r="AK129" s="130">
        <f t="shared" si="19"/>
        <v>7.1599999999999997E-3</v>
      </c>
    </row>
    <row r="130" spans="1:37" x14ac:dyDescent="0.15">
      <c r="A130" s="39"/>
      <c r="B130" s="39" t="s">
        <v>139</v>
      </c>
      <c r="C130" s="101" t="s">
        <v>177</v>
      </c>
      <c r="D130" s="102"/>
      <c r="E130" s="103">
        <v>5</v>
      </c>
      <c r="G130" s="104">
        <v>0.15720000000000001</v>
      </c>
      <c r="H130" s="104">
        <v>0.17299999999999999</v>
      </c>
      <c r="I130" s="104">
        <v>0.15379999999999999</v>
      </c>
      <c r="K130" s="105">
        <f t="shared" si="27"/>
        <v>0.80666666666666664</v>
      </c>
      <c r="M130" s="105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7"/>
      <c r="AB130" s="108"/>
      <c r="AC130" s="109"/>
      <c r="AD130" s="110"/>
      <c r="AE130" s="110"/>
      <c r="AF130" s="110"/>
      <c r="AG130" s="108"/>
      <c r="AH130" s="109"/>
      <c r="AI130" s="111"/>
      <c r="AJ130" s="112"/>
      <c r="AK130" s="130">
        <f t="shared" si="19"/>
        <v>0.16133333333333333</v>
      </c>
    </row>
    <row r="131" spans="1:37" x14ac:dyDescent="0.15">
      <c r="A131" s="39"/>
      <c r="B131" s="39" t="s">
        <v>87</v>
      </c>
      <c r="C131" s="114"/>
      <c r="D131" s="115"/>
      <c r="G131" s="105"/>
      <c r="H131" s="105"/>
      <c r="I131" s="105"/>
      <c r="K131" s="105">
        <f>SUM(K122:K130)</f>
        <v>31.960498557399987</v>
      </c>
      <c r="L131" s="105">
        <f>K131*D121*AA$22</f>
        <v>17578.274206569993</v>
      </c>
      <c r="M131" s="105"/>
      <c r="N131" s="105">
        <f>M131*D121*AA$22</f>
        <v>0</v>
      </c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7"/>
      <c r="AB131" s="119"/>
      <c r="AC131" s="120"/>
      <c r="AD131" s="121"/>
      <c r="AE131" s="121"/>
      <c r="AF131" s="121"/>
      <c r="AG131" s="119"/>
      <c r="AH131" s="120"/>
      <c r="AI131" s="111"/>
      <c r="AJ131" s="122"/>
      <c r="AK131" s="130" t="e">
        <f t="shared" si="19"/>
        <v>#DIV/0!</v>
      </c>
    </row>
    <row r="132" spans="1:37" ht="11.4" x14ac:dyDescent="0.25">
      <c r="A132" s="82"/>
      <c r="B132" s="82" t="s">
        <v>87</v>
      </c>
      <c r="C132" s="123" t="s">
        <v>216</v>
      </c>
      <c r="D132" s="95">
        <v>3.5000000000000003E-2</v>
      </c>
      <c r="E132" s="83"/>
      <c r="F132" s="82">
        <v>1550</v>
      </c>
      <c r="G132" s="124"/>
      <c r="H132" s="124"/>
      <c r="I132" s="124"/>
      <c r="J132" s="82"/>
      <c r="K132" s="82"/>
      <c r="L132" s="82"/>
      <c r="M132" s="97"/>
      <c r="N132" s="82"/>
      <c r="O132" s="125">
        <f t="shared" ref="O132:Z132" si="29">INT(O$22*$D132)</f>
        <v>10</v>
      </c>
      <c r="P132" s="125">
        <f t="shared" si="29"/>
        <v>9</v>
      </c>
      <c r="Q132" s="125">
        <f t="shared" si="29"/>
        <v>16</v>
      </c>
      <c r="R132" s="125">
        <f t="shared" si="29"/>
        <v>17</v>
      </c>
      <c r="S132" s="125">
        <f t="shared" si="29"/>
        <v>21</v>
      </c>
      <c r="T132" s="125">
        <f t="shared" si="29"/>
        <v>20</v>
      </c>
      <c r="U132" s="125">
        <f t="shared" si="29"/>
        <v>16</v>
      </c>
      <c r="V132" s="125">
        <f t="shared" si="29"/>
        <v>19</v>
      </c>
      <c r="W132" s="125">
        <f t="shared" si="29"/>
        <v>17</v>
      </c>
      <c r="X132" s="125">
        <f t="shared" si="29"/>
        <v>16</v>
      </c>
      <c r="Y132" s="125">
        <f t="shared" si="29"/>
        <v>15</v>
      </c>
      <c r="Z132" s="125">
        <f t="shared" si="29"/>
        <v>10</v>
      </c>
      <c r="AA132" s="126">
        <f>SUM(O132:Z132)</f>
        <v>186</v>
      </c>
      <c r="AB132" s="82"/>
      <c r="AC132" s="82"/>
      <c r="AD132" s="82"/>
      <c r="AE132" s="88"/>
      <c r="AF132" s="88"/>
      <c r="AG132" s="88"/>
      <c r="AH132" s="88"/>
      <c r="AI132" s="88"/>
      <c r="AJ132" s="88"/>
      <c r="AK132" s="130" t="e">
        <f t="shared" si="19"/>
        <v>#DIV/0!</v>
      </c>
    </row>
    <row r="133" spans="1:37" x14ac:dyDescent="0.15">
      <c r="A133" s="127"/>
      <c r="B133" s="127" t="s">
        <v>139</v>
      </c>
      <c r="C133" s="128" t="s">
        <v>217</v>
      </c>
      <c r="D133" s="129"/>
      <c r="E133" s="103">
        <v>600</v>
      </c>
      <c r="F133" s="127"/>
      <c r="G133" s="104">
        <v>1.4999999999999999E-2</v>
      </c>
      <c r="H133" s="104">
        <v>1.4E-2</v>
      </c>
      <c r="I133" s="104">
        <v>1.2999999999999999E-2</v>
      </c>
      <c r="J133" s="127"/>
      <c r="K133" s="105">
        <f t="shared" ref="K133:K146" si="30">AVERAGE(G133:I133)*E133</f>
        <v>8.3999999999999986</v>
      </c>
      <c r="L133" s="127"/>
      <c r="M133" s="130"/>
      <c r="N133" s="127"/>
      <c r="O133" s="106">
        <f t="shared" ref="O133:Z133" si="31">O$148*$E133</f>
        <v>6000</v>
      </c>
      <c r="P133" s="106">
        <f t="shared" si="31"/>
        <v>5400</v>
      </c>
      <c r="Q133" s="106">
        <f t="shared" si="31"/>
        <v>9600</v>
      </c>
      <c r="R133" s="106">
        <f t="shared" si="31"/>
        <v>10200</v>
      </c>
      <c r="S133" s="106">
        <f t="shared" si="31"/>
        <v>12600</v>
      </c>
      <c r="T133" s="106">
        <f t="shared" si="31"/>
        <v>12000</v>
      </c>
      <c r="U133" s="106">
        <f t="shared" si="31"/>
        <v>9600</v>
      </c>
      <c r="V133" s="106">
        <f t="shared" si="31"/>
        <v>11400</v>
      </c>
      <c r="W133" s="106">
        <f t="shared" si="31"/>
        <v>10200</v>
      </c>
      <c r="X133" s="106">
        <f t="shared" si="31"/>
        <v>9600</v>
      </c>
      <c r="Y133" s="106">
        <f t="shared" si="31"/>
        <v>9000</v>
      </c>
      <c r="Z133" s="106">
        <f t="shared" si="31"/>
        <v>6000</v>
      </c>
      <c r="AA133" s="126">
        <f>SUM(O133:Z133)</f>
        <v>111600</v>
      </c>
      <c r="AB133" s="108">
        <f>MAX(O133:Z133,1)/4/6</f>
        <v>525</v>
      </c>
      <c r="AC133" s="109">
        <f>AA133/12/4/6</f>
        <v>387.5</v>
      </c>
      <c r="AD133" s="110">
        <v>7</v>
      </c>
      <c r="AE133" s="110">
        <v>4</v>
      </c>
      <c r="AF133" s="110">
        <v>3.09</v>
      </c>
      <c r="AG133" s="108">
        <f>(AB133-AC133)*(AD133-AE133)*AF133</f>
        <v>1274.625</v>
      </c>
      <c r="AH133" s="109">
        <f>(AC133/2)+AG133</f>
        <v>1468.375</v>
      </c>
      <c r="AI133" s="111">
        <f>SUM(G133:I133)/3</f>
        <v>1.3999999999999999E-2</v>
      </c>
      <c r="AJ133" s="112">
        <f>AH133*AI133</f>
        <v>20.557249999999996</v>
      </c>
      <c r="AK133" s="130">
        <f t="shared" si="19"/>
        <v>1.3999999999999999E-2</v>
      </c>
    </row>
    <row r="134" spans="1:37" x14ac:dyDescent="0.15">
      <c r="A134" s="127"/>
      <c r="B134" s="127" t="s">
        <v>139</v>
      </c>
      <c r="C134" s="128" t="s">
        <v>176</v>
      </c>
      <c r="D134" s="129"/>
      <c r="E134" s="103">
        <v>6</v>
      </c>
      <c r="F134" s="127"/>
      <c r="G134" s="104">
        <v>0.5</v>
      </c>
      <c r="H134" s="104">
        <v>0.29166667000000002</v>
      </c>
      <c r="I134" s="104">
        <v>0.4</v>
      </c>
      <c r="J134" s="127"/>
      <c r="K134" s="105">
        <f t="shared" si="30"/>
        <v>2.3833333400000001</v>
      </c>
      <c r="L134" s="127"/>
      <c r="M134" s="130"/>
      <c r="N134" s="127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26"/>
      <c r="AB134" s="108"/>
      <c r="AC134" s="109"/>
      <c r="AD134" s="110"/>
      <c r="AE134" s="110"/>
      <c r="AF134" s="110"/>
      <c r="AG134" s="108"/>
      <c r="AH134" s="109"/>
      <c r="AI134" s="111"/>
      <c r="AJ134" s="112"/>
      <c r="AK134" s="130">
        <f t="shared" si="19"/>
        <v>0.39722222333333335</v>
      </c>
    </row>
    <row r="135" spans="1:37" x14ac:dyDescent="0.15">
      <c r="A135" s="127"/>
      <c r="B135" s="127" t="s">
        <v>139</v>
      </c>
      <c r="C135" s="128" t="s">
        <v>182</v>
      </c>
      <c r="D135" s="129"/>
      <c r="E135" s="103">
        <v>200</v>
      </c>
      <c r="F135" s="127"/>
      <c r="G135" s="104">
        <v>8.0000000000000002E-3</v>
      </c>
      <c r="H135" s="104">
        <v>8.9999999999999993E-3</v>
      </c>
      <c r="I135" s="104">
        <v>0.01</v>
      </c>
      <c r="J135" s="127"/>
      <c r="K135" s="105">
        <f t="shared" si="30"/>
        <v>1.8000000000000003</v>
      </c>
      <c r="L135" s="127"/>
      <c r="M135" s="130"/>
      <c r="N135" s="127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26"/>
      <c r="AB135" s="108"/>
      <c r="AC135" s="109"/>
      <c r="AD135" s="110"/>
      <c r="AE135" s="110"/>
      <c r="AF135" s="110"/>
      <c r="AG135" s="108"/>
      <c r="AH135" s="109"/>
      <c r="AI135" s="111"/>
      <c r="AJ135" s="112"/>
      <c r="AK135" s="130">
        <f t="shared" si="19"/>
        <v>9.0000000000000011E-3</v>
      </c>
    </row>
    <row r="136" spans="1:37" x14ac:dyDescent="0.15">
      <c r="A136" s="127"/>
      <c r="B136" s="127" t="s">
        <v>139</v>
      </c>
      <c r="C136" s="128" t="s">
        <v>218</v>
      </c>
      <c r="D136" s="129"/>
      <c r="E136" s="103">
        <v>20</v>
      </c>
      <c r="F136" s="127"/>
      <c r="G136" s="104">
        <v>1.2999999999999999E-2</v>
      </c>
      <c r="H136" s="104">
        <v>1.6E-2</v>
      </c>
      <c r="I136" s="104">
        <v>1.498E-2</v>
      </c>
      <c r="J136" s="127"/>
      <c r="K136" s="105">
        <f t="shared" si="30"/>
        <v>0.29320000000000002</v>
      </c>
      <c r="L136" s="127"/>
      <c r="M136" s="130"/>
      <c r="N136" s="127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26"/>
      <c r="AB136" s="108"/>
      <c r="AC136" s="109"/>
      <c r="AD136" s="110"/>
      <c r="AE136" s="110"/>
      <c r="AF136" s="110"/>
      <c r="AG136" s="108"/>
      <c r="AH136" s="109"/>
      <c r="AI136" s="111"/>
      <c r="AJ136" s="112"/>
      <c r="AK136" s="130">
        <f t="shared" si="19"/>
        <v>1.4659999999999999E-2</v>
      </c>
    </row>
    <row r="137" spans="1:37" x14ac:dyDescent="0.15">
      <c r="A137" s="127"/>
      <c r="B137" s="127" t="s">
        <v>139</v>
      </c>
      <c r="C137" s="128" t="s">
        <v>163</v>
      </c>
      <c r="D137" s="129"/>
      <c r="E137" s="103">
        <v>20</v>
      </c>
      <c r="F137" s="127"/>
      <c r="G137" s="113">
        <v>5.5259999999999997E-2</v>
      </c>
      <c r="H137" s="113">
        <v>7.9810000000000006E-2</v>
      </c>
      <c r="I137" s="113">
        <v>6.6000000000000003E-2</v>
      </c>
      <c r="J137" s="127"/>
      <c r="K137" s="105">
        <f t="shared" si="30"/>
        <v>1.3404666666666667</v>
      </c>
      <c r="L137" s="127"/>
      <c r="M137" s="130"/>
      <c r="N137" s="127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26"/>
      <c r="AB137" s="108"/>
      <c r="AC137" s="109"/>
      <c r="AD137" s="110"/>
      <c r="AE137" s="110"/>
      <c r="AF137" s="110"/>
      <c r="AG137" s="108"/>
      <c r="AH137" s="109"/>
      <c r="AI137" s="111"/>
      <c r="AJ137" s="112"/>
      <c r="AK137" s="130">
        <f t="shared" si="19"/>
        <v>6.7023333333333338E-2</v>
      </c>
    </row>
    <row r="138" spans="1:37" x14ac:dyDescent="0.15">
      <c r="A138" s="127"/>
      <c r="B138" s="127" t="s">
        <v>139</v>
      </c>
      <c r="C138" s="128" t="s">
        <v>177</v>
      </c>
      <c r="D138" s="129"/>
      <c r="E138" s="103">
        <v>15</v>
      </c>
      <c r="F138" s="127"/>
      <c r="G138" s="104">
        <v>0.15720000000000001</v>
      </c>
      <c r="H138" s="104">
        <v>0.17299999999999999</v>
      </c>
      <c r="I138" s="104">
        <v>0.15379999999999999</v>
      </c>
      <c r="J138" s="127"/>
      <c r="K138" s="105">
        <f t="shared" si="30"/>
        <v>2.42</v>
      </c>
      <c r="L138" s="127"/>
      <c r="M138" s="130"/>
      <c r="N138" s="127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26"/>
      <c r="AB138" s="108"/>
      <c r="AC138" s="109"/>
      <c r="AD138" s="110"/>
      <c r="AE138" s="110"/>
      <c r="AF138" s="110"/>
      <c r="AG138" s="108"/>
      <c r="AH138" s="109"/>
      <c r="AI138" s="111"/>
      <c r="AJ138" s="112"/>
      <c r="AK138" s="130">
        <f t="shared" si="19"/>
        <v>0.16133333333333333</v>
      </c>
    </row>
    <row r="139" spans="1:37" x14ac:dyDescent="0.15">
      <c r="A139" s="127"/>
      <c r="B139" s="127" t="s">
        <v>139</v>
      </c>
      <c r="C139" s="128" t="s">
        <v>155</v>
      </c>
      <c r="D139" s="129"/>
      <c r="E139" s="103">
        <v>60</v>
      </c>
      <c r="F139" s="127"/>
      <c r="G139" s="104">
        <v>7.2459999999999997E-2</v>
      </c>
      <c r="H139" s="104">
        <v>7.8659999999999994E-2</v>
      </c>
      <c r="I139" s="104">
        <v>8.4680000000000005E-2</v>
      </c>
      <c r="J139" s="127"/>
      <c r="K139" s="105">
        <f t="shared" si="30"/>
        <v>4.7159999999999993</v>
      </c>
      <c r="L139" s="127"/>
      <c r="M139" s="130"/>
      <c r="N139" s="127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26"/>
      <c r="AB139" s="108"/>
      <c r="AC139" s="109"/>
      <c r="AD139" s="110"/>
      <c r="AE139" s="110"/>
      <c r="AF139" s="110"/>
      <c r="AG139" s="108"/>
      <c r="AH139" s="109"/>
      <c r="AI139" s="111"/>
      <c r="AJ139" s="112"/>
      <c r="AK139" s="130">
        <f t="shared" si="19"/>
        <v>7.8599999999999989E-2</v>
      </c>
    </row>
    <row r="140" spans="1:37" x14ac:dyDescent="0.15">
      <c r="A140" s="127"/>
      <c r="B140" s="127" t="s">
        <v>139</v>
      </c>
      <c r="C140" s="128" t="s">
        <v>219</v>
      </c>
      <c r="D140" s="129"/>
      <c r="E140" s="103">
        <v>200</v>
      </c>
      <c r="F140" s="127"/>
      <c r="G140" s="113">
        <v>3.1489999999999997E-2</v>
      </c>
      <c r="H140" s="113">
        <v>2.3689411765000001E-2</v>
      </c>
      <c r="I140" s="113">
        <v>2.517647059E-2</v>
      </c>
      <c r="J140" s="127"/>
      <c r="K140" s="105">
        <f t="shared" si="30"/>
        <v>5.3570588236666659</v>
      </c>
      <c r="L140" s="127"/>
      <c r="M140" s="130"/>
      <c r="N140" s="127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26"/>
      <c r="AB140" s="108"/>
      <c r="AC140" s="109"/>
      <c r="AD140" s="110"/>
      <c r="AE140" s="110"/>
      <c r="AF140" s="110"/>
      <c r="AG140" s="108"/>
      <c r="AH140" s="109"/>
      <c r="AI140" s="111"/>
      <c r="AJ140" s="112"/>
      <c r="AK140" s="130">
        <f t="shared" si="19"/>
        <v>2.678529411833333E-2</v>
      </c>
    </row>
    <row r="141" spans="1:37" x14ac:dyDescent="0.15">
      <c r="A141" s="127"/>
      <c r="B141" s="127" t="s">
        <v>139</v>
      </c>
      <c r="C141" s="128" t="s">
        <v>220</v>
      </c>
      <c r="D141" s="129"/>
      <c r="E141" s="103">
        <v>15</v>
      </c>
      <c r="F141" s="127"/>
      <c r="G141" s="113">
        <v>3.49E-2</v>
      </c>
      <c r="H141" s="113">
        <v>4.2479999999999997E-2</v>
      </c>
      <c r="I141" s="113">
        <v>4.3700000000000003E-2</v>
      </c>
      <c r="J141" s="127"/>
      <c r="K141" s="105">
        <f t="shared" si="30"/>
        <v>0.60540000000000005</v>
      </c>
      <c r="L141" s="127"/>
      <c r="M141" s="130"/>
      <c r="N141" s="127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  <c r="AA141" s="126"/>
      <c r="AB141" s="108"/>
      <c r="AC141" s="109"/>
      <c r="AD141" s="110"/>
      <c r="AE141" s="110"/>
      <c r="AF141" s="110"/>
      <c r="AG141" s="108"/>
      <c r="AH141" s="109"/>
      <c r="AI141" s="111"/>
      <c r="AJ141" s="112"/>
      <c r="AK141" s="130">
        <f t="shared" si="19"/>
        <v>4.036E-2</v>
      </c>
    </row>
    <row r="142" spans="1:37" x14ac:dyDescent="0.15">
      <c r="A142" s="127"/>
      <c r="B142" s="127" t="s">
        <v>139</v>
      </c>
      <c r="C142" s="128" t="s">
        <v>221</v>
      </c>
      <c r="D142" s="129"/>
      <c r="E142" s="103">
        <v>70</v>
      </c>
      <c r="F142" s="127"/>
      <c r="G142" s="104">
        <v>0.13719999999999999</v>
      </c>
      <c r="H142" s="104">
        <v>0.14000000000000001</v>
      </c>
      <c r="I142" s="104">
        <v>0.1138</v>
      </c>
      <c r="J142" s="127"/>
      <c r="K142" s="105">
        <f t="shared" si="30"/>
        <v>9.1233333333333331</v>
      </c>
      <c r="L142" s="127"/>
      <c r="M142" s="130"/>
      <c r="N142" s="127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  <c r="AA142" s="126"/>
      <c r="AB142" s="108"/>
      <c r="AC142" s="109"/>
      <c r="AD142" s="110"/>
      <c r="AE142" s="110"/>
      <c r="AF142" s="110"/>
      <c r="AG142" s="108"/>
      <c r="AH142" s="109"/>
      <c r="AI142" s="111"/>
      <c r="AJ142" s="112"/>
      <c r="AK142" s="130">
        <f t="shared" si="19"/>
        <v>0.13033333333333333</v>
      </c>
    </row>
    <row r="143" spans="1:37" x14ac:dyDescent="0.15">
      <c r="A143" s="127"/>
      <c r="B143" s="127" t="s">
        <v>139</v>
      </c>
      <c r="C143" s="128" t="s">
        <v>222</v>
      </c>
      <c r="D143" s="129"/>
      <c r="E143" s="103">
        <v>150</v>
      </c>
      <c r="F143" s="127"/>
      <c r="G143" s="113">
        <v>3.1600000000000003E-2</v>
      </c>
      <c r="H143" s="113">
        <v>1.7250000000000001E-2</v>
      </c>
      <c r="I143" s="113">
        <v>1.7999999999999999E-2</v>
      </c>
      <c r="J143" s="127"/>
      <c r="K143" s="105">
        <f t="shared" si="30"/>
        <v>3.3425000000000002</v>
      </c>
      <c r="L143" s="127"/>
      <c r="M143" s="130"/>
      <c r="N143" s="127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  <c r="AA143" s="126"/>
      <c r="AB143" s="108"/>
      <c r="AC143" s="109"/>
      <c r="AD143" s="110"/>
      <c r="AE143" s="110"/>
      <c r="AF143" s="110"/>
      <c r="AG143" s="108"/>
      <c r="AH143" s="109"/>
      <c r="AI143" s="111"/>
      <c r="AJ143" s="112"/>
      <c r="AK143" s="130">
        <f t="shared" si="19"/>
        <v>2.2283333333333336E-2</v>
      </c>
    </row>
    <row r="144" spans="1:37" x14ac:dyDescent="0.15">
      <c r="A144" s="127"/>
      <c r="B144" s="127" t="s">
        <v>139</v>
      </c>
      <c r="C144" s="128" t="s">
        <v>223</v>
      </c>
      <c r="D144" s="129"/>
      <c r="E144" s="103">
        <v>5</v>
      </c>
      <c r="F144" s="127"/>
      <c r="G144" s="104">
        <v>3.5000000000000003E-2</v>
      </c>
      <c r="H144" s="104">
        <v>4.6296296299999998E-2</v>
      </c>
      <c r="I144" s="104">
        <v>0.22900000000000001</v>
      </c>
      <c r="J144" s="127"/>
      <c r="K144" s="105">
        <f t="shared" si="30"/>
        <v>0.51716049383333329</v>
      </c>
      <c r="L144" s="127"/>
      <c r="M144" s="130"/>
      <c r="N144" s="127"/>
      <c r="O144" s="106">
        <f t="shared" ref="O144:Z144" si="32">O$148*$E144</f>
        <v>50</v>
      </c>
      <c r="P144" s="106">
        <f t="shared" si="32"/>
        <v>45</v>
      </c>
      <c r="Q144" s="106">
        <f t="shared" si="32"/>
        <v>80</v>
      </c>
      <c r="R144" s="106">
        <f t="shared" si="32"/>
        <v>85</v>
      </c>
      <c r="S144" s="106">
        <f t="shared" si="32"/>
        <v>105</v>
      </c>
      <c r="T144" s="106">
        <f t="shared" si="32"/>
        <v>100</v>
      </c>
      <c r="U144" s="106">
        <f t="shared" si="32"/>
        <v>80</v>
      </c>
      <c r="V144" s="106">
        <f t="shared" si="32"/>
        <v>95</v>
      </c>
      <c r="W144" s="106">
        <f t="shared" si="32"/>
        <v>85</v>
      </c>
      <c r="X144" s="106">
        <f t="shared" si="32"/>
        <v>80</v>
      </c>
      <c r="Y144" s="106">
        <f t="shared" si="32"/>
        <v>75</v>
      </c>
      <c r="Z144" s="106">
        <f t="shared" si="32"/>
        <v>50</v>
      </c>
      <c r="AA144" s="126">
        <f>SUM(O144:Z144)</f>
        <v>930</v>
      </c>
      <c r="AB144" s="108">
        <f>MAX(O144:Z144,1)/4/6</f>
        <v>4.375</v>
      </c>
      <c r="AC144" s="109">
        <f>AA144/12/4/6</f>
        <v>3.2291666666666665</v>
      </c>
      <c r="AD144" s="110">
        <v>4</v>
      </c>
      <c r="AE144" s="110">
        <v>2</v>
      </c>
      <c r="AF144" s="110">
        <v>3.09</v>
      </c>
      <c r="AG144" s="108">
        <f>(AB144-AC144)*(AD144-AE144)*AF144</f>
        <v>7.0812500000000007</v>
      </c>
      <c r="AH144" s="109">
        <f>(AC144/2)+AG144</f>
        <v>8.6958333333333346</v>
      </c>
      <c r="AI144" s="111">
        <f>SUM(G144:I144)/3</f>
        <v>0.10343209876666666</v>
      </c>
      <c r="AJ144" s="112">
        <f>AH144*AI144</f>
        <v>0.89942829219180565</v>
      </c>
      <c r="AK144" s="130">
        <f t="shared" si="19"/>
        <v>0.10343209876666666</v>
      </c>
    </row>
    <row r="145" spans="1:37" x14ac:dyDescent="0.15">
      <c r="A145" s="127"/>
      <c r="B145" s="127" t="s">
        <v>139</v>
      </c>
      <c r="C145" s="128" t="s">
        <v>164</v>
      </c>
      <c r="D145" s="129"/>
      <c r="E145" s="103">
        <v>20</v>
      </c>
      <c r="F145" s="127"/>
      <c r="G145" s="104">
        <v>7.9799999999999992E-3</v>
      </c>
      <c r="H145" s="104">
        <v>5.7200000000000003E-3</v>
      </c>
      <c r="I145" s="104">
        <v>7.7799999999999996E-3</v>
      </c>
      <c r="J145" s="127"/>
      <c r="K145" s="105">
        <f t="shared" si="30"/>
        <v>0.14319999999999999</v>
      </c>
      <c r="L145" s="127"/>
      <c r="M145" s="130"/>
      <c r="N145" s="127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26"/>
      <c r="AB145" s="108"/>
      <c r="AC145" s="109"/>
      <c r="AD145" s="110"/>
      <c r="AE145" s="110"/>
      <c r="AF145" s="110"/>
      <c r="AG145" s="108"/>
      <c r="AH145" s="109"/>
      <c r="AI145" s="111"/>
      <c r="AJ145" s="112"/>
      <c r="AK145" s="130">
        <f t="shared" si="19"/>
        <v>7.1599999999999997E-3</v>
      </c>
    </row>
    <row r="146" spans="1:37" x14ac:dyDescent="0.15">
      <c r="A146" s="39"/>
      <c r="B146" s="127" t="s">
        <v>139</v>
      </c>
      <c r="C146" s="101" t="s">
        <v>224</v>
      </c>
      <c r="D146" s="102"/>
      <c r="E146" s="103">
        <v>5</v>
      </c>
      <c r="G146" s="104">
        <v>2.2857142856999999E-2</v>
      </c>
      <c r="H146" s="104">
        <v>2.5399999999999999E-2</v>
      </c>
      <c r="I146" s="104">
        <v>2.6028571428999999E-2</v>
      </c>
      <c r="K146" s="105">
        <f t="shared" si="30"/>
        <v>0.12380952381000002</v>
      </c>
      <c r="L146" s="105"/>
      <c r="M146" s="105"/>
      <c r="O146" s="106">
        <f t="shared" ref="O146:Z146" si="33">O$148*$E146</f>
        <v>50</v>
      </c>
      <c r="P146" s="106">
        <f t="shared" si="33"/>
        <v>45</v>
      </c>
      <c r="Q146" s="106">
        <f t="shared" si="33"/>
        <v>80</v>
      </c>
      <c r="R146" s="106">
        <f t="shared" si="33"/>
        <v>85</v>
      </c>
      <c r="S146" s="106">
        <f t="shared" si="33"/>
        <v>105</v>
      </c>
      <c r="T146" s="106">
        <f t="shared" si="33"/>
        <v>100</v>
      </c>
      <c r="U146" s="106">
        <f t="shared" si="33"/>
        <v>80</v>
      </c>
      <c r="V146" s="106">
        <f t="shared" si="33"/>
        <v>95</v>
      </c>
      <c r="W146" s="106">
        <f t="shared" si="33"/>
        <v>85</v>
      </c>
      <c r="X146" s="106">
        <f t="shared" si="33"/>
        <v>80</v>
      </c>
      <c r="Y146" s="106">
        <f t="shared" si="33"/>
        <v>75</v>
      </c>
      <c r="Z146" s="106">
        <f t="shared" si="33"/>
        <v>50</v>
      </c>
      <c r="AA146" s="126">
        <f>SUM(O146:Z146)</f>
        <v>930</v>
      </c>
      <c r="AB146" s="108">
        <f>MAX(O146:Z146,1)/4/6</f>
        <v>4.375</v>
      </c>
      <c r="AC146" s="109">
        <f>AA146/12/4/6</f>
        <v>3.2291666666666665</v>
      </c>
      <c r="AD146" s="110">
        <v>15</v>
      </c>
      <c r="AE146" s="110">
        <v>10</v>
      </c>
      <c r="AF146" s="110">
        <v>3.09</v>
      </c>
      <c r="AG146" s="108">
        <f>(AB146-AC146)*(AD146-AE146)*AF146</f>
        <v>17.703125000000004</v>
      </c>
      <c r="AH146" s="109">
        <f>(AC146/2)+AG146</f>
        <v>19.317708333333336</v>
      </c>
      <c r="AI146" s="111">
        <f>SUM(G146:I146)/3</f>
        <v>2.4761904762000003E-2</v>
      </c>
      <c r="AJ146" s="112">
        <f>AH146*AI146</f>
        <v>0.47834325397009386</v>
      </c>
      <c r="AK146" s="130">
        <f t="shared" si="19"/>
        <v>2.4761904762000003E-2</v>
      </c>
    </row>
    <row r="147" spans="1:37" x14ac:dyDescent="0.15">
      <c r="A147" s="39"/>
      <c r="B147" s="127" t="s">
        <v>87</v>
      </c>
      <c r="C147" s="114"/>
      <c r="D147" s="115"/>
      <c r="G147" s="105"/>
      <c r="H147" s="105"/>
      <c r="I147" s="105"/>
      <c r="K147" s="105">
        <f>SUM(K133:K145,K146)</f>
        <v>40.565462181310004</v>
      </c>
      <c r="L147" s="105">
        <f>K147*D132*AA$22</f>
        <v>7808.8514699021762</v>
      </c>
      <c r="M147" s="105"/>
      <c r="N147" s="105">
        <f>M147*D132*AA$22</f>
        <v>0</v>
      </c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  <c r="AA147" s="126"/>
      <c r="AB147" s="119"/>
      <c r="AC147" s="120"/>
      <c r="AD147" s="121"/>
      <c r="AE147" s="121"/>
      <c r="AF147" s="121"/>
      <c r="AG147" s="119"/>
      <c r="AH147" s="120"/>
      <c r="AI147" s="131"/>
      <c r="AJ147" s="131"/>
      <c r="AK147" s="130" t="e">
        <f t="shared" si="19"/>
        <v>#DIV/0!</v>
      </c>
    </row>
    <row r="148" spans="1:37" ht="11.4" x14ac:dyDescent="0.25">
      <c r="A148" s="82" t="s">
        <v>139</v>
      </c>
      <c r="B148" s="82" t="s">
        <v>87</v>
      </c>
      <c r="C148" s="94" t="s">
        <v>225</v>
      </c>
      <c r="D148" s="95">
        <v>3.5000000000000003E-2</v>
      </c>
      <c r="E148" s="83"/>
      <c r="F148" s="82">
        <v>1000</v>
      </c>
      <c r="G148" s="117"/>
      <c r="H148" s="96"/>
      <c r="I148" s="96"/>
      <c r="J148" s="82"/>
      <c r="K148" s="88"/>
      <c r="L148" s="82"/>
      <c r="M148" s="97"/>
      <c r="N148" s="82"/>
      <c r="O148" s="84">
        <f t="shared" ref="O148:Z148" si="34">INT(O$22*$D148)</f>
        <v>10</v>
      </c>
      <c r="P148" s="84">
        <f t="shared" si="34"/>
        <v>9</v>
      </c>
      <c r="Q148" s="84">
        <f t="shared" si="34"/>
        <v>16</v>
      </c>
      <c r="R148" s="84">
        <f t="shared" si="34"/>
        <v>17</v>
      </c>
      <c r="S148" s="84">
        <f t="shared" si="34"/>
        <v>21</v>
      </c>
      <c r="T148" s="84">
        <f t="shared" si="34"/>
        <v>20</v>
      </c>
      <c r="U148" s="84">
        <f t="shared" si="34"/>
        <v>16</v>
      </c>
      <c r="V148" s="84">
        <f t="shared" si="34"/>
        <v>19</v>
      </c>
      <c r="W148" s="84">
        <f t="shared" si="34"/>
        <v>17</v>
      </c>
      <c r="X148" s="84">
        <f t="shared" si="34"/>
        <v>16</v>
      </c>
      <c r="Y148" s="84">
        <f t="shared" si="34"/>
        <v>15</v>
      </c>
      <c r="Z148" s="84">
        <f t="shared" si="34"/>
        <v>10</v>
      </c>
      <c r="AA148" s="98">
        <f>SUM(O148:Z148)</f>
        <v>186</v>
      </c>
      <c r="AB148" s="82"/>
      <c r="AC148" s="82"/>
      <c r="AD148" s="87"/>
      <c r="AE148" s="132"/>
      <c r="AF148" s="132"/>
      <c r="AG148" s="88"/>
      <c r="AH148" s="88"/>
      <c r="AI148" s="88"/>
      <c r="AJ148" s="88"/>
      <c r="AK148" s="130" t="e">
        <f t="shared" si="19"/>
        <v>#DIV/0!</v>
      </c>
    </row>
    <row r="149" spans="1:37" x14ac:dyDescent="0.15">
      <c r="A149" s="39"/>
      <c r="B149" s="39" t="s">
        <v>139</v>
      </c>
      <c r="C149" s="101" t="s">
        <v>226</v>
      </c>
      <c r="D149" s="102"/>
      <c r="E149" s="103">
        <v>250</v>
      </c>
      <c r="G149" s="104">
        <v>2.1860000000000001E-2</v>
      </c>
      <c r="H149" s="104">
        <v>1.01E-2</v>
      </c>
      <c r="I149" s="104">
        <v>1.2500000000000001E-2</v>
      </c>
      <c r="K149" s="105">
        <f t="shared" ref="K149:K158" si="35">AVERAGE(G149:I149)*E149</f>
        <v>3.7050000000000001</v>
      </c>
      <c r="M149" s="105"/>
      <c r="O149" s="106">
        <f>O$148*$E149</f>
        <v>2500</v>
      </c>
      <c r="P149" s="106">
        <f t="shared" ref="P149:Z149" si="36">P$148*$E149</f>
        <v>2250</v>
      </c>
      <c r="Q149" s="106">
        <f t="shared" si="36"/>
        <v>4000</v>
      </c>
      <c r="R149" s="106">
        <f t="shared" si="36"/>
        <v>4250</v>
      </c>
      <c r="S149" s="106">
        <f t="shared" si="36"/>
        <v>5250</v>
      </c>
      <c r="T149" s="106">
        <f t="shared" si="36"/>
        <v>5000</v>
      </c>
      <c r="U149" s="106">
        <f t="shared" si="36"/>
        <v>4000</v>
      </c>
      <c r="V149" s="106">
        <f t="shared" si="36"/>
        <v>4750</v>
      </c>
      <c r="W149" s="106">
        <f t="shared" si="36"/>
        <v>4250</v>
      </c>
      <c r="X149" s="106">
        <f t="shared" si="36"/>
        <v>4000</v>
      </c>
      <c r="Y149" s="106">
        <f t="shared" si="36"/>
        <v>3750</v>
      </c>
      <c r="Z149" s="106">
        <f t="shared" si="36"/>
        <v>2500</v>
      </c>
      <c r="AA149" s="107">
        <f>SUM(O149:Z149)</f>
        <v>46500</v>
      </c>
      <c r="AB149" s="108">
        <f>MAX(O149:Z149,1)/4/6</f>
        <v>218.75</v>
      </c>
      <c r="AC149" s="109">
        <f>AA149/12/4/6</f>
        <v>161.45833333333334</v>
      </c>
      <c r="AD149" s="110">
        <v>5</v>
      </c>
      <c r="AE149" s="110">
        <v>3</v>
      </c>
      <c r="AF149" s="110">
        <v>3.09</v>
      </c>
      <c r="AG149" s="108">
        <f>(AB149-AC149)*(AD149-AE149)*AF149</f>
        <v>354.06249999999994</v>
      </c>
      <c r="AH149" s="109">
        <f>(AC149/2)+AG149</f>
        <v>434.79166666666663</v>
      </c>
      <c r="AI149" s="111">
        <f>SUM(G149:I149)/3</f>
        <v>1.482E-2</v>
      </c>
      <c r="AJ149" s="112">
        <f>AH149*AI149</f>
        <v>6.4436124999999995</v>
      </c>
      <c r="AK149" s="130">
        <f t="shared" si="19"/>
        <v>1.482E-2</v>
      </c>
    </row>
    <row r="150" spans="1:37" x14ac:dyDescent="0.15">
      <c r="A150" s="39"/>
      <c r="B150" s="39" t="s">
        <v>139</v>
      </c>
      <c r="C150" s="101" t="s">
        <v>153</v>
      </c>
      <c r="D150" s="102"/>
      <c r="E150" s="103">
        <v>1000</v>
      </c>
      <c r="G150" s="104">
        <v>2.3031999999999999E-5</v>
      </c>
      <c r="H150" s="104">
        <v>2.3031999999999999E-5</v>
      </c>
      <c r="I150" s="104">
        <v>2.3031999999999999E-5</v>
      </c>
      <c r="K150" s="105">
        <f t="shared" si="35"/>
        <v>2.3031999999999997E-2</v>
      </c>
      <c r="M150" s="105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  <c r="AA150" s="107"/>
      <c r="AB150" s="108"/>
      <c r="AC150" s="109"/>
      <c r="AD150" s="110"/>
      <c r="AE150" s="110"/>
      <c r="AF150" s="110"/>
      <c r="AG150" s="108"/>
      <c r="AH150" s="109"/>
      <c r="AI150" s="111"/>
      <c r="AJ150" s="112"/>
      <c r="AK150" s="130">
        <f t="shared" si="19"/>
        <v>2.3031999999999996E-5</v>
      </c>
    </row>
    <row r="151" spans="1:37" x14ac:dyDescent="0.15">
      <c r="A151" s="39"/>
      <c r="B151" s="39" t="s">
        <v>139</v>
      </c>
      <c r="C151" s="101" t="s">
        <v>176</v>
      </c>
      <c r="D151" s="102"/>
      <c r="E151" s="103">
        <v>6</v>
      </c>
      <c r="G151" s="104">
        <v>0.5</v>
      </c>
      <c r="H151" s="104">
        <v>0.29166667000000002</v>
      </c>
      <c r="I151" s="104">
        <v>0.4</v>
      </c>
      <c r="K151" s="105">
        <f t="shared" si="35"/>
        <v>2.3833333400000001</v>
      </c>
      <c r="M151" s="105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  <c r="AA151" s="107"/>
      <c r="AB151" s="108"/>
      <c r="AC151" s="109"/>
      <c r="AD151" s="110"/>
      <c r="AE151" s="110"/>
      <c r="AF151" s="110"/>
      <c r="AG151" s="108"/>
      <c r="AH151" s="109"/>
      <c r="AI151" s="111"/>
      <c r="AJ151" s="112"/>
      <c r="AK151" s="130">
        <f t="shared" si="19"/>
        <v>0.39722222333333335</v>
      </c>
    </row>
    <row r="152" spans="1:37" x14ac:dyDescent="0.15">
      <c r="A152" s="39"/>
      <c r="B152" s="39" t="s">
        <v>139</v>
      </c>
      <c r="C152" s="101" t="s">
        <v>182</v>
      </c>
      <c r="D152" s="102"/>
      <c r="E152" s="103">
        <v>120</v>
      </c>
      <c r="G152" s="104">
        <v>8.0000000000000002E-3</v>
      </c>
      <c r="H152" s="104">
        <v>8.9999999999999993E-3</v>
      </c>
      <c r="I152" s="104">
        <v>0.01</v>
      </c>
      <c r="K152" s="105">
        <f t="shared" si="35"/>
        <v>1.08</v>
      </c>
      <c r="M152" s="105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  <c r="AA152" s="107"/>
      <c r="AB152" s="108"/>
      <c r="AC152" s="109"/>
      <c r="AD152" s="110"/>
      <c r="AE152" s="110"/>
      <c r="AF152" s="110"/>
      <c r="AG152" s="108"/>
      <c r="AH152" s="109"/>
      <c r="AI152" s="111"/>
      <c r="AJ152" s="112"/>
      <c r="AK152" s="130">
        <f t="shared" si="19"/>
        <v>9.0000000000000011E-3</v>
      </c>
    </row>
    <row r="153" spans="1:37" x14ac:dyDescent="0.15">
      <c r="A153" s="39"/>
      <c r="B153" s="39" t="s">
        <v>139</v>
      </c>
      <c r="C153" s="101" t="s">
        <v>227</v>
      </c>
      <c r="D153" s="102"/>
      <c r="E153" s="103">
        <v>60</v>
      </c>
      <c r="G153" s="104">
        <v>0.02</v>
      </c>
      <c r="H153" s="104">
        <v>0.25</v>
      </c>
      <c r="I153" s="104">
        <v>2.8000000000000001E-2</v>
      </c>
      <c r="K153" s="105">
        <f t="shared" si="35"/>
        <v>5.9600000000000009</v>
      </c>
      <c r="M153" s="105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  <c r="AA153" s="107"/>
      <c r="AB153" s="108"/>
      <c r="AC153" s="109"/>
      <c r="AD153" s="110"/>
      <c r="AE153" s="110"/>
      <c r="AF153" s="110"/>
      <c r="AG153" s="108"/>
      <c r="AH153" s="109"/>
      <c r="AI153" s="111"/>
      <c r="AJ153" s="112"/>
      <c r="AK153" s="130">
        <f t="shared" si="19"/>
        <v>9.9333333333333343E-2</v>
      </c>
    </row>
    <row r="154" spans="1:37" x14ac:dyDescent="0.15">
      <c r="A154" s="39"/>
      <c r="B154" s="39" t="s">
        <v>139</v>
      </c>
      <c r="C154" s="101" t="s">
        <v>228</v>
      </c>
      <c r="D154" s="102"/>
      <c r="E154" s="103">
        <v>60</v>
      </c>
      <c r="G154" s="113">
        <v>5.5259999999999997E-2</v>
      </c>
      <c r="H154" s="113">
        <v>7.9810000000000006E-2</v>
      </c>
      <c r="I154" s="113">
        <v>6.6000000000000003E-2</v>
      </c>
      <c r="K154" s="105">
        <f t="shared" si="35"/>
        <v>4.0213999999999999</v>
      </c>
      <c r="M154" s="105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  <c r="AA154" s="107"/>
      <c r="AB154" s="108"/>
      <c r="AC154" s="109"/>
      <c r="AD154" s="110"/>
      <c r="AE154" s="110"/>
      <c r="AF154" s="110"/>
      <c r="AG154" s="108"/>
      <c r="AH154" s="109"/>
      <c r="AI154" s="111"/>
      <c r="AJ154" s="112"/>
      <c r="AK154" s="130">
        <f t="shared" si="19"/>
        <v>6.7023333333333338E-2</v>
      </c>
    </row>
    <row r="155" spans="1:37" x14ac:dyDescent="0.15">
      <c r="A155" s="39"/>
      <c r="B155" s="39" t="s">
        <v>139</v>
      </c>
      <c r="C155" s="101" t="s">
        <v>155</v>
      </c>
      <c r="D155" s="102"/>
      <c r="E155" s="103">
        <v>15</v>
      </c>
      <c r="G155" s="104">
        <v>7.2459999999999997E-2</v>
      </c>
      <c r="H155" s="104">
        <v>7.8659999999999994E-2</v>
      </c>
      <c r="I155" s="104">
        <v>8.4680000000000005E-2</v>
      </c>
      <c r="K155" s="105">
        <f t="shared" si="35"/>
        <v>1.1789999999999998</v>
      </c>
      <c r="M155" s="105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  <c r="AA155" s="107"/>
      <c r="AB155" s="108"/>
      <c r="AC155" s="109"/>
      <c r="AD155" s="110"/>
      <c r="AE155" s="110"/>
      <c r="AF155" s="110"/>
      <c r="AG155" s="108"/>
      <c r="AH155" s="109"/>
      <c r="AI155" s="111"/>
      <c r="AJ155" s="112"/>
      <c r="AK155" s="130">
        <f t="shared" si="19"/>
        <v>7.8599999999999989E-2</v>
      </c>
    </row>
    <row r="156" spans="1:37" x14ac:dyDescent="0.15">
      <c r="A156" s="39"/>
      <c r="B156" s="39" t="s">
        <v>139</v>
      </c>
      <c r="C156" s="101" t="s">
        <v>164</v>
      </c>
      <c r="D156" s="102"/>
      <c r="E156" s="103">
        <v>5</v>
      </c>
      <c r="G156" s="104">
        <v>7.9799999999999992E-3</v>
      </c>
      <c r="H156" s="104">
        <v>5.7200000000000003E-3</v>
      </c>
      <c r="I156" s="104">
        <v>7.7799999999999996E-3</v>
      </c>
      <c r="K156" s="105">
        <f t="shared" si="35"/>
        <v>3.5799999999999998E-2</v>
      </c>
      <c r="M156" s="105"/>
      <c r="O156" s="106">
        <f t="shared" ref="O156:Z158" si="37">O$148*$E156</f>
        <v>50</v>
      </c>
      <c r="P156" s="106">
        <f t="shared" si="37"/>
        <v>45</v>
      </c>
      <c r="Q156" s="106">
        <f t="shared" si="37"/>
        <v>80</v>
      </c>
      <c r="R156" s="106">
        <f t="shared" si="37"/>
        <v>85</v>
      </c>
      <c r="S156" s="106">
        <f t="shared" si="37"/>
        <v>105</v>
      </c>
      <c r="T156" s="106">
        <f t="shared" si="37"/>
        <v>100</v>
      </c>
      <c r="U156" s="106">
        <f t="shared" si="37"/>
        <v>80</v>
      </c>
      <c r="V156" s="106">
        <f t="shared" si="37"/>
        <v>95</v>
      </c>
      <c r="W156" s="106">
        <f t="shared" si="37"/>
        <v>85</v>
      </c>
      <c r="X156" s="106">
        <f t="shared" si="37"/>
        <v>80</v>
      </c>
      <c r="Y156" s="106">
        <f t="shared" si="37"/>
        <v>75</v>
      </c>
      <c r="Z156" s="106">
        <f t="shared" si="37"/>
        <v>50</v>
      </c>
      <c r="AA156" s="107">
        <f>SUM(O156:Z156)</f>
        <v>930</v>
      </c>
      <c r="AB156" s="108">
        <f>MAX(O156:Z156,1)/4/6</f>
        <v>4.375</v>
      </c>
      <c r="AC156" s="109">
        <f>AA156/12/4/6</f>
        <v>3.2291666666666665</v>
      </c>
      <c r="AD156" s="110">
        <v>10</v>
      </c>
      <c r="AE156" s="110">
        <v>7</v>
      </c>
      <c r="AF156" s="110">
        <v>3.09</v>
      </c>
      <c r="AG156" s="108">
        <f>(AB156-AC156)*(AD156-AE156)*AF156</f>
        <v>10.621875000000001</v>
      </c>
      <c r="AH156" s="109">
        <f>(AC156/2)+AG156</f>
        <v>12.236458333333335</v>
      </c>
      <c r="AI156" s="111">
        <f>SUM(G156:I156)/3</f>
        <v>7.1599999999999997E-3</v>
      </c>
      <c r="AJ156" s="112">
        <f>AH156*AI156</f>
        <v>8.7613041666666669E-2</v>
      </c>
      <c r="AK156" s="130">
        <f t="shared" si="19"/>
        <v>7.1599999999999997E-3</v>
      </c>
    </row>
    <row r="157" spans="1:37" x14ac:dyDescent="0.15">
      <c r="A157" s="39"/>
      <c r="B157" s="39" t="s">
        <v>139</v>
      </c>
      <c r="C157" s="101" t="s">
        <v>229</v>
      </c>
      <c r="D157" s="102"/>
      <c r="E157" s="103">
        <v>5</v>
      </c>
      <c r="G157" s="104">
        <v>5.8000000000000003E-2</v>
      </c>
      <c r="H157" s="104">
        <v>2.1479999999999999E-2</v>
      </c>
      <c r="I157" s="104">
        <v>5.93333333333333E-2</v>
      </c>
      <c r="K157" s="105">
        <f t="shared" si="35"/>
        <v>0.23135555555555548</v>
      </c>
      <c r="M157" s="105"/>
      <c r="O157" s="106">
        <f t="shared" si="37"/>
        <v>50</v>
      </c>
      <c r="P157" s="106">
        <f t="shared" si="37"/>
        <v>45</v>
      </c>
      <c r="Q157" s="106">
        <f t="shared" si="37"/>
        <v>80</v>
      </c>
      <c r="R157" s="106">
        <f t="shared" si="37"/>
        <v>85</v>
      </c>
      <c r="S157" s="106">
        <f t="shared" si="37"/>
        <v>105</v>
      </c>
      <c r="T157" s="106">
        <f t="shared" si="37"/>
        <v>100</v>
      </c>
      <c r="U157" s="106">
        <f t="shared" si="37"/>
        <v>80</v>
      </c>
      <c r="V157" s="106">
        <f t="shared" si="37"/>
        <v>95</v>
      </c>
      <c r="W157" s="106">
        <f t="shared" si="37"/>
        <v>85</v>
      </c>
      <c r="X157" s="106">
        <f t="shared" si="37"/>
        <v>80</v>
      </c>
      <c r="Y157" s="106">
        <f t="shared" si="37"/>
        <v>75</v>
      </c>
      <c r="Z157" s="106">
        <f t="shared" si="37"/>
        <v>50</v>
      </c>
      <c r="AA157" s="107">
        <f>SUM(O157:Z157)</f>
        <v>930</v>
      </c>
      <c r="AB157" s="108">
        <f>MAX(O157:Z157,1)/4/6</f>
        <v>4.375</v>
      </c>
      <c r="AC157" s="109">
        <f>AA157/12/4/6</f>
        <v>3.2291666666666665</v>
      </c>
      <c r="AD157" s="110">
        <v>40</v>
      </c>
      <c r="AE157" s="110">
        <v>30</v>
      </c>
      <c r="AF157" s="110">
        <v>3.09</v>
      </c>
      <c r="AG157" s="108">
        <f>(AB157-AC157)*(AD157-AE157)*AF157</f>
        <v>35.406250000000007</v>
      </c>
      <c r="AH157" s="109">
        <f>(AC157/2)+AG157</f>
        <v>37.020833333333343</v>
      </c>
      <c r="AI157" s="111">
        <f>SUM(G157:I157)/3</f>
        <v>4.6271111111111096E-2</v>
      </c>
      <c r="AJ157" s="112">
        <f>AH157*AI157</f>
        <v>1.7129950925925925</v>
      </c>
      <c r="AK157" s="130">
        <f t="shared" si="19"/>
        <v>4.6271111111111096E-2</v>
      </c>
    </row>
    <row r="158" spans="1:37" x14ac:dyDescent="0.15">
      <c r="A158" s="39"/>
      <c r="B158" s="39" t="s">
        <v>139</v>
      </c>
      <c r="C158" s="101" t="s">
        <v>230</v>
      </c>
      <c r="D158" s="102"/>
      <c r="E158" s="103">
        <v>120</v>
      </c>
      <c r="G158" s="104">
        <v>7.0000000000000001E-3</v>
      </c>
      <c r="H158" s="104">
        <v>8.0000000000000002E-3</v>
      </c>
      <c r="I158" s="104">
        <v>7.8899999999999994E-3</v>
      </c>
      <c r="K158" s="105">
        <f t="shared" si="35"/>
        <v>0.91560000000000008</v>
      </c>
      <c r="M158" s="105"/>
      <c r="O158" s="106">
        <f t="shared" si="37"/>
        <v>1200</v>
      </c>
      <c r="P158" s="106">
        <f t="shared" si="37"/>
        <v>1080</v>
      </c>
      <c r="Q158" s="106">
        <f t="shared" si="37"/>
        <v>1920</v>
      </c>
      <c r="R158" s="106">
        <f t="shared" si="37"/>
        <v>2040</v>
      </c>
      <c r="S158" s="106">
        <f t="shared" si="37"/>
        <v>2520</v>
      </c>
      <c r="T158" s="106">
        <f t="shared" si="37"/>
        <v>2400</v>
      </c>
      <c r="U158" s="106">
        <f t="shared" si="37"/>
        <v>1920</v>
      </c>
      <c r="V158" s="106">
        <f t="shared" si="37"/>
        <v>2280</v>
      </c>
      <c r="W158" s="106">
        <f t="shared" si="37"/>
        <v>2040</v>
      </c>
      <c r="X158" s="106">
        <f t="shared" si="37"/>
        <v>1920</v>
      </c>
      <c r="Y158" s="106">
        <f t="shared" si="37"/>
        <v>1800</v>
      </c>
      <c r="Z158" s="106">
        <f t="shared" si="37"/>
        <v>1200</v>
      </c>
      <c r="AA158" s="107">
        <f>SUM(O158:Z158)</f>
        <v>22320</v>
      </c>
      <c r="AB158" s="108">
        <f>MAX(O158:Z158,1)/4/6</f>
        <v>105</v>
      </c>
      <c r="AC158" s="109">
        <f>AA158/12/4/6</f>
        <v>77.5</v>
      </c>
      <c r="AD158" s="110">
        <v>75</v>
      </c>
      <c r="AE158" s="110">
        <v>60</v>
      </c>
      <c r="AF158" s="110">
        <v>3.09</v>
      </c>
      <c r="AG158" s="108">
        <f>(AB158-AC158)*(AD158-AE158)*AF158</f>
        <v>1274.625</v>
      </c>
      <c r="AH158" s="109">
        <f>(AC158/2)+AG158</f>
        <v>1313.375</v>
      </c>
      <c r="AI158" s="111">
        <f>SUM(G158:I158)/3</f>
        <v>7.6300000000000005E-3</v>
      </c>
      <c r="AJ158" s="112">
        <f>AH158*AI158</f>
        <v>10.021051250000001</v>
      </c>
      <c r="AK158" s="130">
        <f t="shared" si="19"/>
        <v>7.6300000000000005E-3</v>
      </c>
    </row>
    <row r="159" spans="1:37" x14ac:dyDescent="0.15">
      <c r="A159" s="39"/>
      <c r="B159" s="39" t="s">
        <v>87</v>
      </c>
      <c r="C159" s="114"/>
      <c r="D159" s="115"/>
      <c r="G159" s="105"/>
      <c r="H159" s="105"/>
      <c r="I159" s="105"/>
      <c r="K159" s="105">
        <f>SUM(K149:K158)</f>
        <v>19.534520895555556</v>
      </c>
      <c r="L159" s="105">
        <f>K159*D148*AA$22</f>
        <v>3760.3952723944444</v>
      </c>
      <c r="M159" s="105"/>
      <c r="N159" s="105">
        <f>M159*D148*AA$22</f>
        <v>0</v>
      </c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  <c r="AA159" s="107"/>
      <c r="AB159" s="119"/>
      <c r="AC159" s="120"/>
      <c r="AD159" s="121"/>
      <c r="AE159" s="121"/>
      <c r="AF159" s="121"/>
      <c r="AG159" s="119"/>
      <c r="AH159" s="120"/>
      <c r="AI159" s="131"/>
      <c r="AJ159" s="131"/>
      <c r="AK159" s="130" t="e">
        <f t="shared" si="19"/>
        <v>#DIV/0!</v>
      </c>
    </row>
    <row r="160" spans="1:37" ht="11.4" x14ac:dyDescent="0.25">
      <c r="A160" s="82" t="s">
        <v>139</v>
      </c>
      <c r="B160" s="82" t="s">
        <v>87</v>
      </c>
      <c r="C160" s="94" t="s">
        <v>231</v>
      </c>
      <c r="D160" s="95">
        <v>0.1</v>
      </c>
      <c r="E160" s="83"/>
      <c r="F160" s="82">
        <v>1400</v>
      </c>
      <c r="G160" s="117"/>
      <c r="H160" s="96"/>
      <c r="I160" s="96"/>
      <c r="J160" s="82"/>
      <c r="K160" s="88"/>
      <c r="L160" s="82"/>
      <c r="M160" s="97"/>
      <c r="N160" s="82"/>
      <c r="O160" s="84">
        <f t="shared" ref="O160:Z160" si="38">INT(O$22*$D160)</f>
        <v>30</v>
      </c>
      <c r="P160" s="84">
        <f t="shared" si="38"/>
        <v>27</v>
      </c>
      <c r="Q160" s="84">
        <f t="shared" si="38"/>
        <v>48</v>
      </c>
      <c r="R160" s="84">
        <f t="shared" si="38"/>
        <v>49</v>
      </c>
      <c r="S160" s="84">
        <f t="shared" si="38"/>
        <v>60</v>
      </c>
      <c r="T160" s="84">
        <f t="shared" si="38"/>
        <v>58</v>
      </c>
      <c r="U160" s="84">
        <f t="shared" si="38"/>
        <v>48</v>
      </c>
      <c r="V160" s="84">
        <f t="shared" si="38"/>
        <v>54</v>
      </c>
      <c r="W160" s="84">
        <f t="shared" si="38"/>
        <v>49</v>
      </c>
      <c r="X160" s="84">
        <f t="shared" si="38"/>
        <v>48</v>
      </c>
      <c r="Y160" s="84">
        <f t="shared" si="38"/>
        <v>43</v>
      </c>
      <c r="Z160" s="84">
        <f t="shared" si="38"/>
        <v>30</v>
      </c>
      <c r="AA160" s="98">
        <f>SUM(O160:Z160)</f>
        <v>544</v>
      </c>
      <c r="AB160" s="82"/>
      <c r="AC160" s="82"/>
      <c r="AD160" s="87"/>
      <c r="AE160" s="132"/>
      <c r="AF160" s="132"/>
      <c r="AG160" s="88"/>
      <c r="AH160" s="88"/>
      <c r="AI160" s="88"/>
      <c r="AJ160" s="88"/>
      <c r="AK160" s="130" t="e">
        <f t="shared" si="19"/>
        <v>#DIV/0!</v>
      </c>
    </row>
    <row r="161" spans="1:37" x14ac:dyDescent="0.15">
      <c r="A161" s="39"/>
      <c r="B161" s="39" t="s">
        <v>139</v>
      </c>
      <c r="C161" s="101" t="s">
        <v>230</v>
      </c>
      <c r="D161" s="102"/>
      <c r="E161" s="103">
        <v>500</v>
      </c>
      <c r="G161" s="104">
        <v>7.0000000000000001E-3</v>
      </c>
      <c r="H161" s="104">
        <v>8.0000000000000002E-3</v>
      </c>
      <c r="I161" s="104">
        <v>7.8899999999999994E-3</v>
      </c>
      <c r="K161" s="105">
        <f t="shared" ref="K161:K173" si="39">AVERAGE(G161:I161)*E161</f>
        <v>3.8150000000000004</v>
      </c>
      <c r="M161" s="105"/>
      <c r="O161" s="106">
        <f>O$160*$E161</f>
        <v>15000</v>
      </c>
      <c r="P161" s="106">
        <f t="shared" ref="P161:Z161" si="40">P$160*$E161</f>
        <v>13500</v>
      </c>
      <c r="Q161" s="106">
        <f t="shared" si="40"/>
        <v>24000</v>
      </c>
      <c r="R161" s="106">
        <f t="shared" si="40"/>
        <v>24500</v>
      </c>
      <c r="S161" s="106">
        <f t="shared" si="40"/>
        <v>30000</v>
      </c>
      <c r="T161" s="106">
        <f t="shared" si="40"/>
        <v>29000</v>
      </c>
      <c r="U161" s="106">
        <f t="shared" si="40"/>
        <v>24000</v>
      </c>
      <c r="V161" s="106">
        <f t="shared" si="40"/>
        <v>27000</v>
      </c>
      <c r="W161" s="106">
        <f t="shared" si="40"/>
        <v>24500</v>
      </c>
      <c r="X161" s="106">
        <f t="shared" si="40"/>
        <v>24000</v>
      </c>
      <c r="Y161" s="106">
        <f t="shared" si="40"/>
        <v>21500</v>
      </c>
      <c r="Z161" s="106">
        <f t="shared" si="40"/>
        <v>15000</v>
      </c>
      <c r="AA161" s="107">
        <f>SUM(O161:Z161)</f>
        <v>272000</v>
      </c>
      <c r="AB161" s="108">
        <f>MAX(O161:Z161,1)/4/6</f>
        <v>1250</v>
      </c>
      <c r="AC161" s="109">
        <f>AA161/12/4/6</f>
        <v>944.44444444444446</v>
      </c>
      <c r="AD161" s="110">
        <v>5</v>
      </c>
      <c r="AE161" s="110">
        <v>3</v>
      </c>
      <c r="AF161" s="110">
        <v>3.09</v>
      </c>
      <c r="AG161" s="108">
        <f>(AB161-AC161)*(AD161-AE161)*AF161</f>
        <v>1888.3333333333333</v>
      </c>
      <c r="AH161" s="109">
        <f>(AC161/2)+AG161</f>
        <v>2360.5555555555557</v>
      </c>
      <c r="AI161" s="111">
        <f>SUM(G161:I161)/3</f>
        <v>7.6300000000000005E-3</v>
      </c>
      <c r="AJ161" s="112">
        <f>AH161*AI161</f>
        <v>18.011038888888891</v>
      </c>
      <c r="AK161" s="130">
        <f t="shared" si="19"/>
        <v>7.6300000000000005E-3</v>
      </c>
    </row>
    <row r="162" spans="1:37" x14ac:dyDescent="0.15">
      <c r="A162" s="39"/>
      <c r="B162" s="39" t="s">
        <v>139</v>
      </c>
      <c r="C162" s="101" t="s">
        <v>153</v>
      </c>
      <c r="D162" s="102"/>
      <c r="E162" s="103">
        <v>120</v>
      </c>
      <c r="G162" s="104">
        <v>2.3031999999999999E-5</v>
      </c>
      <c r="H162" s="104">
        <v>2.3031999999999999E-5</v>
      </c>
      <c r="I162" s="104">
        <v>2.3031999999999999E-5</v>
      </c>
      <c r="K162" s="105">
        <f t="shared" si="39"/>
        <v>2.7638399999999996E-3</v>
      </c>
      <c r="M162" s="105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  <c r="AA162" s="107"/>
      <c r="AB162" s="108"/>
      <c r="AC162" s="109"/>
      <c r="AD162" s="110"/>
      <c r="AE162" s="110"/>
      <c r="AF162" s="110"/>
      <c r="AG162" s="108"/>
      <c r="AH162" s="109"/>
      <c r="AI162" s="111"/>
      <c r="AJ162" s="112"/>
      <c r="AK162" s="130">
        <f t="shared" ref="AK162:AK215" si="41">AVERAGE(G162:I162)</f>
        <v>2.3031999999999996E-5</v>
      </c>
    </row>
    <row r="163" spans="1:37" x14ac:dyDescent="0.15">
      <c r="A163" s="39"/>
      <c r="B163" s="39" t="s">
        <v>139</v>
      </c>
      <c r="C163" s="101" t="s">
        <v>164</v>
      </c>
      <c r="D163" s="102"/>
      <c r="E163" s="103">
        <v>30</v>
      </c>
      <c r="G163" s="104">
        <v>7.9799999999999992E-3</v>
      </c>
      <c r="H163" s="104">
        <v>5.7200000000000003E-3</v>
      </c>
      <c r="I163" s="104">
        <v>7.7799999999999996E-3</v>
      </c>
      <c r="K163" s="105">
        <f t="shared" si="39"/>
        <v>0.21479999999999999</v>
      </c>
      <c r="M163" s="105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7"/>
      <c r="AB163" s="108"/>
      <c r="AC163" s="109"/>
      <c r="AD163" s="110"/>
      <c r="AE163" s="110"/>
      <c r="AF163" s="110"/>
      <c r="AG163" s="108"/>
      <c r="AH163" s="109"/>
      <c r="AI163" s="111"/>
      <c r="AJ163" s="112"/>
      <c r="AK163" s="130">
        <f t="shared" si="41"/>
        <v>7.1599999999999997E-3</v>
      </c>
    </row>
    <row r="164" spans="1:37" x14ac:dyDescent="0.15">
      <c r="A164" s="39"/>
      <c r="B164" s="39" t="s">
        <v>139</v>
      </c>
      <c r="C164" s="101" t="s">
        <v>155</v>
      </c>
      <c r="D164" s="102"/>
      <c r="E164" s="103">
        <v>70</v>
      </c>
      <c r="G164" s="104">
        <v>7.2459999999999997E-2</v>
      </c>
      <c r="H164" s="104">
        <v>7.8659999999999994E-2</v>
      </c>
      <c r="I164" s="104">
        <v>8.4680000000000005E-2</v>
      </c>
      <c r="K164" s="105">
        <f t="shared" si="39"/>
        <v>5.5019999999999989</v>
      </c>
      <c r="M164" s="105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7"/>
      <c r="AB164" s="108"/>
      <c r="AC164" s="109"/>
      <c r="AD164" s="110"/>
      <c r="AE164" s="110"/>
      <c r="AF164" s="110"/>
      <c r="AG164" s="108"/>
      <c r="AH164" s="109"/>
      <c r="AI164" s="111"/>
      <c r="AJ164" s="112"/>
      <c r="AK164" s="130">
        <f t="shared" si="41"/>
        <v>7.8599999999999989E-2</v>
      </c>
    </row>
    <row r="165" spans="1:37" x14ac:dyDescent="0.15">
      <c r="A165" s="39"/>
      <c r="B165" s="39" t="s">
        <v>139</v>
      </c>
      <c r="C165" s="101" t="s">
        <v>232</v>
      </c>
      <c r="D165" s="102"/>
      <c r="E165" s="103">
        <v>600</v>
      </c>
      <c r="G165" s="104">
        <v>1.0699999999999999E-2</v>
      </c>
      <c r="H165" s="104">
        <v>9.9500000000000005E-3</v>
      </c>
      <c r="I165" s="104">
        <v>1.3225000000000001E-2</v>
      </c>
      <c r="K165" s="105">
        <f t="shared" si="39"/>
        <v>6.7750000000000004</v>
      </c>
      <c r="M165" s="105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  <c r="AA165" s="107"/>
      <c r="AB165" s="108"/>
      <c r="AC165" s="109"/>
      <c r="AD165" s="110"/>
      <c r="AE165" s="110"/>
      <c r="AF165" s="110"/>
      <c r="AG165" s="108"/>
      <c r="AH165" s="109"/>
      <c r="AI165" s="111"/>
      <c r="AJ165" s="112"/>
      <c r="AK165" s="130">
        <f t="shared" si="41"/>
        <v>1.1291666666666667E-2</v>
      </c>
    </row>
    <row r="166" spans="1:37" x14ac:dyDescent="0.15">
      <c r="A166" s="39"/>
      <c r="B166" s="39" t="s">
        <v>139</v>
      </c>
      <c r="C166" s="101" t="s">
        <v>182</v>
      </c>
      <c r="D166" s="102"/>
      <c r="E166" s="103">
        <v>110</v>
      </c>
      <c r="G166" s="104">
        <v>8.0000000000000002E-3</v>
      </c>
      <c r="H166" s="104">
        <v>8.9999999999999993E-3</v>
      </c>
      <c r="I166" s="104">
        <v>0.01</v>
      </c>
      <c r="K166" s="105">
        <f t="shared" si="39"/>
        <v>0.9900000000000001</v>
      </c>
      <c r="M166" s="105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  <c r="AA166" s="107"/>
      <c r="AB166" s="108"/>
      <c r="AC166" s="109"/>
      <c r="AD166" s="110"/>
      <c r="AE166" s="110"/>
      <c r="AF166" s="110"/>
      <c r="AG166" s="108"/>
      <c r="AH166" s="109"/>
      <c r="AI166" s="111"/>
      <c r="AJ166" s="112"/>
      <c r="AK166" s="130">
        <f t="shared" si="41"/>
        <v>9.0000000000000011E-3</v>
      </c>
    </row>
    <row r="167" spans="1:37" x14ac:dyDescent="0.15">
      <c r="A167" s="39"/>
      <c r="B167" s="39" t="s">
        <v>139</v>
      </c>
      <c r="C167" s="101" t="s">
        <v>233</v>
      </c>
      <c r="D167" s="102"/>
      <c r="E167" s="103">
        <v>5</v>
      </c>
      <c r="G167" s="104">
        <v>4.4999999999999998E-2</v>
      </c>
      <c r="H167" s="104">
        <v>4.4900000000000002E-2</v>
      </c>
      <c r="I167" s="104">
        <v>5.2666666666666598E-2</v>
      </c>
      <c r="K167" s="105">
        <f t="shared" si="39"/>
        <v>0.23761111111111105</v>
      </c>
      <c r="M167" s="105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  <c r="AA167" s="107"/>
      <c r="AB167" s="108"/>
      <c r="AC167" s="109"/>
      <c r="AD167" s="110"/>
      <c r="AE167" s="110"/>
      <c r="AF167" s="110"/>
      <c r="AG167" s="108"/>
      <c r="AH167" s="109"/>
      <c r="AI167" s="111"/>
      <c r="AJ167" s="112"/>
      <c r="AK167" s="130">
        <f t="shared" si="41"/>
        <v>4.7522222222222209E-2</v>
      </c>
    </row>
    <row r="168" spans="1:37" x14ac:dyDescent="0.15">
      <c r="A168" s="39"/>
      <c r="B168" s="39" t="s">
        <v>139</v>
      </c>
      <c r="C168" s="101" t="s">
        <v>234</v>
      </c>
      <c r="D168" s="102"/>
      <c r="E168" s="103">
        <v>40</v>
      </c>
      <c r="G168" s="104">
        <v>5.7599999999999998E-2</v>
      </c>
      <c r="H168" s="104">
        <v>9.5920000000000005E-2</v>
      </c>
      <c r="I168" s="104">
        <v>0.14499999999999999</v>
      </c>
      <c r="K168" s="105">
        <f t="shared" si="39"/>
        <v>3.9802666666666671</v>
      </c>
      <c r="M168" s="105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  <c r="AA168" s="107"/>
      <c r="AB168" s="108"/>
      <c r="AC168" s="109"/>
      <c r="AD168" s="110"/>
      <c r="AE168" s="110"/>
      <c r="AF168" s="110"/>
      <c r="AG168" s="108"/>
      <c r="AH168" s="109"/>
      <c r="AI168" s="111"/>
      <c r="AJ168" s="112"/>
      <c r="AK168" s="130">
        <f t="shared" si="41"/>
        <v>9.9506666666666674E-2</v>
      </c>
    </row>
    <row r="169" spans="1:37" x14ac:dyDescent="0.15">
      <c r="A169" s="39"/>
      <c r="B169" s="39" t="s">
        <v>139</v>
      </c>
      <c r="C169" s="101" t="s">
        <v>235</v>
      </c>
      <c r="D169" s="102"/>
      <c r="E169" s="103">
        <v>250</v>
      </c>
      <c r="G169" s="104">
        <v>1.695E-2</v>
      </c>
      <c r="H169" s="104">
        <v>1.9949999999999999E-2</v>
      </c>
      <c r="I169" s="104">
        <v>1.8450000000000001E-2</v>
      </c>
      <c r="K169" s="105">
        <f t="shared" si="39"/>
        <v>4.6125000000000007</v>
      </c>
      <c r="M169" s="105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  <c r="AA169" s="107"/>
      <c r="AB169" s="108"/>
      <c r="AC169" s="109"/>
      <c r="AD169" s="110"/>
      <c r="AE169" s="110"/>
      <c r="AF169" s="110"/>
      <c r="AG169" s="108"/>
      <c r="AH169" s="109"/>
      <c r="AI169" s="111"/>
      <c r="AJ169" s="112"/>
      <c r="AK169" s="130">
        <f t="shared" si="41"/>
        <v>1.8450000000000001E-2</v>
      </c>
    </row>
    <row r="170" spans="1:37" x14ac:dyDescent="0.15">
      <c r="A170" s="39"/>
      <c r="B170" s="39" t="s">
        <v>139</v>
      </c>
      <c r="C170" s="101" t="s">
        <v>162</v>
      </c>
      <c r="D170" s="102"/>
      <c r="E170" s="103">
        <v>20</v>
      </c>
      <c r="G170" s="104">
        <v>0.02</v>
      </c>
      <c r="H170" s="104">
        <v>0.25</v>
      </c>
      <c r="I170" s="104">
        <v>2.8000000000000001E-2</v>
      </c>
      <c r="K170" s="105">
        <f t="shared" si="39"/>
        <v>1.9866666666666668</v>
      </c>
      <c r="M170" s="105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  <c r="AA170" s="107"/>
      <c r="AB170" s="108"/>
      <c r="AC170" s="109"/>
      <c r="AD170" s="110"/>
      <c r="AE170" s="110"/>
      <c r="AF170" s="110"/>
      <c r="AG170" s="108"/>
      <c r="AH170" s="109"/>
      <c r="AI170" s="111"/>
      <c r="AJ170" s="112"/>
      <c r="AK170" s="130">
        <f t="shared" si="41"/>
        <v>9.9333333333333343E-2</v>
      </c>
    </row>
    <row r="171" spans="1:37" x14ac:dyDescent="0.15">
      <c r="A171" s="39"/>
      <c r="B171" s="39" t="s">
        <v>139</v>
      </c>
      <c r="C171" s="101" t="s">
        <v>163</v>
      </c>
      <c r="D171" s="102"/>
      <c r="E171" s="103">
        <v>20</v>
      </c>
      <c r="G171" s="113">
        <v>5.5259999999999997E-2</v>
      </c>
      <c r="H171" s="113">
        <v>7.9810000000000006E-2</v>
      </c>
      <c r="I171" s="113">
        <v>6.6000000000000003E-2</v>
      </c>
      <c r="K171" s="105">
        <f t="shared" si="39"/>
        <v>1.3404666666666667</v>
      </c>
      <c r="M171" s="105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  <c r="AA171" s="107"/>
      <c r="AB171" s="108"/>
      <c r="AC171" s="109"/>
      <c r="AD171" s="110"/>
      <c r="AE171" s="110"/>
      <c r="AF171" s="110"/>
      <c r="AG171" s="108"/>
      <c r="AH171" s="109"/>
      <c r="AI171" s="111"/>
      <c r="AJ171" s="112"/>
      <c r="AK171" s="130">
        <f t="shared" si="41"/>
        <v>6.7023333333333338E-2</v>
      </c>
    </row>
    <row r="172" spans="1:37" x14ac:dyDescent="0.15">
      <c r="A172" s="39"/>
      <c r="B172" s="39" t="s">
        <v>139</v>
      </c>
      <c r="C172" s="101" t="s">
        <v>175</v>
      </c>
      <c r="D172" s="102"/>
      <c r="E172" s="103">
        <v>300</v>
      </c>
      <c r="G172" s="104">
        <v>1.4999999999999999E-2</v>
      </c>
      <c r="H172" s="104">
        <v>1.4E-2</v>
      </c>
      <c r="I172" s="104">
        <v>1.2999999999999999E-2</v>
      </c>
      <c r="K172" s="105">
        <f t="shared" si="39"/>
        <v>4.1999999999999993</v>
      </c>
      <c r="M172" s="105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  <c r="AA172" s="107"/>
      <c r="AB172" s="108"/>
      <c r="AC172" s="109"/>
      <c r="AD172" s="110"/>
      <c r="AE172" s="110"/>
      <c r="AF172" s="110"/>
      <c r="AG172" s="108"/>
      <c r="AH172" s="109"/>
      <c r="AI172" s="111"/>
      <c r="AJ172" s="112"/>
      <c r="AK172" s="130">
        <f t="shared" si="41"/>
        <v>1.3999999999999999E-2</v>
      </c>
    </row>
    <row r="173" spans="1:37" x14ac:dyDescent="0.15">
      <c r="A173" s="39"/>
      <c r="B173" s="39" t="s">
        <v>139</v>
      </c>
      <c r="C173" s="101" t="s">
        <v>236</v>
      </c>
      <c r="D173" s="102"/>
      <c r="E173" s="103">
        <v>200</v>
      </c>
      <c r="G173" s="104">
        <v>7.9799999999999992E-3</v>
      </c>
      <c r="H173" s="104">
        <v>9.5840000000000005E-3</v>
      </c>
      <c r="I173" s="104">
        <v>8.9999999999999993E-3</v>
      </c>
      <c r="K173" s="105">
        <f t="shared" si="39"/>
        <v>1.770933333333333</v>
      </c>
      <c r="M173" s="105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  <c r="AA173" s="107"/>
      <c r="AB173" s="108"/>
      <c r="AC173" s="109"/>
      <c r="AD173" s="110"/>
      <c r="AE173" s="110"/>
      <c r="AF173" s="110"/>
      <c r="AG173" s="108"/>
      <c r="AH173" s="109"/>
      <c r="AI173" s="111"/>
      <c r="AJ173" s="112"/>
      <c r="AK173" s="130">
        <f t="shared" si="41"/>
        <v>8.8546666666666652E-3</v>
      </c>
    </row>
    <row r="174" spans="1:37" x14ac:dyDescent="0.15">
      <c r="A174" s="39"/>
      <c r="B174" s="39" t="s">
        <v>87</v>
      </c>
      <c r="C174" s="114"/>
      <c r="D174" s="115"/>
      <c r="G174" s="105"/>
      <c r="H174" s="105"/>
      <c r="I174" s="105"/>
      <c r="K174" s="105">
        <f>SUM(K161:K173)</f>
        <v>35.428008284444445</v>
      </c>
      <c r="L174" s="105">
        <f>K174*D160*AA$22</f>
        <v>19485.404556444446</v>
      </c>
      <c r="M174" s="105"/>
      <c r="N174" s="105">
        <f>M174*D160*AA$22</f>
        <v>0</v>
      </c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  <c r="AA174" s="107"/>
      <c r="AB174" s="119"/>
      <c r="AC174" s="120"/>
      <c r="AD174" s="121"/>
      <c r="AE174" s="121"/>
      <c r="AF174" s="121"/>
      <c r="AG174" s="119"/>
      <c r="AH174" s="120"/>
      <c r="AI174" s="131"/>
      <c r="AJ174" s="131"/>
      <c r="AK174" s="130" t="e">
        <f t="shared" si="41"/>
        <v>#DIV/0!</v>
      </c>
    </row>
    <row r="175" spans="1:37" ht="11.4" x14ac:dyDescent="0.25">
      <c r="A175" s="82" t="s">
        <v>139</v>
      </c>
      <c r="B175" s="82" t="s">
        <v>87</v>
      </c>
      <c r="C175" s="94" t="s">
        <v>237</v>
      </c>
      <c r="D175" s="95">
        <v>6.5000000000000002E-2</v>
      </c>
      <c r="E175" s="83"/>
      <c r="F175" s="82">
        <v>2000</v>
      </c>
      <c r="G175" s="117"/>
      <c r="H175" s="96"/>
      <c r="I175" s="96"/>
      <c r="J175" s="82"/>
      <c r="K175" s="88"/>
      <c r="L175" s="82"/>
      <c r="M175" s="97"/>
      <c r="N175" s="82"/>
      <c r="O175" s="84">
        <f t="shared" ref="O175:Z175" si="42">INT(O$22*$D175)</f>
        <v>19</v>
      </c>
      <c r="P175" s="84">
        <f t="shared" si="42"/>
        <v>17</v>
      </c>
      <c r="Q175" s="84">
        <f t="shared" si="42"/>
        <v>31</v>
      </c>
      <c r="R175" s="84">
        <f t="shared" si="42"/>
        <v>32</v>
      </c>
      <c r="S175" s="84">
        <f t="shared" si="42"/>
        <v>39</v>
      </c>
      <c r="T175" s="84">
        <f t="shared" si="42"/>
        <v>38</v>
      </c>
      <c r="U175" s="84">
        <f t="shared" si="42"/>
        <v>31</v>
      </c>
      <c r="V175" s="84">
        <f t="shared" si="42"/>
        <v>35</v>
      </c>
      <c r="W175" s="84">
        <f t="shared" si="42"/>
        <v>32</v>
      </c>
      <c r="X175" s="84">
        <f t="shared" si="42"/>
        <v>31</v>
      </c>
      <c r="Y175" s="84">
        <f t="shared" si="42"/>
        <v>28</v>
      </c>
      <c r="Z175" s="84">
        <f t="shared" si="42"/>
        <v>19</v>
      </c>
      <c r="AA175" s="98">
        <f>SUM(O175:Z175)</f>
        <v>352</v>
      </c>
      <c r="AB175" s="82"/>
      <c r="AC175" s="82"/>
      <c r="AD175" s="87"/>
      <c r="AE175" s="132"/>
      <c r="AF175" s="132"/>
      <c r="AG175" s="88"/>
      <c r="AH175" s="88"/>
      <c r="AI175" s="88"/>
      <c r="AJ175" s="88"/>
      <c r="AK175" s="130" t="e">
        <f t="shared" si="41"/>
        <v>#DIV/0!</v>
      </c>
    </row>
    <row r="176" spans="1:37" x14ac:dyDescent="0.15">
      <c r="A176" s="39"/>
      <c r="B176" s="39" t="s">
        <v>139</v>
      </c>
      <c r="C176" s="101" t="s">
        <v>219</v>
      </c>
      <c r="D176" s="102"/>
      <c r="E176" s="103">
        <v>500</v>
      </c>
      <c r="G176" s="113">
        <v>1.2149E-2</v>
      </c>
      <c r="H176" s="113">
        <v>1.6894117649999998E-2</v>
      </c>
      <c r="I176" s="113">
        <v>1.1517647059E-2</v>
      </c>
      <c r="K176" s="105">
        <f t="shared" ref="K176:K191" si="43">AVERAGE(G176:I176)*E176</f>
        <v>6.7601274514999989</v>
      </c>
      <c r="M176" s="105"/>
      <c r="O176" s="106">
        <f>O$175*$E176</f>
        <v>9500</v>
      </c>
      <c r="P176" s="106">
        <f t="shared" ref="P176:Z176" si="44">P$175*$E176</f>
        <v>8500</v>
      </c>
      <c r="Q176" s="106">
        <f t="shared" si="44"/>
        <v>15500</v>
      </c>
      <c r="R176" s="106">
        <f t="shared" si="44"/>
        <v>16000</v>
      </c>
      <c r="S176" s="106">
        <f t="shared" si="44"/>
        <v>19500</v>
      </c>
      <c r="T176" s="106">
        <f t="shared" si="44"/>
        <v>19000</v>
      </c>
      <c r="U176" s="106">
        <f t="shared" si="44"/>
        <v>15500</v>
      </c>
      <c r="V176" s="106">
        <f t="shared" si="44"/>
        <v>17500</v>
      </c>
      <c r="W176" s="106">
        <f t="shared" si="44"/>
        <v>16000</v>
      </c>
      <c r="X176" s="106">
        <f t="shared" si="44"/>
        <v>15500</v>
      </c>
      <c r="Y176" s="106">
        <f t="shared" si="44"/>
        <v>14000</v>
      </c>
      <c r="Z176" s="106">
        <f t="shared" si="44"/>
        <v>9500</v>
      </c>
      <c r="AA176" s="107">
        <f>SUM(O176:Z176)</f>
        <v>176000</v>
      </c>
      <c r="AB176" s="108">
        <f>MAX(O176:Z176,1)/4/6</f>
        <v>812.5</v>
      </c>
      <c r="AC176" s="109">
        <f>AA176/12/4/6</f>
        <v>611.11111111111109</v>
      </c>
      <c r="AD176" s="110">
        <v>5</v>
      </c>
      <c r="AE176" s="110">
        <v>3</v>
      </c>
      <c r="AF176" s="110">
        <v>3.09</v>
      </c>
      <c r="AG176" s="108">
        <f>(AB176-AC176)*(AD176-AE176)*AF176</f>
        <v>1244.5833333333335</v>
      </c>
      <c r="AH176" s="109">
        <f>(AC176/2)+AG176</f>
        <v>1550.1388888888891</v>
      </c>
      <c r="AI176" s="111">
        <f>SUM(G176:I176)/3</f>
        <v>1.3520254902999998E-2</v>
      </c>
      <c r="AJ176" s="112">
        <f>AH176*AI176</f>
        <v>20.958272912830974</v>
      </c>
      <c r="AK176" s="130">
        <f t="shared" si="41"/>
        <v>1.3520254902999998E-2</v>
      </c>
    </row>
    <row r="177" spans="1:37" x14ac:dyDescent="0.15">
      <c r="A177" s="39"/>
      <c r="B177" s="39" t="s">
        <v>139</v>
      </c>
      <c r="C177" s="101" t="s">
        <v>238</v>
      </c>
      <c r="D177" s="102"/>
      <c r="E177" s="103">
        <v>120</v>
      </c>
      <c r="G177" s="104">
        <v>1.0999999999999999E-2</v>
      </c>
      <c r="H177" s="104">
        <v>0.01</v>
      </c>
      <c r="I177" s="104">
        <v>1.0999999999999999E-2</v>
      </c>
      <c r="K177" s="105">
        <f t="shared" si="43"/>
        <v>1.28</v>
      </c>
      <c r="M177" s="105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  <c r="AA177" s="107"/>
      <c r="AB177" s="108"/>
      <c r="AC177" s="109"/>
      <c r="AD177" s="110"/>
      <c r="AE177" s="110"/>
      <c r="AF177" s="110"/>
      <c r="AG177" s="108"/>
      <c r="AH177" s="109"/>
      <c r="AI177" s="111"/>
      <c r="AJ177" s="112"/>
      <c r="AK177" s="130">
        <f t="shared" si="41"/>
        <v>1.0666666666666666E-2</v>
      </c>
    </row>
    <row r="178" spans="1:37" x14ac:dyDescent="0.15">
      <c r="A178" s="39"/>
      <c r="B178" s="39" t="s">
        <v>139</v>
      </c>
      <c r="C178" s="101" t="s">
        <v>239</v>
      </c>
      <c r="D178" s="102"/>
      <c r="E178" s="103">
        <v>600</v>
      </c>
      <c r="G178" s="104">
        <v>0.01</v>
      </c>
      <c r="H178" s="104">
        <v>1.2E-2</v>
      </c>
      <c r="I178" s="104">
        <v>5.8999999999999999E-3</v>
      </c>
      <c r="K178" s="105">
        <f t="shared" si="43"/>
        <v>5.5799999999999992</v>
      </c>
      <c r="M178" s="105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  <c r="Z178" s="106"/>
      <c r="AA178" s="107"/>
      <c r="AB178" s="108"/>
      <c r="AC178" s="109"/>
      <c r="AD178" s="110"/>
      <c r="AE178" s="110"/>
      <c r="AF178" s="110"/>
      <c r="AG178" s="108"/>
      <c r="AH178" s="109"/>
      <c r="AI178" s="111"/>
      <c r="AJ178" s="112"/>
      <c r="AK178" s="130">
        <f t="shared" si="41"/>
        <v>9.2999999999999992E-3</v>
      </c>
    </row>
    <row r="179" spans="1:37" x14ac:dyDescent="0.15">
      <c r="A179" s="39"/>
      <c r="B179" s="39" t="s">
        <v>139</v>
      </c>
      <c r="C179" s="101" t="s">
        <v>240</v>
      </c>
      <c r="D179" s="102"/>
      <c r="E179" s="103">
        <v>185</v>
      </c>
      <c r="G179" s="104">
        <v>6.1471999999999999E-2</v>
      </c>
      <c r="H179" s="104">
        <v>4.7173E-2</v>
      </c>
      <c r="I179" s="104">
        <v>4.6538000000000003E-2</v>
      </c>
      <c r="K179" s="105">
        <f t="shared" si="43"/>
        <v>9.5696183333333327</v>
      </c>
      <c r="M179" s="105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  <c r="Z179" s="106"/>
      <c r="AA179" s="107"/>
      <c r="AB179" s="108"/>
      <c r="AC179" s="109"/>
      <c r="AD179" s="110"/>
      <c r="AE179" s="110"/>
      <c r="AF179" s="110"/>
      <c r="AG179" s="108"/>
      <c r="AH179" s="109"/>
      <c r="AI179" s="111"/>
      <c r="AJ179" s="112"/>
      <c r="AK179" s="130">
        <f t="shared" si="41"/>
        <v>5.1727666666666665E-2</v>
      </c>
    </row>
    <row r="180" spans="1:37" x14ac:dyDescent="0.15">
      <c r="A180" s="39"/>
      <c r="B180" s="39" t="s">
        <v>139</v>
      </c>
      <c r="C180" s="101" t="s">
        <v>241</v>
      </c>
      <c r="D180" s="102"/>
      <c r="E180" s="103">
        <v>50</v>
      </c>
      <c r="G180" s="104">
        <v>2.034E-2</v>
      </c>
      <c r="H180" s="104">
        <v>1.8950000000000002E-2</v>
      </c>
      <c r="I180" s="104">
        <v>9.0186000000000002E-2</v>
      </c>
      <c r="K180" s="105">
        <f t="shared" si="43"/>
        <v>2.1579333333333337</v>
      </c>
      <c r="M180" s="105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  <c r="Z180" s="106"/>
      <c r="AA180" s="107"/>
      <c r="AB180" s="108"/>
      <c r="AC180" s="109"/>
      <c r="AD180" s="110"/>
      <c r="AE180" s="110"/>
      <c r="AF180" s="110"/>
      <c r="AG180" s="108"/>
      <c r="AH180" s="109"/>
      <c r="AI180" s="111"/>
      <c r="AJ180" s="112"/>
      <c r="AK180" s="130">
        <f t="shared" si="41"/>
        <v>4.3158666666666672E-2</v>
      </c>
    </row>
    <row r="181" spans="1:37" x14ac:dyDescent="0.15">
      <c r="A181" s="39"/>
      <c r="B181" s="39" t="s">
        <v>139</v>
      </c>
      <c r="C181" s="101" t="s">
        <v>220</v>
      </c>
      <c r="D181" s="102"/>
      <c r="E181" s="103">
        <v>6</v>
      </c>
      <c r="G181" s="113">
        <v>3.49E-2</v>
      </c>
      <c r="H181" s="113">
        <v>4.2479999999999997E-2</v>
      </c>
      <c r="I181" s="113">
        <v>4.3700000000000003E-2</v>
      </c>
      <c r="K181" s="105">
        <f t="shared" si="43"/>
        <v>0.24215999999999999</v>
      </c>
      <c r="M181" s="105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  <c r="AA181" s="107"/>
      <c r="AB181" s="108"/>
      <c r="AC181" s="109"/>
      <c r="AD181" s="110"/>
      <c r="AE181" s="110"/>
      <c r="AF181" s="110"/>
      <c r="AG181" s="108"/>
      <c r="AH181" s="109"/>
      <c r="AI181" s="111"/>
      <c r="AJ181" s="112"/>
      <c r="AK181" s="130">
        <f t="shared" si="41"/>
        <v>4.036E-2</v>
      </c>
    </row>
    <row r="182" spans="1:37" x14ac:dyDescent="0.15">
      <c r="A182" s="39"/>
      <c r="B182" s="39" t="s">
        <v>139</v>
      </c>
      <c r="C182" s="101" t="s">
        <v>176</v>
      </c>
      <c r="D182" s="102"/>
      <c r="E182" s="103">
        <v>15</v>
      </c>
      <c r="G182" s="104">
        <v>0.5</v>
      </c>
      <c r="H182" s="104">
        <v>0.29166667000000002</v>
      </c>
      <c r="I182" s="104">
        <v>0.4</v>
      </c>
      <c r="K182" s="105">
        <f t="shared" si="43"/>
        <v>5.9583333500000002</v>
      </c>
      <c r="M182" s="105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  <c r="Z182" s="106"/>
      <c r="AA182" s="107"/>
      <c r="AB182" s="108"/>
      <c r="AC182" s="109"/>
      <c r="AD182" s="110"/>
      <c r="AE182" s="110"/>
      <c r="AF182" s="110"/>
      <c r="AG182" s="108"/>
      <c r="AH182" s="109"/>
      <c r="AI182" s="111"/>
      <c r="AJ182" s="112"/>
      <c r="AK182" s="130">
        <f t="shared" si="41"/>
        <v>0.39722222333333335</v>
      </c>
    </row>
    <row r="183" spans="1:37" x14ac:dyDescent="0.15">
      <c r="A183" s="39"/>
      <c r="B183" s="39" t="s">
        <v>139</v>
      </c>
      <c r="C183" s="101" t="s">
        <v>182</v>
      </c>
      <c r="D183" s="102"/>
      <c r="E183" s="103">
        <v>150</v>
      </c>
      <c r="G183" s="104">
        <v>8.0000000000000002E-3</v>
      </c>
      <c r="H183" s="104">
        <v>8.9999999999999993E-3</v>
      </c>
      <c r="I183" s="104">
        <v>0.01</v>
      </c>
      <c r="K183" s="105">
        <f t="shared" si="43"/>
        <v>1.35</v>
      </c>
      <c r="M183" s="105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  <c r="Z183" s="106"/>
      <c r="AA183" s="107"/>
      <c r="AB183" s="108"/>
      <c r="AC183" s="109"/>
      <c r="AD183" s="110"/>
      <c r="AE183" s="110"/>
      <c r="AF183" s="110"/>
      <c r="AG183" s="108"/>
      <c r="AH183" s="109"/>
      <c r="AI183" s="111"/>
      <c r="AJ183" s="112"/>
      <c r="AK183" s="130">
        <f t="shared" si="41"/>
        <v>9.0000000000000011E-3</v>
      </c>
    </row>
    <row r="184" spans="1:37" x14ac:dyDescent="0.15">
      <c r="A184" s="39"/>
      <c r="B184" s="39" t="s">
        <v>139</v>
      </c>
      <c r="C184" s="101" t="s">
        <v>242</v>
      </c>
      <c r="D184" s="102"/>
      <c r="E184" s="103">
        <v>250</v>
      </c>
      <c r="G184" s="104">
        <v>3.2106017190000002E-2</v>
      </c>
      <c r="H184" s="104">
        <v>3.008595989E-2</v>
      </c>
      <c r="I184" s="104">
        <v>3.2506879000000002E-2</v>
      </c>
      <c r="K184" s="105">
        <f t="shared" si="43"/>
        <v>7.8915713400000005</v>
      </c>
      <c r="M184" s="105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  <c r="Z184" s="106"/>
      <c r="AA184" s="107"/>
      <c r="AB184" s="108"/>
      <c r="AC184" s="109"/>
      <c r="AD184" s="110"/>
      <c r="AE184" s="110"/>
      <c r="AF184" s="110"/>
      <c r="AG184" s="108"/>
      <c r="AH184" s="109"/>
      <c r="AI184" s="111"/>
      <c r="AJ184" s="112"/>
      <c r="AK184" s="130">
        <f t="shared" si="41"/>
        <v>3.1566285360000002E-2</v>
      </c>
    </row>
    <row r="185" spans="1:37" x14ac:dyDescent="0.15">
      <c r="A185" s="39"/>
      <c r="B185" s="39" t="s">
        <v>139</v>
      </c>
      <c r="C185" s="101" t="s">
        <v>162</v>
      </c>
      <c r="D185" s="102"/>
      <c r="E185" s="103">
        <v>30</v>
      </c>
      <c r="G185" s="104">
        <v>0.02</v>
      </c>
      <c r="H185" s="104">
        <v>0.25</v>
      </c>
      <c r="I185" s="104">
        <v>2.8000000000000001E-2</v>
      </c>
      <c r="K185" s="105">
        <f t="shared" si="43"/>
        <v>2.9800000000000004</v>
      </c>
      <c r="M185" s="105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  <c r="Z185" s="106"/>
      <c r="AA185" s="107"/>
      <c r="AB185" s="108"/>
      <c r="AC185" s="109"/>
      <c r="AD185" s="110"/>
      <c r="AE185" s="110"/>
      <c r="AF185" s="110"/>
      <c r="AG185" s="108"/>
      <c r="AH185" s="109"/>
      <c r="AI185" s="111"/>
      <c r="AJ185" s="112"/>
      <c r="AK185" s="130">
        <f t="shared" si="41"/>
        <v>9.9333333333333343E-2</v>
      </c>
    </row>
    <row r="186" spans="1:37" x14ac:dyDescent="0.15">
      <c r="A186" s="39"/>
      <c r="B186" s="39" t="s">
        <v>139</v>
      </c>
      <c r="C186" s="101" t="s">
        <v>155</v>
      </c>
      <c r="D186" s="102"/>
      <c r="E186" s="103">
        <v>30</v>
      </c>
      <c r="G186" s="104">
        <v>7.2459999999999997E-2</v>
      </c>
      <c r="H186" s="104">
        <v>7.8659999999999994E-2</v>
      </c>
      <c r="I186" s="104">
        <v>8.4680000000000005E-2</v>
      </c>
      <c r="K186" s="105">
        <f t="shared" si="43"/>
        <v>2.3579999999999997</v>
      </c>
      <c r="M186" s="105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  <c r="Z186" s="106"/>
      <c r="AA186" s="107"/>
      <c r="AB186" s="108"/>
      <c r="AC186" s="109"/>
      <c r="AD186" s="110"/>
      <c r="AE186" s="110"/>
      <c r="AF186" s="110"/>
      <c r="AG186" s="108"/>
      <c r="AH186" s="109"/>
      <c r="AI186" s="111"/>
      <c r="AJ186" s="112"/>
      <c r="AK186" s="130">
        <f t="shared" si="41"/>
        <v>7.8599999999999989E-2</v>
      </c>
    </row>
    <row r="187" spans="1:37" x14ac:dyDescent="0.15">
      <c r="A187" s="39"/>
      <c r="B187" s="39" t="s">
        <v>139</v>
      </c>
      <c r="C187" s="101" t="s">
        <v>164</v>
      </c>
      <c r="D187" s="102"/>
      <c r="E187" s="103">
        <v>25</v>
      </c>
      <c r="G187" s="104">
        <v>7.9799999999999992E-3</v>
      </c>
      <c r="H187" s="104">
        <v>5.7200000000000003E-3</v>
      </c>
      <c r="I187" s="104">
        <v>7.7799999999999996E-3</v>
      </c>
      <c r="K187" s="105">
        <f t="shared" si="43"/>
        <v>0.17899999999999999</v>
      </c>
      <c r="M187" s="105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  <c r="Z187" s="106"/>
      <c r="AA187" s="107"/>
      <c r="AB187" s="108"/>
      <c r="AC187" s="109"/>
      <c r="AD187" s="110"/>
      <c r="AE187" s="110"/>
      <c r="AF187" s="110"/>
      <c r="AG187" s="108"/>
      <c r="AH187" s="109"/>
      <c r="AI187" s="111"/>
      <c r="AJ187" s="112"/>
      <c r="AK187" s="130">
        <f t="shared" si="41"/>
        <v>7.1599999999999997E-3</v>
      </c>
    </row>
    <row r="188" spans="1:37" x14ac:dyDescent="0.15">
      <c r="A188" s="39"/>
      <c r="B188" s="39" t="s">
        <v>139</v>
      </c>
      <c r="C188" s="101" t="s">
        <v>153</v>
      </c>
      <c r="D188" s="102"/>
      <c r="E188" s="103">
        <v>250</v>
      </c>
      <c r="G188" s="104">
        <v>2.3031999999999999E-5</v>
      </c>
      <c r="H188" s="104">
        <v>2.3031999999999999E-5</v>
      </c>
      <c r="I188" s="104">
        <v>2.3031999999999999E-5</v>
      </c>
      <c r="K188" s="105">
        <f t="shared" si="43"/>
        <v>5.7579999999999992E-3</v>
      </c>
      <c r="M188" s="105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  <c r="AA188" s="107"/>
      <c r="AB188" s="108"/>
      <c r="AC188" s="109"/>
      <c r="AD188" s="110"/>
      <c r="AE188" s="110"/>
      <c r="AF188" s="110"/>
      <c r="AG188" s="108"/>
      <c r="AH188" s="109"/>
      <c r="AI188" s="111"/>
      <c r="AJ188" s="112"/>
      <c r="AK188" s="130">
        <f t="shared" si="41"/>
        <v>2.3031999999999996E-5</v>
      </c>
    </row>
    <row r="189" spans="1:37" x14ac:dyDescent="0.15">
      <c r="A189" s="39"/>
      <c r="B189" s="39" t="s">
        <v>139</v>
      </c>
      <c r="C189" s="101" t="s">
        <v>243</v>
      </c>
      <c r="D189" s="102"/>
      <c r="E189" s="103">
        <v>10</v>
      </c>
      <c r="G189" s="104">
        <v>5.8000000000000003E-2</v>
      </c>
      <c r="H189" s="104">
        <v>0.50245499999999998</v>
      </c>
      <c r="I189" s="104">
        <v>7.0000000000000007E-2</v>
      </c>
      <c r="K189" s="105">
        <f t="shared" si="43"/>
        <v>2.1015166666666665</v>
      </c>
      <c r="M189" s="105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  <c r="AA189" s="107"/>
      <c r="AB189" s="108"/>
      <c r="AC189" s="109"/>
      <c r="AD189" s="110"/>
      <c r="AE189" s="110"/>
      <c r="AF189" s="110"/>
      <c r="AG189" s="108"/>
      <c r="AH189" s="109"/>
      <c r="AI189" s="111"/>
      <c r="AJ189" s="112"/>
      <c r="AK189" s="130">
        <f t="shared" si="41"/>
        <v>0.21015166666666665</v>
      </c>
    </row>
    <row r="190" spans="1:37" x14ac:dyDescent="0.15">
      <c r="A190" s="39"/>
      <c r="B190" s="39" t="s">
        <v>139</v>
      </c>
      <c r="C190" s="101" t="s">
        <v>177</v>
      </c>
      <c r="D190" s="102"/>
      <c r="E190" s="103">
        <v>5</v>
      </c>
      <c r="G190" s="104">
        <v>0.15720000000000001</v>
      </c>
      <c r="H190" s="104">
        <v>0.17299999999999999</v>
      </c>
      <c r="I190" s="104">
        <v>0.15379999999999999</v>
      </c>
      <c r="K190" s="105">
        <f t="shared" si="43"/>
        <v>0.80666666666666664</v>
      </c>
      <c r="M190" s="105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  <c r="AA190" s="107"/>
      <c r="AB190" s="108"/>
      <c r="AC190" s="109"/>
      <c r="AD190" s="110"/>
      <c r="AE190" s="110"/>
      <c r="AF190" s="110"/>
      <c r="AG190" s="108"/>
      <c r="AH190" s="109"/>
      <c r="AI190" s="111"/>
      <c r="AJ190" s="112"/>
      <c r="AK190" s="130">
        <f t="shared" si="41"/>
        <v>0.16133333333333333</v>
      </c>
    </row>
    <row r="191" spans="1:37" x14ac:dyDescent="0.15">
      <c r="A191" s="39"/>
      <c r="B191" s="39" t="s">
        <v>139</v>
      </c>
      <c r="C191" s="101" t="s">
        <v>244</v>
      </c>
      <c r="D191" s="102"/>
      <c r="E191" s="103">
        <v>10</v>
      </c>
      <c r="G191" s="104">
        <v>5.8000000000000003E-2</v>
      </c>
      <c r="H191" s="104">
        <v>2.1479999999999999E-2</v>
      </c>
      <c r="I191" s="104">
        <v>5.93333333333333E-2</v>
      </c>
      <c r="K191" s="105">
        <f t="shared" si="43"/>
        <v>0.46271111111111096</v>
      </c>
      <c r="M191" s="105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  <c r="AA191" s="107"/>
      <c r="AB191" s="108"/>
      <c r="AC191" s="109"/>
      <c r="AD191" s="110"/>
      <c r="AE191" s="110"/>
      <c r="AF191" s="110"/>
      <c r="AG191" s="108"/>
      <c r="AH191" s="109"/>
      <c r="AI191" s="111"/>
      <c r="AJ191" s="112"/>
      <c r="AK191" s="130">
        <f t="shared" si="41"/>
        <v>4.6271111111111096E-2</v>
      </c>
    </row>
    <row r="192" spans="1:37" x14ac:dyDescent="0.15">
      <c r="A192" s="39"/>
      <c r="B192" s="39" t="s">
        <v>87</v>
      </c>
      <c r="C192" s="114"/>
      <c r="D192" s="115"/>
      <c r="G192" s="105"/>
      <c r="H192" s="105"/>
      <c r="I192" s="105"/>
      <c r="K192" s="105">
        <f>SUM(K176:K191)</f>
        <v>49.683396252611097</v>
      </c>
      <c r="L192" s="105">
        <f>K192*D175*AA$22</f>
        <v>17761.814160308466</v>
      </c>
      <c r="M192" s="105"/>
      <c r="N192" s="105">
        <f>M192*D175*AA$22</f>
        <v>0</v>
      </c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  <c r="AA192" s="107"/>
      <c r="AB192" s="119"/>
      <c r="AC192" s="120"/>
      <c r="AD192" s="121"/>
      <c r="AE192" s="121"/>
      <c r="AF192" s="121"/>
      <c r="AG192" s="119"/>
      <c r="AH192" s="120"/>
      <c r="AI192" s="131"/>
      <c r="AJ192" s="131"/>
      <c r="AK192" s="130" t="e">
        <f t="shared" si="41"/>
        <v>#DIV/0!</v>
      </c>
    </row>
    <row r="193" spans="1:37" ht="11.4" x14ac:dyDescent="0.25">
      <c r="A193" s="82" t="s">
        <v>139</v>
      </c>
      <c r="B193" s="82" t="s">
        <v>87</v>
      </c>
      <c r="C193" s="94" t="s">
        <v>245</v>
      </c>
      <c r="D193" s="95">
        <v>6.5000000000000002E-2</v>
      </c>
      <c r="E193" s="83"/>
      <c r="F193" s="82">
        <v>500</v>
      </c>
      <c r="G193" s="117"/>
      <c r="H193" s="96"/>
      <c r="I193" s="96"/>
      <c r="J193" s="82"/>
      <c r="K193" s="88"/>
      <c r="L193" s="82"/>
      <c r="M193" s="97"/>
      <c r="N193" s="82"/>
      <c r="O193" s="84">
        <f t="shared" ref="O193:Z193" si="45">INT(O$22*$D193)</f>
        <v>19</v>
      </c>
      <c r="P193" s="84">
        <f t="shared" si="45"/>
        <v>17</v>
      </c>
      <c r="Q193" s="84">
        <f t="shared" si="45"/>
        <v>31</v>
      </c>
      <c r="R193" s="84">
        <f t="shared" si="45"/>
        <v>32</v>
      </c>
      <c r="S193" s="84">
        <f t="shared" si="45"/>
        <v>39</v>
      </c>
      <c r="T193" s="84">
        <f t="shared" si="45"/>
        <v>38</v>
      </c>
      <c r="U193" s="84">
        <f t="shared" si="45"/>
        <v>31</v>
      </c>
      <c r="V193" s="84">
        <f t="shared" si="45"/>
        <v>35</v>
      </c>
      <c r="W193" s="84">
        <f t="shared" si="45"/>
        <v>32</v>
      </c>
      <c r="X193" s="84">
        <f t="shared" si="45"/>
        <v>31</v>
      </c>
      <c r="Y193" s="84">
        <f t="shared" si="45"/>
        <v>28</v>
      </c>
      <c r="Z193" s="84">
        <f t="shared" si="45"/>
        <v>19</v>
      </c>
      <c r="AA193" s="98">
        <f>SUM(O193:Z193)</f>
        <v>352</v>
      </c>
      <c r="AB193" s="82"/>
      <c r="AC193" s="82"/>
      <c r="AD193" s="87"/>
      <c r="AE193" s="132"/>
      <c r="AF193" s="132"/>
      <c r="AG193" s="88"/>
      <c r="AH193" s="88"/>
      <c r="AI193" s="88"/>
      <c r="AJ193" s="88"/>
      <c r="AK193" s="130" t="e">
        <f t="shared" si="41"/>
        <v>#DIV/0!</v>
      </c>
    </row>
    <row r="194" spans="1:37" x14ac:dyDescent="0.15">
      <c r="A194" s="39"/>
      <c r="B194" s="39" t="s">
        <v>139</v>
      </c>
      <c r="C194" s="101" t="s">
        <v>206</v>
      </c>
      <c r="D194" s="102"/>
      <c r="E194" s="103">
        <v>500</v>
      </c>
      <c r="G194" s="104">
        <v>1.0500000000000001E-2</v>
      </c>
      <c r="H194" s="104">
        <v>9.75E-3</v>
      </c>
      <c r="I194" s="104">
        <v>1.18E-2</v>
      </c>
      <c r="K194" s="105">
        <f t="shared" ref="K194:K199" si="46">AVERAGE(G194:I194)*E194</f>
        <v>5.3416666666666677</v>
      </c>
      <c r="M194" s="105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  <c r="Z194" s="106"/>
      <c r="AA194" s="107"/>
      <c r="AB194" s="108"/>
      <c r="AC194" s="109"/>
      <c r="AD194" s="110"/>
      <c r="AE194" s="110"/>
      <c r="AF194" s="110"/>
      <c r="AG194" s="108"/>
      <c r="AH194" s="109"/>
      <c r="AI194" s="111"/>
      <c r="AJ194" s="112"/>
      <c r="AK194" s="130">
        <f t="shared" si="41"/>
        <v>1.0683333333333335E-2</v>
      </c>
    </row>
    <row r="195" spans="1:37" x14ac:dyDescent="0.15">
      <c r="A195" s="39"/>
      <c r="B195" s="39" t="s">
        <v>139</v>
      </c>
      <c r="C195" s="101" t="s">
        <v>153</v>
      </c>
      <c r="D195" s="102"/>
      <c r="E195" s="103">
        <v>1500</v>
      </c>
      <c r="G195" s="104">
        <v>2.3031999999999999E-5</v>
      </c>
      <c r="H195" s="104">
        <v>2.3031999999999999E-5</v>
      </c>
      <c r="I195" s="104">
        <v>2.3031999999999999E-5</v>
      </c>
      <c r="K195" s="105">
        <f t="shared" si="46"/>
        <v>3.4547999999999995E-2</v>
      </c>
      <c r="M195" s="105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  <c r="Z195" s="106"/>
      <c r="AA195" s="107"/>
      <c r="AB195" s="108"/>
      <c r="AC195" s="109"/>
      <c r="AD195" s="110"/>
      <c r="AE195" s="110"/>
      <c r="AF195" s="110"/>
      <c r="AG195" s="108"/>
      <c r="AH195" s="109"/>
      <c r="AI195" s="111"/>
      <c r="AJ195" s="112"/>
      <c r="AK195" s="130">
        <f t="shared" si="41"/>
        <v>2.3031999999999996E-5</v>
      </c>
    </row>
    <row r="196" spans="1:37" x14ac:dyDescent="0.15">
      <c r="A196" s="39"/>
      <c r="B196" s="39" t="s">
        <v>139</v>
      </c>
      <c r="C196" s="101" t="s">
        <v>164</v>
      </c>
      <c r="D196" s="102"/>
      <c r="E196" s="103">
        <v>10</v>
      </c>
      <c r="G196" s="104">
        <v>7.9799999999999992E-3</v>
      </c>
      <c r="H196" s="104">
        <v>5.7200000000000003E-3</v>
      </c>
      <c r="I196" s="104">
        <v>7.7799999999999996E-3</v>
      </c>
      <c r="K196" s="105">
        <f t="shared" si="46"/>
        <v>7.1599999999999997E-2</v>
      </c>
      <c r="M196" s="105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  <c r="Z196" s="106"/>
      <c r="AA196" s="107"/>
      <c r="AB196" s="108"/>
      <c r="AC196" s="109"/>
      <c r="AD196" s="110"/>
      <c r="AE196" s="110"/>
      <c r="AF196" s="110"/>
      <c r="AG196" s="108"/>
      <c r="AH196" s="109"/>
      <c r="AI196" s="111"/>
      <c r="AJ196" s="112"/>
      <c r="AK196" s="130">
        <f t="shared" si="41"/>
        <v>7.1599999999999997E-3</v>
      </c>
    </row>
    <row r="197" spans="1:37" x14ac:dyDescent="0.15">
      <c r="A197" s="39"/>
      <c r="B197" s="39" t="s">
        <v>139</v>
      </c>
      <c r="C197" s="101" t="s">
        <v>182</v>
      </c>
      <c r="D197" s="102"/>
      <c r="E197" s="103">
        <v>15</v>
      </c>
      <c r="G197" s="104">
        <v>8.0000000000000002E-3</v>
      </c>
      <c r="H197" s="104">
        <v>8.9999999999999993E-3</v>
      </c>
      <c r="I197" s="104">
        <v>0.01</v>
      </c>
      <c r="K197" s="105">
        <f t="shared" si="46"/>
        <v>0.13500000000000001</v>
      </c>
      <c r="M197" s="105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  <c r="Z197" s="106"/>
      <c r="AA197" s="107"/>
      <c r="AB197" s="108"/>
      <c r="AC197" s="109"/>
      <c r="AD197" s="110"/>
      <c r="AE197" s="110"/>
      <c r="AF197" s="110"/>
      <c r="AG197" s="108"/>
      <c r="AH197" s="109"/>
      <c r="AI197" s="111"/>
      <c r="AJ197" s="112"/>
      <c r="AK197" s="130">
        <f t="shared" si="41"/>
        <v>9.0000000000000011E-3</v>
      </c>
    </row>
    <row r="198" spans="1:37" x14ac:dyDescent="0.15">
      <c r="A198" s="39"/>
      <c r="B198" s="39" t="s">
        <v>139</v>
      </c>
      <c r="C198" s="101" t="s">
        <v>155</v>
      </c>
      <c r="D198" s="102"/>
      <c r="E198" s="103">
        <v>10</v>
      </c>
      <c r="G198" s="104">
        <v>7.2459999999999997E-2</v>
      </c>
      <c r="H198" s="104">
        <v>7.8659999999999994E-2</v>
      </c>
      <c r="I198" s="104">
        <v>8.4680000000000005E-2</v>
      </c>
      <c r="K198" s="105">
        <f t="shared" si="46"/>
        <v>0.78599999999999992</v>
      </c>
      <c r="M198" s="105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  <c r="Z198" s="106"/>
      <c r="AA198" s="107"/>
      <c r="AB198" s="108"/>
      <c r="AC198" s="109"/>
      <c r="AD198" s="110"/>
      <c r="AE198" s="110"/>
      <c r="AF198" s="110"/>
      <c r="AG198" s="108"/>
      <c r="AH198" s="109"/>
      <c r="AI198" s="111"/>
      <c r="AJ198" s="112"/>
      <c r="AK198" s="130">
        <f t="shared" si="41"/>
        <v>7.8599999999999989E-2</v>
      </c>
    </row>
    <row r="199" spans="1:37" x14ac:dyDescent="0.15">
      <c r="A199" s="39"/>
      <c r="B199" s="39" t="s">
        <v>139</v>
      </c>
      <c r="C199" s="101" t="s">
        <v>176</v>
      </c>
      <c r="D199" s="102"/>
      <c r="E199" s="103">
        <v>6</v>
      </c>
      <c r="G199" s="104">
        <v>0.5</v>
      </c>
      <c r="H199" s="104">
        <v>0.29166667000000002</v>
      </c>
      <c r="I199" s="104">
        <v>0.4</v>
      </c>
      <c r="K199" s="105">
        <f t="shared" si="46"/>
        <v>2.3833333400000001</v>
      </c>
      <c r="M199" s="105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  <c r="Z199" s="106"/>
      <c r="AA199" s="107"/>
      <c r="AB199" s="108"/>
      <c r="AC199" s="109"/>
      <c r="AD199" s="110"/>
      <c r="AE199" s="110"/>
      <c r="AF199" s="110"/>
      <c r="AG199" s="108"/>
      <c r="AH199" s="109"/>
      <c r="AI199" s="111"/>
      <c r="AJ199" s="112"/>
      <c r="AK199" s="130">
        <f t="shared" si="41"/>
        <v>0.39722222333333335</v>
      </c>
    </row>
    <row r="200" spans="1:37" x14ac:dyDescent="0.15">
      <c r="A200" s="39"/>
      <c r="B200" s="39" t="s">
        <v>87</v>
      </c>
      <c r="C200" s="114"/>
      <c r="D200" s="115"/>
      <c r="G200" s="105"/>
      <c r="H200" s="105"/>
      <c r="I200" s="105"/>
      <c r="K200" s="105">
        <f>SUM(K194:K199)</f>
        <v>8.7521480066666673</v>
      </c>
      <c r="L200" s="105">
        <f>K200*D193*AA$22</f>
        <v>3128.8929123833336</v>
      </c>
      <c r="M200" s="105"/>
      <c r="N200" s="105">
        <f>M200*D193*AA$22</f>
        <v>0</v>
      </c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  <c r="Z200" s="106"/>
      <c r="AA200" s="107"/>
      <c r="AB200" s="119"/>
      <c r="AC200" s="120"/>
      <c r="AD200" s="121"/>
      <c r="AE200" s="121"/>
      <c r="AF200" s="121"/>
      <c r="AG200" s="119"/>
      <c r="AH200" s="120"/>
      <c r="AI200" s="131"/>
      <c r="AJ200" s="122"/>
      <c r="AK200" s="130" t="e">
        <f t="shared" si="41"/>
        <v>#DIV/0!</v>
      </c>
    </row>
    <row r="201" spans="1:37" ht="11.4" x14ac:dyDescent="0.25">
      <c r="A201" s="82" t="s">
        <v>139</v>
      </c>
      <c r="B201" s="82" t="s">
        <v>87</v>
      </c>
      <c r="C201" s="94" t="s">
        <v>246</v>
      </c>
      <c r="D201" s="95">
        <v>6.5000000000000002E-2</v>
      </c>
      <c r="E201" s="83"/>
      <c r="F201" s="82">
        <v>500</v>
      </c>
      <c r="G201" s="117"/>
      <c r="H201" s="96"/>
      <c r="I201" s="96"/>
      <c r="J201" s="82"/>
      <c r="K201" s="88"/>
      <c r="L201" s="82"/>
      <c r="M201" s="97"/>
      <c r="N201" s="82"/>
      <c r="O201" s="84">
        <f t="shared" ref="O201:Z201" si="47">INT(O$22*$D201)</f>
        <v>19</v>
      </c>
      <c r="P201" s="84">
        <f t="shared" si="47"/>
        <v>17</v>
      </c>
      <c r="Q201" s="84">
        <f t="shared" si="47"/>
        <v>31</v>
      </c>
      <c r="R201" s="84">
        <f t="shared" si="47"/>
        <v>32</v>
      </c>
      <c r="S201" s="84">
        <f t="shared" si="47"/>
        <v>39</v>
      </c>
      <c r="T201" s="84">
        <f t="shared" si="47"/>
        <v>38</v>
      </c>
      <c r="U201" s="84">
        <f t="shared" si="47"/>
        <v>31</v>
      </c>
      <c r="V201" s="84">
        <f t="shared" si="47"/>
        <v>35</v>
      </c>
      <c r="W201" s="84">
        <f t="shared" si="47"/>
        <v>32</v>
      </c>
      <c r="X201" s="84">
        <f t="shared" si="47"/>
        <v>31</v>
      </c>
      <c r="Y201" s="84">
        <f t="shared" si="47"/>
        <v>28</v>
      </c>
      <c r="Z201" s="84">
        <f t="shared" si="47"/>
        <v>19</v>
      </c>
      <c r="AA201" s="98">
        <f>SUM(O201:Z201)</f>
        <v>352</v>
      </c>
      <c r="AB201" s="82"/>
      <c r="AC201" s="82"/>
      <c r="AD201" s="87"/>
      <c r="AE201" s="132"/>
      <c r="AF201" s="132"/>
      <c r="AG201" s="88"/>
      <c r="AH201" s="88"/>
      <c r="AI201" s="88"/>
      <c r="AJ201" s="88"/>
      <c r="AK201" s="130" t="e">
        <f t="shared" si="41"/>
        <v>#DIV/0!</v>
      </c>
    </row>
    <row r="202" spans="1:37" x14ac:dyDescent="0.15">
      <c r="A202" s="39"/>
      <c r="B202" s="39" t="s">
        <v>139</v>
      </c>
      <c r="C202" s="101" t="s">
        <v>206</v>
      </c>
      <c r="D202" s="102"/>
      <c r="E202" s="103">
        <v>500</v>
      </c>
      <c r="G202" s="104">
        <v>1.0500000000000001E-2</v>
      </c>
      <c r="H202" s="104">
        <v>9.75E-3</v>
      </c>
      <c r="I202" s="104">
        <v>1.18E-2</v>
      </c>
      <c r="K202" s="105">
        <f t="shared" ref="K202:K208" si="48">AVERAGE(G202:I202)*E202</f>
        <v>5.3416666666666677</v>
      </c>
      <c r="M202" s="105"/>
      <c r="O202" s="106">
        <f>O$201*$E202</f>
        <v>9500</v>
      </c>
      <c r="P202" s="106">
        <f t="shared" ref="P202:Z202" si="49">P$201*$E202</f>
        <v>8500</v>
      </c>
      <c r="Q202" s="106">
        <f t="shared" si="49"/>
        <v>15500</v>
      </c>
      <c r="R202" s="106">
        <f t="shared" si="49"/>
        <v>16000</v>
      </c>
      <c r="S202" s="106">
        <f t="shared" si="49"/>
        <v>19500</v>
      </c>
      <c r="T202" s="106">
        <f t="shared" si="49"/>
        <v>19000</v>
      </c>
      <c r="U202" s="106">
        <f t="shared" si="49"/>
        <v>15500</v>
      </c>
      <c r="V202" s="106">
        <f t="shared" si="49"/>
        <v>17500</v>
      </c>
      <c r="W202" s="106">
        <f t="shared" si="49"/>
        <v>16000</v>
      </c>
      <c r="X202" s="106">
        <f t="shared" si="49"/>
        <v>15500</v>
      </c>
      <c r="Y202" s="106">
        <f t="shared" si="49"/>
        <v>14000</v>
      </c>
      <c r="Z202" s="106">
        <f t="shared" si="49"/>
        <v>9500</v>
      </c>
      <c r="AA202" s="107">
        <f>SUM(O202:Z202)</f>
        <v>176000</v>
      </c>
      <c r="AB202" s="108">
        <f>MAX(O202:Z202,1)/4/6</f>
        <v>812.5</v>
      </c>
      <c r="AC202" s="109">
        <f>AA202/12/4/6</f>
        <v>611.11111111111109</v>
      </c>
      <c r="AD202" s="110">
        <v>10</v>
      </c>
      <c r="AE202" s="110">
        <v>7</v>
      </c>
      <c r="AF202" s="110">
        <v>3.09</v>
      </c>
      <c r="AG202" s="108">
        <f>(AB202-AC202)*(AD202-AE202)*AF202</f>
        <v>1866.8750000000002</v>
      </c>
      <c r="AH202" s="109">
        <f>(AC202/2)+AG202</f>
        <v>2172.4305555555557</v>
      </c>
      <c r="AI202" s="111">
        <f>SUM(G202:I202)/3</f>
        <v>1.0683333333333335E-2</v>
      </c>
      <c r="AJ202" s="112">
        <f>AH202*AI202</f>
        <v>23.208799768518521</v>
      </c>
      <c r="AK202" s="130">
        <f t="shared" si="41"/>
        <v>1.0683333333333335E-2</v>
      </c>
    </row>
    <row r="203" spans="1:37" x14ac:dyDescent="0.15">
      <c r="A203" s="39"/>
      <c r="B203" s="39" t="s">
        <v>139</v>
      </c>
      <c r="C203" s="101" t="s">
        <v>153</v>
      </c>
      <c r="D203" s="102"/>
      <c r="E203" s="103">
        <v>1500</v>
      </c>
      <c r="G203" s="104">
        <v>2.3031999999999999E-5</v>
      </c>
      <c r="H203" s="104">
        <v>2.3031999999999999E-5</v>
      </c>
      <c r="I203" s="104">
        <v>2.3031999999999999E-5</v>
      </c>
      <c r="K203" s="105">
        <f t="shared" si="48"/>
        <v>3.4547999999999995E-2</v>
      </c>
      <c r="M203" s="105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  <c r="AA203" s="107"/>
      <c r="AB203" s="108"/>
      <c r="AC203" s="109"/>
      <c r="AD203" s="110"/>
      <c r="AE203" s="110"/>
      <c r="AF203" s="110"/>
      <c r="AG203" s="108"/>
      <c r="AH203" s="109"/>
      <c r="AI203" s="111"/>
      <c r="AJ203" s="112"/>
      <c r="AK203" s="130">
        <f t="shared" si="41"/>
        <v>2.3031999999999996E-5</v>
      </c>
    </row>
    <row r="204" spans="1:37" x14ac:dyDescent="0.15">
      <c r="A204" s="39"/>
      <c r="B204" s="39" t="s">
        <v>139</v>
      </c>
      <c r="C204" s="101" t="s">
        <v>164</v>
      </c>
      <c r="D204" s="102"/>
      <c r="E204" s="103">
        <v>10</v>
      </c>
      <c r="G204" s="104">
        <v>7.9799999999999992E-3</v>
      </c>
      <c r="H204" s="104">
        <v>5.7200000000000003E-3</v>
      </c>
      <c r="I204" s="104">
        <v>7.7799999999999996E-3</v>
      </c>
      <c r="K204" s="105">
        <f t="shared" si="48"/>
        <v>7.1599999999999997E-2</v>
      </c>
      <c r="M204" s="105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  <c r="Z204" s="106"/>
      <c r="AA204" s="107"/>
      <c r="AB204" s="108"/>
      <c r="AC204" s="109"/>
      <c r="AD204" s="110"/>
      <c r="AE204" s="110"/>
      <c r="AF204" s="110"/>
      <c r="AG204" s="108"/>
      <c r="AH204" s="109"/>
      <c r="AI204" s="111"/>
      <c r="AJ204" s="112"/>
      <c r="AK204" s="130">
        <f t="shared" si="41"/>
        <v>7.1599999999999997E-3</v>
      </c>
    </row>
    <row r="205" spans="1:37" x14ac:dyDescent="0.15">
      <c r="A205" s="39"/>
      <c r="B205" s="39" t="s">
        <v>139</v>
      </c>
      <c r="C205" s="101" t="s">
        <v>182</v>
      </c>
      <c r="D205" s="102"/>
      <c r="E205" s="103">
        <v>15</v>
      </c>
      <c r="G205" s="104">
        <v>8.0000000000000002E-3</v>
      </c>
      <c r="H205" s="104">
        <v>8.9999999999999993E-3</v>
      </c>
      <c r="I205" s="104">
        <v>0.01</v>
      </c>
      <c r="K205" s="105">
        <f t="shared" si="48"/>
        <v>0.13500000000000001</v>
      </c>
      <c r="M205" s="105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  <c r="AA205" s="107"/>
      <c r="AB205" s="108"/>
      <c r="AC205" s="109"/>
      <c r="AD205" s="110"/>
      <c r="AE205" s="110"/>
      <c r="AF205" s="110"/>
      <c r="AG205" s="108"/>
      <c r="AH205" s="109"/>
      <c r="AI205" s="111"/>
      <c r="AJ205" s="112"/>
      <c r="AK205" s="130">
        <f t="shared" si="41"/>
        <v>9.0000000000000011E-3</v>
      </c>
    </row>
    <row r="206" spans="1:37" x14ac:dyDescent="0.15">
      <c r="A206" s="39"/>
      <c r="B206" s="39" t="s">
        <v>139</v>
      </c>
      <c r="C206" s="101" t="s">
        <v>155</v>
      </c>
      <c r="D206" s="102"/>
      <c r="E206" s="103">
        <v>10</v>
      </c>
      <c r="G206" s="104">
        <v>7.2459999999999997E-2</v>
      </c>
      <c r="H206" s="104">
        <v>7.8659999999999994E-2</v>
      </c>
      <c r="I206" s="104">
        <v>8.4680000000000005E-2</v>
      </c>
      <c r="K206" s="105">
        <f t="shared" si="48"/>
        <v>0.78599999999999992</v>
      </c>
      <c r="M206" s="105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  <c r="Z206" s="106"/>
      <c r="AA206" s="107"/>
      <c r="AB206" s="108"/>
      <c r="AC206" s="109"/>
      <c r="AD206" s="110"/>
      <c r="AE206" s="110"/>
      <c r="AF206" s="110"/>
      <c r="AG206" s="108"/>
      <c r="AH206" s="109"/>
      <c r="AI206" s="111"/>
      <c r="AJ206" s="112"/>
      <c r="AK206" s="130">
        <f t="shared" si="41"/>
        <v>7.8599999999999989E-2</v>
      </c>
    </row>
    <row r="207" spans="1:37" x14ac:dyDescent="0.15">
      <c r="A207" s="39"/>
      <c r="B207" s="39" t="s">
        <v>139</v>
      </c>
      <c r="C207" s="101" t="s">
        <v>176</v>
      </c>
      <c r="D207" s="102"/>
      <c r="E207" s="103">
        <v>6</v>
      </c>
      <c r="G207" s="104">
        <v>0.5</v>
      </c>
      <c r="H207" s="104">
        <v>0.29166667000000002</v>
      </c>
      <c r="I207" s="104">
        <v>0.4</v>
      </c>
      <c r="K207" s="105">
        <f t="shared" si="48"/>
        <v>2.3833333400000001</v>
      </c>
      <c r="M207" s="105"/>
      <c r="O207" s="106">
        <f t="shared" ref="O207:Z208" si="50">O$201*$E207</f>
        <v>114</v>
      </c>
      <c r="P207" s="106">
        <f t="shared" si="50"/>
        <v>102</v>
      </c>
      <c r="Q207" s="106">
        <f t="shared" si="50"/>
        <v>186</v>
      </c>
      <c r="R207" s="106">
        <f t="shared" si="50"/>
        <v>192</v>
      </c>
      <c r="S207" s="106">
        <f t="shared" si="50"/>
        <v>234</v>
      </c>
      <c r="T207" s="106">
        <f t="shared" si="50"/>
        <v>228</v>
      </c>
      <c r="U207" s="106">
        <f t="shared" si="50"/>
        <v>186</v>
      </c>
      <c r="V207" s="106">
        <f t="shared" si="50"/>
        <v>210</v>
      </c>
      <c r="W207" s="106">
        <f t="shared" si="50"/>
        <v>192</v>
      </c>
      <c r="X207" s="106">
        <f t="shared" si="50"/>
        <v>186</v>
      </c>
      <c r="Y207" s="106">
        <f t="shared" si="50"/>
        <v>168</v>
      </c>
      <c r="Z207" s="106">
        <f t="shared" si="50"/>
        <v>114</v>
      </c>
      <c r="AA207" s="107">
        <f>SUM(O207:Z207)</f>
        <v>2112</v>
      </c>
      <c r="AB207" s="108">
        <f>MAX(O207:Z207,1)/4/6</f>
        <v>9.75</v>
      </c>
      <c r="AC207" s="109">
        <f>AA207/12/4/6</f>
        <v>7.333333333333333</v>
      </c>
      <c r="AD207" s="110">
        <v>40</v>
      </c>
      <c r="AE207" s="110">
        <v>30</v>
      </c>
      <c r="AF207" s="110">
        <v>3.09</v>
      </c>
      <c r="AG207" s="108">
        <f>(AB207-AC207)*(AD207-AE207)*AF207</f>
        <v>74.675000000000011</v>
      </c>
      <c r="AH207" s="109">
        <f>(AC207/2)+AG207</f>
        <v>78.341666666666683</v>
      </c>
      <c r="AI207" s="111">
        <f>SUM(G207:I207)/3</f>
        <v>0.39722222333333335</v>
      </c>
      <c r="AJ207" s="112">
        <f>AH207*AI207</f>
        <v>31.119051012972228</v>
      </c>
      <c r="AK207" s="130">
        <f t="shared" si="41"/>
        <v>0.39722222333333335</v>
      </c>
    </row>
    <row r="208" spans="1:37" x14ac:dyDescent="0.15">
      <c r="A208" s="39"/>
      <c r="B208" s="39" t="s">
        <v>139</v>
      </c>
      <c r="C208" s="101" t="s">
        <v>247</v>
      </c>
      <c r="D208" s="102"/>
      <c r="E208" s="103">
        <v>20</v>
      </c>
      <c r="G208" s="104">
        <v>6.6824999999999996E-2</v>
      </c>
      <c r="H208" s="104">
        <v>3.7999999999999999E-2</v>
      </c>
      <c r="I208" s="104">
        <v>3.6586666669999997E-2</v>
      </c>
      <c r="K208" s="105">
        <f t="shared" si="48"/>
        <v>0.94274444446666661</v>
      </c>
      <c r="M208" s="105"/>
      <c r="O208" s="106">
        <f t="shared" si="50"/>
        <v>380</v>
      </c>
      <c r="P208" s="106">
        <f t="shared" si="50"/>
        <v>340</v>
      </c>
      <c r="Q208" s="106">
        <f t="shared" si="50"/>
        <v>620</v>
      </c>
      <c r="R208" s="106">
        <f t="shared" si="50"/>
        <v>640</v>
      </c>
      <c r="S208" s="106">
        <f t="shared" si="50"/>
        <v>780</v>
      </c>
      <c r="T208" s="106">
        <f t="shared" si="50"/>
        <v>760</v>
      </c>
      <c r="U208" s="106">
        <f t="shared" si="50"/>
        <v>620</v>
      </c>
      <c r="V208" s="106">
        <f t="shared" si="50"/>
        <v>700</v>
      </c>
      <c r="W208" s="106">
        <f t="shared" si="50"/>
        <v>640</v>
      </c>
      <c r="X208" s="106">
        <f t="shared" si="50"/>
        <v>620</v>
      </c>
      <c r="Y208" s="106">
        <f t="shared" si="50"/>
        <v>560</v>
      </c>
      <c r="Z208" s="106">
        <f t="shared" si="50"/>
        <v>380</v>
      </c>
      <c r="AA208" s="107">
        <f>SUM(O208:Z208)</f>
        <v>7040</v>
      </c>
      <c r="AB208" s="108">
        <f>MAX(O208:Z208,1)/4/6</f>
        <v>32.5</v>
      </c>
      <c r="AC208" s="109">
        <f>AA208/12/4/6</f>
        <v>24.444444444444443</v>
      </c>
      <c r="AD208" s="110">
        <v>15</v>
      </c>
      <c r="AE208" s="110">
        <v>10</v>
      </c>
      <c r="AF208" s="110">
        <v>3.09</v>
      </c>
      <c r="AG208" s="108">
        <f>(AB208-AC208)*(AD208-AE208)*AF208</f>
        <v>124.45833333333336</v>
      </c>
      <c r="AH208" s="109">
        <f>(AC208/2)+AG208</f>
        <v>136.68055555555557</v>
      </c>
      <c r="AI208" s="111">
        <f>SUM(G208:I208)/3</f>
        <v>4.713722222333333E-2</v>
      </c>
      <c r="AJ208" s="112">
        <f>AH208*AI208</f>
        <v>6.4427417208308801</v>
      </c>
      <c r="AK208" s="130">
        <f t="shared" si="41"/>
        <v>4.713722222333333E-2</v>
      </c>
    </row>
    <row r="209" spans="1:37" x14ac:dyDescent="0.15">
      <c r="A209" s="39"/>
      <c r="B209" s="39" t="s">
        <v>87</v>
      </c>
      <c r="C209" s="114"/>
      <c r="D209" s="115"/>
      <c r="G209" s="105"/>
      <c r="H209" s="105"/>
      <c r="I209" s="105"/>
      <c r="K209" s="105">
        <f>SUM(K202:K208)</f>
        <v>9.6948924511333345</v>
      </c>
      <c r="L209" s="105">
        <f>K209*D201*AA$22</f>
        <v>3465.9240512801675</v>
      </c>
      <c r="M209" s="105"/>
      <c r="N209" s="105">
        <f>M209*D201*AA$22</f>
        <v>0</v>
      </c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  <c r="Z209" s="106"/>
      <c r="AA209" s="107"/>
      <c r="AB209" s="119"/>
      <c r="AC209" s="120"/>
      <c r="AD209" s="121"/>
      <c r="AE209" s="121"/>
      <c r="AF209" s="121"/>
      <c r="AG209" s="119"/>
      <c r="AH209" s="120"/>
      <c r="AI209" s="131"/>
      <c r="AJ209" s="122"/>
      <c r="AK209" s="130" t="e">
        <f t="shared" si="41"/>
        <v>#DIV/0!</v>
      </c>
    </row>
    <row r="210" spans="1:37" ht="11.4" x14ac:dyDescent="0.25">
      <c r="A210" s="82" t="s">
        <v>139</v>
      </c>
      <c r="B210" s="82" t="s">
        <v>87</v>
      </c>
      <c r="C210" s="94" t="s">
        <v>248</v>
      </c>
      <c r="D210" s="95">
        <v>3.5000000000000003E-2</v>
      </c>
      <c r="E210" s="83"/>
      <c r="F210" s="82">
        <v>600</v>
      </c>
      <c r="G210" s="117"/>
      <c r="H210" s="96"/>
      <c r="I210" s="96"/>
      <c r="J210" s="82"/>
      <c r="K210" s="88"/>
      <c r="L210" s="82"/>
      <c r="M210" s="97"/>
      <c r="N210" s="82"/>
      <c r="O210" s="84">
        <f t="shared" ref="O210:Z210" si="51">INT(O$22*$D210)</f>
        <v>10</v>
      </c>
      <c r="P210" s="84">
        <f t="shared" si="51"/>
        <v>9</v>
      </c>
      <c r="Q210" s="84">
        <f t="shared" si="51"/>
        <v>16</v>
      </c>
      <c r="R210" s="84">
        <f t="shared" si="51"/>
        <v>17</v>
      </c>
      <c r="S210" s="84">
        <f t="shared" si="51"/>
        <v>21</v>
      </c>
      <c r="T210" s="84">
        <f t="shared" si="51"/>
        <v>20</v>
      </c>
      <c r="U210" s="84">
        <f t="shared" si="51"/>
        <v>16</v>
      </c>
      <c r="V210" s="84">
        <f t="shared" si="51"/>
        <v>19</v>
      </c>
      <c r="W210" s="84">
        <f t="shared" si="51"/>
        <v>17</v>
      </c>
      <c r="X210" s="84">
        <f t="shared" si="51"/>
        <v>16</v>
      </c>
      <c r="Y210" s="84">
        <f t="shared" si="51"/>
        <v>15</v>
      </c>
      <c r="Z210" s="84">
        <f t="shared" si="51"/>
        <v>10</v>
      </c>
      <c r="AA210" s="98">
        <f t="shared" ref="AA210:AA215" si="52">SUM(O210:Z210)</f>
        <v>186</v>
      </c>
      <c r="AB210" s="82"/>
      <c r="AC210" s="82"/>
      <c r="AD210" s="87"/>
      <c r="AE210" s="132"/>
      <c r="AF210" s="132"/>
      <c r="AG210" s="88"/>
      <c r="AH210" s="88"/>
      <c r="AI210" s="88"/>
      <c r="AJ210" s="88"/>
      <c r="AK210" s="130" t="e">
        <f t="shared" si="41"/>
        <v>#DIV/0!</v>
      </c>
    </row>
    <row r="211" spans="1:37" x14ac:dyDescent="0.15">
      <c r="A211" s="39"/>
      <c r="B211" s="39" t="s">
        <v>139</v>
      </c>
      <c r="C211" s="101" t="s">
        <v>249</v>
      </c>
      <c r="D211" s="102"/>
      <c r="E211" s="103">
        <v>250</v>
      </c>
      <c r="G211" s="104">
        <v>1.098E-2</v>
      </c>
      <c r="H211" s="104">
        <v>1.044E-2</v>
      </c>
      <c r="I211" s="104">
        <v>9.4000000000000004E-3</v>
      </c>
      <c r="K211" s="105">
        <f>AVERAGE(G211:I211)*E211</f>
        <v>2.5683333333333334</v>
      </c>
      <c r="M211" s="105"/>
      <c r="O211" s="106">
        <f>O$210*$E211</f>
        <v>2500</v>
      </c>
      <c r="P211" s="106">
        <f t="shared" ref="P211:Z215" si="53">P$210*$E211</f>
        <v>2250</v>
      </c>
      <c r="Q211" s="106">
        <f t="shared" si="53"/>
        <v>4000</v>
      </c>
      <c r="R211" s="106">
        <f t="shared" si="53"/>
        <v>4250</v>
      </c>
      <c r="S211" s="106">
        <f t="shared" si="53"/>
        <v>5250</v>
      </c>
      <c r="T211" s="106">
        <f t="shared" si="53"/>
        <v>5000</v>
      </c>
      <c r="U211" s="106">
        <f t="shared" si="53"/>
        <v>4000</v>
      </c>
      <c r="V211" s="106">
        <f t="shared" si="53"/>
        <v>4750</v>
      </c>
      <c r="W211" s="106">
        <f t="shared" si="53"/>
        <v>4250</v>
      </c>
      <c r="X211" s="106">
        <f t="shared" si="53"/>
        <v>4000</v>
      </c>
      <c r="Y211" s="106">
        <f t="shared" si="53"/>
        <v>3750</v>
      </c>
      <c r="Z211" s="106">
        <f t="shared" si="53"/>
        <v>2500</v>
      </c>
      <c r="AA211" s="107">
        <f t="shared" si="52"/>
        <v>46500</v>
      </c>
      <c r="AB211" s="108">
        <f>MAX(O211:Z211,1)/4/6</f>
        <v>218.75</v>
      </c>
      <c r="AC211" s="109">
        <f>AA211/12/4/6</f>
        <v>161.45833333333334</v>
      </c>
      <c r="AD211" s="110">
        <v>15</v>
      </c>
      <c r="AE211" s="110">
        <v>10</v>
      </c>
      <c r="AF211" s="110">
        <v>3.09</v>
      </c>
      <c r="AG211" s="108">
        <f>(AB211-AC211)*(AD211-AE211)*AF211</f>
        <v>885.15624999999977</v>
      </c>
      <c r="AH211" s="109">
        <f>(AC211/2)+AG211</f>
        <v>965.8854166666664</v>
      </c>
      <c r="AI211" s="111">
        <f>SUM(G211:I211)/3</f>
        <v>1.0273333333333334E-2</v>
      </c>
      <c r="AJ211" s="112">
        <f>AH211*AI211</f>
        <v>9.9228628472222198</v>
      </c>
      <c r="AK211" s="130">
        <f t="shared" si="41"/>
        <v>1.0273333333333334E-2</v>
      </c>
    </row>
    <row r="212" spans="1:37" x14ac:dyDescent="0.15">
      <c r="A212" s="39"/>
      <c r="B212" s="39" t="s">
        <v>139</v>
      </c>
      <c r="C212" s="101" t="s">
        <v>153</v>
      </c>
      <c r="D212" s="102"/>
      <c r="E212" s="103">
        <v>2000</v>
      </c>
      <c r="G212" s="104">
        <v>2.3031999999999999E-5</v>
      </c>
      <c r="H212" s="104">
        <v>2.3031999999999999E-5</v>
      </c>
      <c r="I212" s="104">
        <v>2.3031999999999999E-5</v>
      </c>
      <c r="K212" s="105">
        <f>AVERAGE(G212:I212)*E212</f>
        <v>4.6063999999999994E-2</v>
      </c>
      <c r="M212" s="105"/>
      <c r="O212" s="106">
        <f>O$210*$E212</f>
        <v>20000</v>
      </c>
      <c r="P212" s="106">
        <f t="shared" si="53"/>
        <v>18000</v>
      </c>
      <c r="Q212" s="106">
        <f t="shared" si="53"/>
        <v>32000</v>
      </c>
      <c r="R212" s="106">
        <f t="shared" si="53"/>
        <v>34000</v>
      </c>
      <c r="S212" s="106">
        <f t="shared" si="53"/>
        <v>42000</v>
      </c>
      <c r="T212" s="106">
        <f t="shared" si="53"/>
        <v>40000</v>
      </c>
      <c r="U212" s="106">
        <f t="shared" si="53"/>
        <v>32000</v>
      </c>
      <c r="V212" s="106">
        <f t="shared" si="53"/>
        <v>38000</v>
      </c>
      <c r="W212" s="106">
        <f t="shared" si="53"/>
        <v>34000</v>
      </c>
      <c r="X212" s="106">
        <f t="shared" si="53"/>
        <v>32000</v>
      </c>
      <c r="Y212" s="106">
        <f t="shared" si="53"/>
        <v>30000</v>
      </c>
      <c r="Z212" s="106">
        <f t="shared" si="53"/>
        <v>20000</v>
      </c>
      <c r="AA212" s="107">
        <f t="shared" si="52"/>
        <v>372000</v>
      </c>
      <c r="AB212" s="108">
        <f>MAX(O212:Z212,1)/4/6</f>
        <v>1750</v>
      </c>
      <c r="AC212" s="109">
        <f>AA212/12/4/6</f>
        <v>1291.6666666666667</v>
      </c>
      <c r="AD212" s="110">
        <v>10</v>
      </c>
      <c r="AE212" s="110">
        <v>7</v>
      </c>
      <c r="AF212" s="110">
        <v>3.09</v>
      </c>
      <c r="AG212" s="108">
        <f>(AB212-AC212)*(AD212-AE212)*AF212</f>
        <v>4248.7499999999991</v>
      </c>
      <c r="AH212" s="109">
        <f>(AC212/2)+AG212</f>
        <v>4894.5833333333321</v>
      </c>
      <c r="AI212" s="111">
        <f>SUM(G212:I212)/3</f>
        <v>2.3031999999999996E-5</v>
      </c>
      <c r="AJ212" s="112">
        <f>AH212*AI212</f>
        <v>0.11273204333333328</v>
      </c>
      <c r="AK212" s="130">
        <f t="shared" si="41"/>
        <v>2.3031999999999996E-5</v>
      </c>
    </row>
    <row r="213" spans="1:37" x14ac:dyDescent="0.15">
      <c r="A213" s="39"/>
      <c r="B213" s="39" t="s">
        <v>139</v>
      </c>
      <c r="C213" s="101" t="s">
        <v>164</v>
      </c>
      <c r="D213" s="102"/>
      <c r="E213" s="103">
        <v>20</v>
      </c>
      <c r="G213" s="104">
        <v>7.9799999999999992E-3</v>
      </c>
      <c r="H213" s="104">
        <v>5.7200000000000003E-3</v>
      </c>
      <c r="I213" s="104">
        <v>7.7799999999999996E-3</v>
      </c>
      <c r="K213" s="105">
        <f>AVERAGE(G213:I213)*E213</f>
        <v>0.14319999999999999</v>
      </c>
      <c r="M213" s="105"/>
      <c r="O213" s="106">
        <f>O$210*$E213</f>
        <v>200</v>
      </c>
      <c r="P213" s="106">
        <f t="shared" si="53"/>
        <v>180</v>
      </c>
      <c r="Q213" s="106">
        <f t="shared" si="53"/>
        <v>320</v>
      </c>
      <c r="R213" s="106">
        <f t="shared" si="53"/>
        <v>340</v>
      </c>
      <c r="S213" s="106">
        <f t="shared" si="53"/>
        <v>420</v>
      </c>
      <c r="T213" s="106">
        <f t="shared" si="53"/>
        <v>400</v>
      </c>
      <c r="U213" s="106">
        <f t="shared" si="53"/>
        <v>320</v>
      </c>
      <c r="V213" s="106">
        <f t="shared" si="53"/>
        <v>380</v>
      </c>
      <c r="W213" s="106">
        <f t="shared" si="53"/>
        <v>340</v>
      </c>
      <c r="X213" s="106">
        <f t="shared" si="53"/>
        <v>320</v>
      </c>
      <c r="Y213" s="106">
        <f t="shared" si="53"/>
        <v>300</v>
      </c>
      <c r="Z213" s="106">
        <f t="shared" si="53"/>
        <v>200</v>
      </c>
      <c r="AA213" s="107">
        <f t="shared" si="52"/>
        <v>3720</v>
      </c>
      <c r="AB213" s="108">
        <f>MAX(O213:Z213,1)/4/6</f>
        <v>17.5</v>
      </c>
      <c r="AC213" s="109">
        <f>AA213/12/4/6</f>
        <v>12.916666666666666</v>
      </c>
      <c r="AD213" s="110">
        <v>10</v>
      </c>
      <c r="AE213" s="110">
        <v>7</v>
      </c>
      <c r="AF213" s="110">
        <v>3.09</v>
      </c>
      <c r="AG213" s="108">
        <f>(AB213-AC213)*(AD213-AE213)*AF213</f>
        <v>42.487500000000004</v>
      </c>
      <c r="AH213" s="109">
        <f>(AC213/2)+AG213</f>
        <v>48.94583333333334</v>
      </c>
      <c r="AI213" s="111">
        <f>SUM(G213:I213)/3</f>
        <v>7.1599999999999997E-3</v>
      </c>
      <c r="AJ213" s="112">
        <f>AH213*AI213</f>
        <v>0.35045216666666668</v>
      </c>
      <c r="AK213" s="130">
        <f t="shared" si="41"/>
        <v>7.1599999999999997E-3</v>
      </c>
    </row>
    <row r="214" spans="1:37" x14ac:dyDescent="0.15">
      <c r="A214" s="39"/>
      <c r="B214" s="39" t="s">
        <v>139</v>
      </c>
      <c r="C214" s="101" t="s">
        <v>155</v>
      </c>
      <c r="D214" s="102"/>
      <c r="E214" s="103">
        <v>30</v>
      </c>
      <c r="G214" s="104">
        <v>7.2459999999999997E-2</v>
      </c>
      <c r="H214" s="104">
        <v>7.8659999999999994E-2</v>
      </c>
      <c r="I214" s="104">
        <v>8.4680000000000005E-2</v>
      </c>
      <c r="K214" s="105">
        <f>AVERAGE(G214:I214)*E214</f>
        <v>2.3579999999999997</v>
      </c>
      <c r="M214" s="105"/>
      <c r="O214" s="106">
        <f>O$210*$E214</f>
        <v>300</v>
      </c>
      <c r="P214" s="106">
        <f t="shared" si="53"/>
        <v>270</v>
      </c>
      <c r="Q214" s="106">
        <f t="shared" si="53"/>
        <v>480</v>
      </c>
      <c r="R214" s="106">
        <f t="shared" si="53"/>
        <v>510</v>
      </c>
      <c r="S214" s="106">
        <f t="shared" si="53"/>
        <v>630</v>
      </c>
      <c r="T214" s="106">
        <f t="shared" si="53"/>
        <v>600</v>
      </c>
      <c r="U214" s="106">
        <f t="shared" si="53"/>
        <v>480</v>
      </c>
      <c r="V214" s="106">
        <f t="shared" si="53"/>
        <v>570</v>
      </c>
      <c r="W214" s="106">
        <f t="shared" si="53"/>
        <v>510</v>
      </c>
      <c r="X214" s="106">
        <f t="shared" si="53"/>
        <v>480</v>
      </c>
      <c r="Y214" s="106">
        <f t="shared" si="53"/>
        <v>450</v>
      </c>
      <c r="Z214" s="106">
        <f t="shared" si="53"/>
        <v>300</v>
      </c>
      <c r="AA214" s="107">
        <f t="shared" si="52"/>
        <v>5580</v>
      </c>
      <c r="AB214" s="108">
        <f>MAX(O214:Z214,1)/4/6</f>
        <v>26.25</v>
      </c>
      <c r="AC214" s="109">
        <f>AA214/12/4/6</f>
        <v>19.375</v>
      </c>
      <c r="AD214" s="110">
        <v>75</v>
      </c>
      <c r="AE214" s="110">
        <v>60</v>
      </c>
      <c r="AF214" s="110">
        <v>3.09</v>
      </c>
      <c r="AG214" s="108">
        <f>(AB214-AC214)*(AD214-AE214)*AF214</f>
        <v>318.65625</v>
      </c>
      <c r="AH214" s="109">
        <f>(AC214/2)+AG214</f>
        <v>328.34375</v>
      </c>
      <c r="AI214" s="111">
        <f>SUM(G214:I214)/3</f>
        <v>7.8599999999999989E-2</v>
      </c>
      <c r="AJ214" s="112">
        <f>AH214*AI214</f>
        <v>25.807818749999996</v>
      </c>
      <c r="AK214" s="130">
        <f t="shared" si="41"/>
        <v>7.8599999999999989E-2</v>
      </c>
    </row>
    <row r="215" spans="1:37" x14ac:dyDescent="0.15">
      <c r="A215" s="39"/>
      <c r="B215" s="39" t="s">
        <v>139</v>
      </c>
      <c r="C215" s="101" t="s">
        <v>176</v>
      </c>
      <c r="D215" s="102"/>
      <c r="E215" s="103">
        <v>20</v>
      </c>
      <c r="G215" s="104">
        <v>0.5</v>
      </c>
      <c r="H215" s="104">
        <v>0.29166667000000002</v>
      </c>
      <c r="I215" s="104">
        <v>0.4</v>
      </c>
      <c r="K215" s="105">
        <f>AVERAGE(G215:I215)*E215</f>
        <v>7.9444444666666669</v>
      </c>
      <c r="M215" s="105"/>
      <c r="O215" s="106">
        <f>O$210*$E215</f>
        <v>200</v>
      </c>
      <c r="P215" s="106">
        <f t="shared" si="53"/>
        <v>180</v>
      </c>
      <c r="Q215" s="106">
        <f t="shared" si="53"/>
        <v>320</v>
      </c>
      <c r="R215" s="106">
        <f t="shared" si="53"/>
        <v>340</v>
      </c>
      <c r="S215" s="106">
        <f t="shared" si="53"/>
        <v>420</v>
      </c>
      <c r="T215" s="106">
        <f t="shared" si="53"/>
        <v>400</v>
      </c>
      <c r="U215" s="106">
        <f t="shared" si="53"/>
        <v>320</v>
      </c>
      <c r="V215" s="106">
        <f t="shared" si="53"/>
        <v>380</v>
      </c>
      <c r="W215" s="106">
        <f t="shared" si="53"/>
        <v>340</v>
      </c>
      <c r="X215" s="106">
        <f t="shared" si="53"/>
        <v>320</v>
      </c>
      <c r="Y215" s="106">
        <f t="shared" si="53"/>
        <v>300</v>
      </c>
      <c r="Z215" s="106">
        <f t="shared" si="53"/>
        <v>200</v>
      </c>
      <c r="AA215" s="107">
        <f t="shared" si="52"/>
        <v>3720</v>
      </c>
      <c r="AB215" s="108">
        <f>MAX(O215:Z215,1)/4/6</f>
        <v>17.5</v>
      </c>
      <c r="AC215" s="109">
        <f>AA215/12/4/6</f>
        <v>12.916666666666666</v>
      </c>
      <c r="AD215" s="110">
        <v>5</v>
      </c>
      <c r="AE215" s="110">
        <v>3</v>
      </c>
      <c r="AF215" s="110">
        <v>3.09</v>
      </c>
      <c r="AG215" s="108">
        <f>(AB215-AC215)*(AD215-AE215)*AF215</f>
        <v>28.325000000000003</v>
      </c>
      <c r="AH215" s="109">
        <f>(AC215/2)+AG215</f>
        <v>34.783333333333339</v>
      </c>
      <c r="AI215" s="111">
        <f>SUM(G215:I215)/3</f>
        <v>0.39722222333333335</v>
      </c>
      <c r="AJ215" s="112">
        <f>AH215*AI215</f>
        <v>13.816713001611113</v>
      </c>
      <c r="AK215" s="130">
        <f t="shared" si="41"/>
        <v>0.39722222333333335</v>
      </c>
    </row>
    <row r="216" spans="1:37" x14ac:dyDescent="0.15">
      <c r="A216" s="39"/>
      <c r="B216" s="39" t="s">
        <v>87</v>
      </c>
      <c r="C216" s="114"/>
      <c r="D216" s="46"/>
      <c r="G216" s="105"/>
      <c r="H216" s="105"/>
      <c r="I216" s="105"/>
      <c r="K216" s="105">
        <f>SUM(K211:K215)</f>
        <v>13.0600418</v>
      </c>
      <c r="L216" s="105">
        <f>K216*D210*AA$22</f>
        <v>2514.0580465000003</v>
      </c>
      <c r="M216" s="105"/>
      <c r="N216" s="105">
        <f>M216*D210*AA$22</f>
        <v>0</v>
      </c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  <c r="Z216" s="106"/>
      <c r="AA216" s="107"/>
      <c r="AB216" s="119"/>
      <c r="AC216" s="120"/>
      <c r="AD216" s="121"/>
      <c r="AE216" s="121"/>
      <c r="AF216" s="121"/>
      <c r="AG216" s="119"/>
      <c r="AH216" s="120"/>
      <c r="AI216" s="131"/>
      <c r="AJ216" s="122"/>
    </row>
    <row r="217" spans="1:37" x14ac:dyDescent="0.25">
      <c r="G217" s="133"/>
    </row>
    <row r="218" spans="1:37" x14ac:dyDescent="0.25">
      <c r="K218" s="105"/>
    </row>
    <row r="219" spans="1:37" x14ac:dyDescent="0.25">
      <c r="K219" s="134">
        <f>K216+K209+K200+K192+K174+K159+K147+K131+K120+K108+K98+K84+K71+K57+K46</f>
        <v>427.94003451594904</v>
      </c>
    </row>
    <row r="222" spans="1:37" s="137" customFormat="1" ht="29.25" customHeight="1" x14ac:dyDescent="0.25">
      <c r="A222" s="135"/>
      <c r="B222" s="135"/>
      <c r="C222" s="135"/>
      <c r="D222" s="135"/>
      <c r="E222" s="135"/>
      <c r="F222" s="135"/>
      <c r="G222" s="135"/>
      <c r="H222" s="135"/>
      <c r="I222" s="135"/>
      <c r="J222" s="39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136"/>
      <c r="AB222" s="56"/>
      <c r="AC222" s="56"/>
      <c r="AD222" s="56"/>
      <c r="AE222" s="135"/>
      <c r="AF222" s="135"/>
      <c r="AG222" s="135"/>
      <c r="AH222" s="135"/>
      <c r="AI222" s="135"/>
      <c r="AJ222" s="135"/>
    </row>
  </sheetData>
  <autoFilter ref="A30:AE216" xr:uid="{00000000-0009-0000-0000-00000A000000}"/>
  <mergeCells count="10">
    <mergeCell ref="B28:B29"/>
    <mergeCell ref="AD18:AD19"/>
    <mergeCell ref="D19:F19"/>
    <mergeCell ref="G30:I30"/>
    <mergeCell ref="C2:F2"/>
    <mergeCell ref="D3:E3"/>
    <mergeCell ref="O18:Z18"/>
    <mergeCell ref="AA18:AA19"/>
    <mergeCell ref="AB18:AB19"/>
    <mergeCell ref="AC18:AC19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15"/>
  <dimension ref="A4:A27"/>
  <sheetViews>
    <sheetView zoomScale="80" zoomScaleNormal="80" workbookViewId="0"/>
  </sheetViews>
  <sheetFormatPr defaultColWidth="9.109375" defaultRowHeight="13.2" x14ac:dyDescent="0.25"/>
  <cols>
    <col min="1" max="2" width="9.109375" style="22"/>
    <col min="3" max="11" width="0" style="22" hidden="1" customWidth="1"/>
    <col min="12" max="16384" width="9.109375" style="22"/>
  </cols>
  <sheetData>
    <row r="4" hidden="1" x14ac:dyDescent="0.25"/>
    <row r="5" hidden="1" x14ac:dyDescent="0.25"/>
    <row r="6" hidden="1" x14ac:dyDescent="0.25"/>
    <row r="7" hidden="1" x14ac:dyDescent="0.25"/>
    <row r="8" hidden="1" x14ac:dyDescent="0.25"/>
    <row r="9" hidden="1" x14ac:dyDescent="0.25"/>
    <row r="10" hidden="1" x14ac:dyDescent="0.25"/>
    <row r="11" hidden="1" x14ac:dyDescent="0.25"/>
    <row r="12" hidden="1" x14ac:dyDescent="0.25"/>
    <row r="13" hidden="1" x14ac:dyDescent="0.25"/>
    <row r="14" hidden="1" x14ac:dyDescent="0.25"/>
    <row r="15" hidden="1" x14ac:dyDescent="0.25"/>
    <row r="16" hidden="1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17"/>
  <dimension ref="A5:Q26"/>
  <sheetViews>
    <sheetView workbookViewId="0"/>
  </sheetViews>
  <sheetFormatPr defaultColWidth="11.44140625" defaultRowHeight="13.8" x14ac:dyDescent="0.25"/>
  <cols>
    <col min="1" max="1" width="53.88671875" style="8" customWidth="1"/>
    <col min="2" max="13" width="8.6640625" style="8" customWidth="1"/>
    <col min="14" max="14" width="10.6640625" style="8" customWidth="1"/>
    <col min="15" max="16384" width="11.44140625" style="8"/>
  </cols>
  <sheetData>
    <row r="5" spans="1:17" s="7" customFormat="1" ht="18" x14ac:dyDescent="0.35">
      <c r="A5" s="7" t="s">
        <v>26</v>
      </c>
    </row>
    <row r="6" spans="1:17" ht="18" customHeight="1" x14ac:dyDescent="0.25">
      <c r="A6" s="6" t="s">
        <v>2</v>
      </c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  <c r="H6" s="9" t="s">
        <v>15</v>
      </c>
      <c r="I6" s="9" t="s">
        <v>16</v>
      </c>
      <c r="J6" s="9" t="s">
        <v>17</v>
      </c>
      <c r="K6" s="9" t="s">
        <v>18</v>
      </c>
      <c r="L6" s="9" t="s">
        <v>19</v>
      </c>
      <c r="M6" s="9" t="s">
        <v>20</v>
      </c>
      <c r="N6" s="9" t="s">
        <v>21</v>
      </c>
    </row>
    <row r="7" spans="1:17" x14ac:dyDescent="0.25">
      <c r="A7" s="10" t="s">
        <v>27</v>
      </c>
      <c r="B7" s="11" t="e">
        <f>#REF!</f>
        <v>#REF!</v>
      </c>
      <c r="C7" s="11" t="e">
        <f>#REF!</f>
        <v>#REF!</v>
      </c>
      <c r="D7" s="11" t="e">
        <f>#REF!</f>
        <v>#REF!</v>
      </c>
      <c r="E7" s="11" t="e">
        <f>#REF!</f>
        <v>#REF!</v>
      </c>
      <c r="F7" s="11" t="e">
        <f>#REF!</f>
        <v>#REF!</v>
      </c>
      <c r="G7" s="11" t="e">
        <f>#REF!</f>
        <v>#REF!</v>
      </c>
      <c r="H7" s="11" t="e">
        <f>#REF!</f>
        <v>#REF!</v>
      </c>
      <c r="I7" s="11" t="e">
        <f>#REF!</f>
        <v>#REF!</v>
      </c>
      <c r="J7" s="11" t="e">
        <f>#REF!</f>
        <v>#REF!</v>
      </c>
      <c r="K7" s="11" t="e">
        <f>#REF!</f>
        <v>#REF!</v>
      </c>
      <c r="L7" s="11" t="e">
        <f>#REF!</f>
        <v>#REF!</v>
      </c>
      <c r="M7" s="11" t="e">
        <f>#REF!</f>
        <v>#REF!</v>
      </c>
      <c r="N7" s="11" t="e">
        <f t="shared" ref="N7:N26" si="0">SUM(B7:M7)</f>
        <v>#REF!</v>
      </c>
      <c r="Q7" s="30"/>
    </row>
    <row r="8" spans="1:17" x14ac:dyDescent="0.25">
      <c r="A8" s="12" t="s">
        <v>61</v>
      </c>
      <c r="B8" s="3" t="e">
        <f>B7-B9</f>
        <v>#REF!</v>
      </c>
      <c r="C8" s="3" t="e">
        <f t="shared" ref="C8:M8" si="1">C7-C9</f>
        <v>#REF!</v>
      </c>
      <c r="D8" s="3" t="e">
        <f t="shared" si="1"/>
        <v>#REF!</v>
      </c>
      <c r="E8" s="3" t="e">
        <f t="shared" si="1"/>
        <v>#REF!</v>
      </c>
      <c r="F8" s="3" t="e">
        <f t="shared" si="1"/>
        <v>#REF!</v>
      </c>
      <c r="G8" s="3" t="e">
        <f t="shared" si="1"/>
        <v>#REF!</v>
      </c>
      <c r="H8" s="3" t="e">
        <f t="shared" si="1"/>
        <v>#REF!</v>
      </c>
      <c r="I8" s="3" t="e">
        <f t="shared" si="1"/>
        <v>#REF!</v>
      </c>
      <c r="J8" s="3" t="e">
        <f t="shared" si="1"/>
        <v>#REF!</v>
      </c>
      <c r="K8" s="3" t="e">
        <f t="shared" si="1"/>
        <v>#REF!</v>
      </c>
      <c r="L8" s="3" t="e">
        <f t="shared" si="1"/>
        <v>#REF!</v>
      </c>
      <c r="M8" s="3" t="e">
        <f t="shared" si="1"/>
        <v>#REF!</v>
      </c>
      <c r="N8" s="3" t="e">
        <f t="shared" si="0"/>
        <v>#REF!</v>
      </c>
      <c r="Q8" s="30"/>
    </row>
    <row r="9" spans="1:17" x14ac:dyDescent="0.25">
      <c r="A9" s="27" t="s">
        <v>62</v>
      </c>
      <c r="B9" s="27" t="e">
        <f>B7/(1+10%)</f>
        <v>#REF!</v>
      </c>
      <c r="C9" s="27" t="e">
        <f t="shared" ref="C9:M9" si="2">C7/(1+10%)</f>
        <v>#REF!</v>
      </c>
      <c r="D9" s="27" t="e">
        <f t="shared" si="2"/>
        <v>#REF!</v>
      </c>
      <c r="E9" s="27" t="e">
        <f t="shared" si="2"/>
        <v>#REF!</v>
      </c>
      <c r="F9" s="27" t="e">
        <f t="shared" si="2"/>
        <v>#REF!</v>
      </c>
      <c r="G9" s="27" t="e">
        <f t="shared" si="2"/>
        <v>#REF!</v>
      </c>
      <c r="H9" s="27" t="e">
        <f t="shared" si="2"/>
        <v>#REF!</v>
      </c>
      <c r="I9" s="27" t="e">
        <f t="shared" si="2"/>
        <v>#REF!</v>
      </c>
      <c r="J9" s="27" t="e">
        <f t="shared" si="2"/>
        <v>#REF!</v>
      </c>
      <c r="K9" s="27" t="e">
        <f t="shared" si="2"/>
        <v>#REF!</v>
      </c>
      <c r="L9" s="27" t="e">
        <f t="shared" si="2"/>
        <v>#REF!</v>
      </c>
      <c r="M9" s="27" t="e">
        <f t="shared" si="2"/>
        <v>#REF!</v>
      </c>
      <c r="N9" s="27" t="e">
        <f t="shared" si="0"/>
        <v>#REF!</v>
      </c>
    </row>
    <row r="10" spans="1:17" x14ac:dyDescent="0.25">
      <c r="A10" s="12" t="s">
        <v>63</v>
      </c>
      <c r="B10" s="3" t="e">
        <f t="shared" ref="B10:N10" si="3">SUM(B11:B12)</f>
        <v>#REF!</v>
      </c>
      <c r="C10" s="3" t="e">
        <f t="shared" si="3"/>
        <v>#REF!</v>
      </c>
      <c r="D10" s="3" t="e">
        <f t="shared" si="3"/>
        <v>#REF!</v>
      </c>
      <c r="E10" s="3" t="e">
        <f t="shared" si="3"/>
        <v>#REF!</v>
      </c>
      <c r="F10" s="3" t="e">
        <f t="shared" si="3"/>
        <v>#REF!</v>
      </c>
      <c r="G10" s="3" t="e">
        <f t="shared" si="3"/>
        <v>#REF!</v>
      </c>
      <c r="H10" s="3" t="e">
        <f t="shared" si="3"/>
        <v>#REF!</v>
      </c>
      <c r="I10" s="3" t="e">
        <f t="shared" si="3"/>
        <v>#REF!</v>
      </c>
      <c r="J10" s="3" t="e">
        <f t="shared" si="3"/>
        <v>#REF!</v>
      </c>
      <c r="K10" s="3" t="e">
        <f t="shared" si="3"/>
        <v>#REF!</v>
      </c>
      <c r="L10" s="3" t="e">
        <f t="shared" si="3"/>
        <v>#REF!</v>
      </c>
      <c r="M10" s="3" t="e">
        <f t="shared" si="3"/>
        <v>#REF!</v>
      </c>
      <c r="N10" s="3" t="e">
        <f t="shared" si="3"/>
        <v>#REF!</v>
      </c>
    </row>
    <row r="11" spans="1:17" x14ac:dyDescent="0.25">
      <c r="A11" s="12" t="s">
        <v>64</v>
      </c>
      <c r="B11" s="3" t="e">
        <f t="shared" ref="B11:M11" si="4">18%*B9</f>
        <v>#REF!</v>
      </c>
      <c r="C11" s="3" t="e">
        <f t="shared" si="4"/>
        <v>#REF!</v>
      </c>
      <c r="D11" s="3" t="e">
        <f t="shared" si="4"/>
        <v>#REF!</v>
      </c>
      <c r="E11" s="3" t="e">
        <f t="shared" si="4"/>
        <v>#REF!</v>
      </c>
      <c r="F11" s="3" t="e">
        <f t="shared" si="4"/>
        <v>#REF!</v>
      </c>
      <c r="G11" s="3" t="e">
        <f t="shared" si="4"/>
        <v>#REF!</v>
      </c>
      <c r="H11" s="3" t="e">
        <f t="shared" si="4"/>
        <v>#REF!</v>
      </c>
      <c r="I11" s="3" t="e">
        <f t="shared" si="4"/>
        <v>#REF!</v>
      </c>
      <c r="J11" s="3" t="e">
        <f t="shared" si="4"/>
        <v>#REF!</v>
      </c>
      <c r="K11" s="3" t="e">
        <f t="shared" si="4"/>
        <v>#REF!</v>
      </c>
      <c r="L11" s="3" t="e">
        <f t="shared" si="4"/>
        <v>#REF!</v>
      </c>
      <c r="M11" s="3" t="e">
        <f t="shared" si="4"/>
        <v>#REF!</v>
      </c>
      <c r="N11" s="3" t="e">
        <f t="shared" si="0"/>
        <v>#REF!</v>
      </c>
    </row>
    <row r="12" spans="1:17" x14ac:dyDescent="0.25">
      <c r="A12" s="12" t="s">
        <v>65</v>
      </c>
      <c r="B12" s="3" t="e">
        <f t="shared" ref="B12:M12" si="5">9.25%*B9</f>
        <v>#REF!</v>
      </c>
      <c r="C12" s="3" t="e">
        <f t="shared" si="5"/>
        <v>#REF!</v>
      </c>
      <c r="D12" s="3" t="e">
        <f t="shared" si="5"/>
        <v>#REF!</v>
      </c>
      <c r="E12" s="3" t="e">
        <f t="shared" si="5"/>
        <v>#REF!</v>
      </c>
      <c r="F12" s="3" t="e">
        <f t="shared" si="5"/>
        <v>#REF!</v>
      </c>
      <c r="G12" s="3" t="e">
        <f t="shared" si="5"/>
        <v>#REF!</v>
      </c>
      <c r="H12" s="3" t="e">
        <f t="shared" si="5"/>
        <v>#REF!</v>
      </c>
      <c r="I12" s="3" t="e">
        <f t="shared" si="5"/>
        <v>#REF!</v>
      </c>
      <c r="J12" s="3" t="e">
        <f t="shared" si="5"/>
        <v>#REF!</v>
      </c>
      <c r="K12" s="3" t="e">
        <f t="shared" si="5"/>
        <v>#REF!</v>
      </c>
      <c r="L12" s="3" t="e">
        <f t="shared" si="5"/>
        <v>#REF!</v>
      </c>
      <c r="M12" s="3" t="e">
        <f t="shared" si="5"/>
        <v>#REF!</v>
      </c>
      <c r="N12" s="3" t="e">
        <f t="shared" si="0"/>
        <v>#REF!</v>
      </c>
    </row>
    <row r="13" spans="1:17" x14ac:dyDescent="0.25">
      <c r="A13" s="27" t="s">
        <v>28</v>
      </c>
      <c r="B13" s="27" t="e">
        <f>B9-B10</f>
        <v>#REF!</v>
      </c>
      <c r="C13" s="27" t="e">
        <f t="shared" ref="C13:N13" si="6">C9-C10</f>
        <v>#REF!</v>
      </c>
      <c r="D13" s="27" t="e">
        <f t="shared" si="6"/>
        <v>#REF!</v>
      </c>
      <c r="E13" s="27" t="e">
        <f t="shared" si="6"/>
        <v>#REF!</v>
      </c>
      <c r="F13" s="27" t="e">
        <f t="shared" si="6"/>
        <v>#REF!</v>
      </c>
      <c r="G13" s="27" t="e">
        <f t="shared" si="6"/>
        <v>#REF!</v>
      </c>
      <c r="H13" s="27" t="e">
        <f t="shared" si="6"/>
        <v>#REF!</v>
      </c>
      <c r="I13" s="27" t="e">
        <f t="shared" si="6"/>
        <v>#REF!</v>
      </c>
      <c r="J13" s="27" t="e">
        <f t="shared" si="6"/>
        <v>#REF!</v>
      </c>
      <c r="K13" s="27" t="e">
        <f t="shared" si="6"/>
        <v>#REF!</v>
      </c>
      <c r="L13" s="27" t="e">
        <f t="shared" si="6"/>
        <v>#REF!</v>
      </c>
      <c r="M13" s="27" t="e">
        <f t="shared" si="6"/>
        <v>#REF!</v>
      </c>
      <c r="N13" s="27" t="e">
        <f t="shared" si="6"/>
        <v>#REF!</v>
      </c>
    </row>
    <row r="14" spans="1:17" x14ac:dyDescent="0.25">
      <c r="A14" s="3" t="s">
        <v>29</v>
      </c>
      <c r="B14" s="3" t="e">
        <f>#REF!</f>
        <v>#REF!</v>
      </c>
      <c r="C14" s="3" t="e">
        <f>#REF!</f>
        <v>#REF!</v>
      </c>
      <c r="D14" s="3" t="e">
        <f>#REF!</f>
        <v>#REF!</v>
      </c>
      <c r="E14" s="3" t="e">
        <f>#REF!</f>
        <v>#REF!</v>
      </c>
      <c r="F14" s="3" t="e">
        <f>#REF!</f>
        <v>#REF!</v>
      </c>
      <c r="G14" s="3" t="e">
        <f>#REF!</f>
        <v>#REF!</v>
      </c>
      <c r="H14" s="3" t="e">
        <f>#REF!</f>
        <v>#REF!</v>
      </c>
      <c r="I14" s="3" t="e">
        <f>#REF!</f>
        <v>#REF!</v>
      </c>
      <c r="J14" s="3" t="e">
        <f>#REF!</f>
        <v>#REF!</v>
      </c>
      <c r="K14" s="3" t="e">
        <f>#REF!</f>
        <v>#REF!</v>
      </c>
      <c r="L14" s="3" t="e">
        <f>#REF!</f>
        <v>#REF!</v>
      </c>
      <c r="M14" s="3" t="e">
        <f>#REF!</f>
        <v>#REF!</v>
      </c>
      <c r="N14" s="3" t="e">
        <f t="shared" si="0"/>
        <v>#REF!</v>
      </c>
    </row>
    <row r="15" spans="1:17" x14ac:dyDescent="0.25">
      <c r="A15" s="27" t="s">
        <v>30</v>
      </c>
      <c r="B15" s="27" t="e">
        <f t="shared" ref="B15:M15" si="7">B13-B14</f>
        <v>#REF!</v>
      </c>
      <c r="C15" s="27" t="e">
        <f t="shared" si="7"/>
        <v>#REF!</v>
      </c>
      <c r="D15" s="27" t="e">
        <f t="shared" si="7"/>
        <v>#REF!</v>
      </c>
      <c r="E15" s="27" t="e">
        <f t="shared" si="7"/>
        <v>#REF!</v>
      </c>
      <c r="F15" s="27" t="e">
        <f t="shared" si="7"/>
        <v>#REF!</v>
      </c>
      <c r="G15" s="27" t="e">
        <f t="shared" si="7"/>
        <v>#REF!</v>
      </c>
      <c r="H15" s="27" t="e">
        <f t="shared" si="7"/>
        <v>#REF!</v>
      </c>
      <c r="I15" s="27" t="e">
        <f t="shared" si="7"/>
        <v>#REF!</v>
      </c>
      <c r="J15" s="27" t="e">
        <f t="shared" si="7"/>
        <v>#REF!</v>
      </c>
      <c r="K15" s="27" t="e">
        <f t="shared" si="7"/>
        <v>#REF!</v>
      </c>
      <c r="L15" s="27" t="e">
        <f t="shared" si="7"/>
        <v>#REF!</v>
      </c>
      <c r="M15" s="27" t="e">
        <f t="shared" si="7"/>
        <v>#REF!</v>
      </c>
      <c r="N15" s="27" t="e">
        <f t="shared" si="0"/>
        <v>#REF!</v>
      </c>
    </row>
    <row r="16" spans="1:17" x14ac:dyDescent="0.25">
      <c r="A16" s="3" t="s">
        <v>31</v>
      </c>
      <c r="B16" s="3" t="e">
        <f>#REF!</f>
        <v>#REF!</v>
      </c>
      <c r="C16" s="3" t="e">
        <f>#REF!</f>
        <v>#REF!</v>
      </c>
      <c r="D16" s="3" t="e">
        <f>#REF!</f>
        <v>#REF!</v>
      </c>
      <c r="E16" s="3" t="e">
        <f>#REF!</f>
        <v>#REF!</v>
      </c>
      <c r="F16" s="3" t="e">
        <f>#REF!</f>
        <v>#REF!</v>
      </c>
      <c r="G16" s="3" t="e">
        <f>#REF!</f>
        <v>#REF!</v>
      </c>
      <c r="H16" s="3" t="e">
        <f>#REF!</f>
        <v>#REF!</v>
      </c>
      <c r="I16" s="3" t="e">
        <f>#REF!</f>
        <v>#REF!</v>
      </c>
      <c r="J16" s="3" t="e">
        <f>#REF!</f>
        <v>#REF!</v>
      </c>
      <c r="K16" s="3" t="e">
        <f>#REF!</f>
        <v>#REF!</v>
      </c>
      <c r="L16" s="3" t="e">
        <f>#REF!</f>
        <v>#REF!</v>
      </c>
      <c r="M16" s="3" t="e">
        <f>#REF!</f>
        <v>#REF!</v>
      </c>
      <c r="N16" s="3" t="e">
        <f t="shared" si="0"/>
        <v>#REF!</v>
      </c>
    </row>
    <row r="17" spans="1:14" x14ac:dyDescent="0.25">
      <c r="A17" s="27" t="s">
        <v>32</v>
      </c>
      <c r="B17" s="27" t="e">
        <f t="shared" ref="B17:M17" si="8">B15-B16</f>
        <v>#REF!</v>
      </c>
      <c r="C17" s="27" t="e">
        <f t="shared" si="8"/>
        <v>#REF!</v>
      </c>
      <c r="D17" s="27" t="e">
        <f t="shared" si="8"/>
        <v>#REF!</v>
      </c>
      <c r="E17" s="27" t="e">
        <f t="shared" si="8"/>
        <v>#REF!</v>
      </c>
      <c r="F17" s="27" t="e">
        <f t="shared" si="8"/>
        <v>#REF!</v>
      </c>
      <c r="G17" s="27" t="e">
        <f t="shared" si="8"/>
        <v>#REF!</v>
      </c>
      <c r="H17" s="27" t="e">
        <f t="shared" si="8"/>
        <v>#REF!</v>
      </c>
      <c r="I17" s="27" t="e">
        <f t="shared" si="8"/>
        <v>#REF!</v>
      </c>
      <c r="J17" s="27" t="e">
        <f t="shared" si="8"/>
        <v>#REF!</v>
      </c>
      <c r="K17" s="27" t="e">
        <f t="shared" si="8"/>
        <v>#REF!</v>
      </c>
      <c r="L17" s="27" t="e">
        <f t="shared" si="8"/>
        <v>#REF!</v>
      </c>
      <c r="M17" s="27" t="e">
        <f t="shared" si="8"/>
        <v>#REF!</v>
      </c>
      <c r="N17" s="27" t="e">
        <f t="shared" si="0"/>
        <v>#REF!</v>
      </c>
    </row>
    <row r="18" spans="1:14" x14ac:dyDescent="0.25">
      <c r="A18" s="3" t="s">
        <v>33</v>
      </c>
      <c r="B18" s="3" t="e">
        <f>#REF!</f>
        <v>#REF!</v>
      </c>
      <c r="C18" s="3" t="e">
        <f>#REF!</f>
        <v>#REF!</v>
      </c>
      <c r="D18" s="3" t="e">
        <f>#REF!</f>
        <v>#REF!</v>
      </c>
      <c r="E18" s="3" t="e">
        <f>#REF!</f>
        <v>#REF!</v>
      </c>
      <c r="F18" s="3" t="e">
        <f>#REF!</f>
        <v>#REF!</v>
      </c>
      <c r="G18" s="3" t="e">
        <f>#REF!</f>
        <v>#REF!</v>
      </c>
      <c r="H18" s="3" t="e">
        <f>#REF!</f>
        <v>#REF!</v>
      </c>
      <c r="I18" s="3" t="e">
        <f>#REF!</f>
        <v>#REF!</v>
      </c>
      <c r="J18" s="3" t="e">
        <f>#REF!</f>
        <v>#REF!</v>
      </c>
      <c r="K18" s="3" t="e">
        <f>#REF!</f>
        <v>#REF!</v>
      </c>
      <c r="L18" s="3" t="e">
        <f>#REF!</f>
        <v>#REF!</v>
      </c>
      <c r="M18" s="3" t="e">
        <f>#REF!</f>
        <v>#REF!</v>
      </c>
      <c r="N18" s="3" t="e">
        <f t="shared" si="0"/>
        <v>#REF!</v>
      </c>
    </row>
    <row r="19" spans="1:14" x14ac:dyDescent="0.25">
      <c r="A19" s="3" t="s">
        <v>34</v>
      </c>
      <c r="B19" s="3" t="e">
        <f>#REF!+#REF!</f>
        <v>#REF!</v>
      </c>
      <c r="C19" s="3" t="e">
        <f>#REF!+#REF!</f>
        <v>#REF!</v>
      </c>
      <c r="D19" s="3" t="e">
        <f>#REF!+#REF!</f>
        <v>#REF!</v>
      </c>
      <c r="E19" s="3" t="e">
        <f>#REF!+#REF!</f>
        <v>#REF!</v>
      </c>
      <c r="F19" s="3" t="e">
        <f>#REF!+#REF!</f>
        <v>#REF!</v>
      </c>
      <c r="G19" s="3" t="e">
        <f>#REF!+#REF!</f>
        <v>#REF!</v>
      </c>
      <c r="H19" s="3" t="e">
        <f>#REF!+#REF!</f>
        <v>#REF!</v>
      </c>
      <c r="I19" s="3" t="e">
        <f>#REF!+#REF!</f>
        <v>#REF!</v>
      </c>
      <c r="J19" s="3" t="e">
        <f>#REF!+#REF!</f>
        <v>#REF!</v>
      </c>
      <c r="K19" s="3" t="e">
        <f>#REF!+#REF!</f>
        <v>#REF!</v>
      </c>
      <c r="L19" s="3" t="e">
        <f>#REF!+#REF!</f>
        <v>#REF!</v>
      </c>
      <c r="M19" s="3" t="e">
        <f>#REF!+#REF!</f>
        <v>#REF!</v>
      </c>
      <c r="N19" s="3" t="e">
        <f t="shared" si="0"/>
        <v>#REF!</v>
      </c>
    </row>
    <row r="20" spans="1:14" x14ac:dyDescent="0.25">
      <c r="A20" s="27" t="s">
        <v>66</v>
      </c>
      <c r="B20" s="27" t="e">
        <f t="shared" ref="B20:M20" si="9">B17-B18-B19</f>
        <v>#REF!</v>
      </c>
      <c r="C20" s="27" t="e">
        <f t="shared" si="9"/>
        <v>#REF!</v>
      </c>
      <c r="D20" s="27" t="e">
        <f t="shared" si="9"/>
        <v>#REF!</v>
      </c>
      <c r="E20" s="27" t="e">
        <f t="shared" si="9"/>
        <v>#REF!</v>
      </c>
      <c r="F20" s="27" t="e">
        <f t="shared" si="9"/>
        <v>#REF!</v>
      </c>
      <c r="G20" s="27" t="e">
        <f t="shared" si="9"/>
        <v>#REF!</v>
      </c>
      <c r="H20" s="27" t="e">
        <f t="shared" si="9"/>
        <v>#REF!</v>
      </c>
      <c r="I20" s="27" t="e">
        <f t="shared" si="9"/>
        <v>#REF!</v>
      </c>
      <c r="J20" s="27" t="e">
        <f t="shared" si="9"/>
        <v>#REF!</v>
      </c>
      <c r="K20" s="27" t="e">
        <f t="shared" si="9"/>
        <v>#REF!</v>
      </c>
      <c r="L20" s="27" t="e">
        <f t="shared" si="9"/>
        <v>#REF!</v>
      </c>
      <c r="M20" s="27" t="e">
        <f t="shared" si="9"/>
        <v>#REF!</v>
      </c>
      <c r="N20" s="27" t="e">
        <f t="shared" si="0"/>
        <v>#REF!</v>
      </c>
    </row>
    <row r="21" spans="1:14" x14ac:dyDescent="0.25">
      <c r="A21" s="3" t="s">
        <v>35</v>
      </c>
      <c r="B21" s="3" t="e">
        <f>#REF!</f>
        <v>#REF!</v>
      </c>
      <c r="C21" s="3" t="e">
        <f>#REF!</f>
        <v>#REF!</v>
      </c>
      <c r="D21" s="3" t="e">
        <f>#REF!</f>
        <v>#REF!</v>
      </c>
      <c r="E21" s="3" t="e">
        <f>#REF!</f>
        <v>#REF!</v>
      </c>
      <c r="F21" s="3" t="e">
        <f>#REF!</f>
        <v>#REF!</v>
      </c>
      <c r="G21" s="3" t="e">
        <f>#REF!</f>
        <v>#REF!</v>
      </c>
      <c r="H21" s="3" t="e">
        <f>#REF!</f>
        <v>#REF!</v>
      </c>
      <c r="I21" s="3" t="e">
        <f>#REF!</f>
        <v>#REF!</v>
      </c>
      <c r="J21" s="3" t="e">
        <f>#REF!</f>
        <v>#REF!</v>
      </c>
      <c r="K21" s="3" t="e">
        <f>#REF!</f>
        <v>#REF!</v>
      </c>
      <c r="L21" s="3" t="e">
        <f>#REF!</f>
        <v>#REF!</v>
      </c>
      <c r="M21" s="3" t="e">
        <f>#REF!</f>
        <v>#REF!</v>
      </c>
      <c r="N21" s="3" t="e">
        <f t="shared" si="0"/>
        <v>#REF!</v>
      </c>
    </row>
    <row r="22" spans="1:14" x14ac:dyDescent="0.25">
      <c r="A22" s="27" t="s">
        <v>67</v>
      </c>
      <c r="B22" s="27" t="e">
        <f t="shared" ref="B22:M22" si="10">B20-B21</f>
        <v>#REF!</v>
      </c>
      <c r="C22" s="27" t="e">
        <f t="shared" si="10"/>
        <v>#REF!</v>
      </c>
      <c r="D22" s="27" t="e">
        <f t="shared" si="10"/>
        <v>#REF!</v>
      </c>
      <c r="E22" s="27" t="e">
        <f t="shared" si="10"/>
        <v>#REF!</v>
      </c>
      <c r="F22" s="27" t="e">
        <f t="shared" si="10"/>
        <v>#REF!</v>
      </c>
      <c r="G22" s="27" t="e">
        <f t="shared" si="10"/>
        <v>#REF!</v>
      </c>
      <c r="H22" s="27" t="e">
        <f t="shared" si="10"/>
        <v>#REF!</v>
      </c>
      <c r="I22" s="27" t="e">
        <f t="shared" si="10"/>
        <v>#REF!</v>
      </c>
      <c r="J22" s="27" t="e">
        <f t="shared" si="10"/>
        <v>#REF!</v>
      </c>
      <c r="K22" s="27" t="e">
        <f t="shared" si="10"/>
        <v>#REF!</v>
      </c>
      <c r="L22" s="27" t="e">
        <f t="shared" si="10"/>
        <v>#REF!</v>
      </c>
      <c r="M22" s="27" t="e">
        <f t="shared" si="10"/>
        <v>#REF!</v>
      </c>
      <c r="N22" s="27" t="e">
        <f t="shared" si="0"/>
        <v>#REF!</v>
      </c>
    </row>
    <row r="23" spans="1:14" x14ac:dyDescent="0.25">
      <c r="A23" s="26" t="s">
        <v>68</v>
      </c>
      <c r="B23" s="28" t="e">
        <f>IF(B22&lt;0,0,B22*15%)</f>
        <v>#REF!</v>
      </c>
      <c r="C23" s="28" t="e">
        <f t="shared" ref="C23:M23" si="11">IF(C22&lt;0,0,C22*15%)</f>
        <v>#REF!</v>
      </c>
      <c r="D23" s="28" t="e">
        <f t="shared" si="11"/>
        <v>#REF!</v>
      </c>
      <c r="E23" s="28" t="e">
        <f t="shared" si="11"/>
        <v>#REF!</v>
      </c>
      <c r="F23" s="28" t="e">
        <f t="shared" si="11"/>
        <v>#REF!</v>
      </c>
      <c r="G23" s="28" t="e">
        <f t="shared" si="11"/>
        <v>#REF!</v>
      </c>
      <c r="H23" s="28" t="e">
        <f t="shared" si="11"/>
        <v>#REF!</v>
      </c>
      <c r="I23" s="28" t="e">
        <f t="shared" si="11"/>
        <v>#REF!</v>
      </c>
      <c r="J23" s="28" t="e">
        <f t="shared" si="11"/>
        <v>#REF!</v>
      </c>
      <c r="K23" s="28" t="e">
        <f t="shared" si="11"/>
        <v>#REF!</v>
      </c>
      <c r="L23" s="28" t="e">
        <f t="shared" si="11"/>
        <v>#REF!</v>
      </c>
      <c r="M23" s="28" t="e">
        <f t="shared" si="11"/>
        <v>#REF!</v>
      </c>
      <c r="N23" s="26" t="e">
        <f t="shared" si="0"/>
        <v>#REF!</v>
      </c>
    </row>
    <row r="24" spans="1:14" x14ac:dyDescent="0.25">
      <c r="A24" s="26" t="s">
        <v>69</v>
      </c>
      <c r="B24" s="28" t="e">
        <f>IF(B22&gt;20000,(B22-20000)*10%,0)</f>
        <v>#REF!</v>
      </c>
      <c r="C24" s="28" t="e">
        <f t="shared" ref="C24:M24" si="12">IF(C22&gt;20000,(C22-20000)*10%,0)</f>
        <v>#REF!</v>
      </c>
      <c r="D24" s="28" t="e">
        <f t="shared" si="12"/>
        <v>#REF!</v>
      </c>
      <c r="E24" s="28" t="e">
        <f t="shared" si="12"/>
        <v>#REF!</v>
      </c>
      <c r="F24" s="28" t="e">
        <f t="shared" si="12"/>
        <v>#REF!</v>
      </c>
      <c r="G24" s="28" t="e">
        <f t="shared" si="12"/>
        <v>#REF!</v>
      </c>
      <c r="H24" s="28" t="e">
        <f t="shared" si="12"/>
        <v>#REF!</v>
      </c>
      <c r="I24" s="28" t="e">
        <f t="shared" si="12"/>
        <v>#REF!</v>
      </c>
      <c r="J24" s="28" t="e">
        <f t="shared" si="12"/>
        <v>#REF!</v>
      </c>
      <c r="K24" s="28" t="e">
        <f t="shared" si="12"/>
        <v>#REF!</v>
      </c>
      <c r="L24" s="28" t="e">
        <f t="shared" si="12"/>
        <v>#REF!</v>
      </c>
      <c r="M24" s="28" t="e">
        <f t="shared" si="12"/>
        <v>#REF!</v>
      </c>
      <c r="N24" s="26"/>
    </row>
    <row r="25" spans="1:14" x14ac:dyDescent="0.25">
      <c r="A25" s="26" t="s">
        <v>70</v>
      </c>
      <c r="B25" s="28" t="e">
        <f t="shared" ref="B25:M25" si="13">IF(B22&lt;0,0,9%*B22)</f>
        <v>#REF!</v>
      </c>
      <c r="C25" s="28" t="e">
        <f t="shared" si="13"/>
        <v>#REF!</v>
      </c>
      <c r="D25" s="28" t="e">
        <f t="shared" si="13"/>
        <v>#REF!</v>
      </c>
      <c r="E25" s="28" t="e">
        <f t="shared" si="13"/>
        <v>#REF!</v>
      </c>
      <c r="F25" s="28" t="e">
        <f t="shared" si="13"/>
        <v>#REF!</v>
      </c>
      <c r="G25" s="28" t="e">
        <f t="shared" si="13"/>
        <v>#REF!</v>
      </c>
      <c r="H25" s="28" t="e">
        <f t="shared" si="13"/>
        <v>#REF!</v>
      </c>
      <c r="I25" s="28" t="e">
        <f t="shared" si="13"/>
        <v>#REF!</v>
      </c>
      <c r="J25" s="28" t="e">
        <f t="shared" si="13"/>
        <v>#REF!</v>
      </c>
      <c r="K25" s="28" t="e">
        <f t="shared" si="13"/>
        <v>#REF!</v>
      </c>
      <c r="L25" s="28" t="e">
        <f t="shared" si="13"/>
        <v>#REF!</v>
      </c>
      <c r="M25" s="28" t="e">
        <f t="shared" si="13"/>
        <v>#REF!</v>
      </c>
      <c r="N25" s="26" t="e">
        <f t="shared" si="0"/>
        <v>#REF!</v>
      </c>
    </row>
    <row r="26" spans="1:14" ht="14.4" thickBot="1" x14ac:dyDescent="0.3">
      <c r="A26" s="29" t="s">
        <v>71</v>
      </c>
      <c r="B26" s="29" t="e">
        <f>B22-B23-B24-B25</f>
        <v>#REF!</v>
      </c>
      <c r="C26" s="29" t="e">
        <f t="shared" ref="C26:M26" si="14">C22-C23-C24-C25</f>
        <v>#REF!</v>
      </c>
      <c r="D26" s="29" t="e">
        <f t="shared" si="14"/>
        <v>#REF!</v>
      </c>
      <c r="E26" s="29" t="e">
        <f t="shared" si="14"/>
        <v>#REF!</v>
      </c>
      <c r="F26" s="29" t="e">
        <f t="shared" si="14"/>
        <v>#REF!</v>
      </c>
      <c r="G26" s="29" t="e">
        <f t="shared" si="14"/>
        <v>#REF!</v>
      </c>
      <c r="H26" s="29" t="e">
        <f t="shared" si="14"/>
        <v>#REF!</v>
      </c>
      <c r="I26" s="29" t="e">
        <f t="shared" si="14"/>
        <v>#REF!</v>
      </c>
      <c r="J26" s="29" t="e">
        <f t="shared" si="14"/>
        <v>#REF!</v>
      </c>
      <c r="K26" s="29" t="e">
        <f t="shared" si="14"/>
        <v>#REF!</v>
      </c>
      <c r="L26" s="29" t="e">
        <f t="shared" si="14"/>
        <v>#REF!</v>
      </c>
      <c r="M26" s="29" t="e">
        <f t="shared" si="14"/>
        <v>#REF!</v>
      </c>
      <c r="N26" s="29" t="e">
        <f t="shared" si="0"/>
        <v>#REF!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18"/>
  <dimension ref="A4:N30"/>
  <sheetViews>
    <sheetView zoomScaleNormal="100" workbookViewId="0"/>
  </sheetViews>
  <sheetFormatPr defaultColWidth="11.44140625" defaultRowHeight="13.8" x14ac:dyDescent="0.25"/>
  <cols>
    <col min="1" max="1" width="47.6640625" style="8" customWidth="1"/>
    <col min="2" max="13" width="8.6640625" style="8" customWidth="1"/>
    <col min="14" max="14" width="10.6640625" style="8" customWidth="1"/>
    <col min="15" max="16384" width="11.44140625" style="8"/>
  </cols>
  <sheetData>
    <row r="4" spans="1:14" s="7" customFormat="1" ht="18" x14ac:dyDescent="0.35">
      <c r="A4" s="7" t="s">
        <v>26</v>
      </c>
    </row>
    <row r="5" spans="1:14" ht="18" customHeight="1" x14ac:dyDescent="0.25">
      <c r="A5" s="6" t="s">
        <v>86</v>
      </c>
      <c r="B5" s="9" t="s">
        <v>9</v>
      </c>
      <c r="C5" s="9" t="s">
        <v>10</v>
      </c>
      <c r="D5" s="9" t="s">
        <v>11</v>
      </c>
      <c r="E5" s="9" t="s">
        <v>12</v>
      </c>
      <c r="F5" s="9" t="s">
        <v>13</v>
      </c>
      <c r="G5" s="9" t="s">
        <v>14</v>
      </c>
      <c r="H5" s="9" t="s">
        <v>15</v>
      </c>
      <c r="I5" s="9" t="s">
        <v>16</v>
      </c>
      <c r="J5" s="9" t="s">
        <v>17</v>
      </c>
      <c r="K5" s="9" t="s">
        <v>18</v>
      </c>
      <c r="L5" s="9" t="s">
        <v>19</v>
      </c>
      <c r="M5" s="9" t="s">
        <v>20</v>
      </c>
      <c r="N5" s="9" t="s">
        <v>21</v>
      </c>
    </row>
    <row r="6" spans="1:14" x14ac:dyDescent="0.25">
      <c r="A6" s="10" t="s">
        <v>27</v>
      </c>
      <c r="B6" s="11" t="e">
        <f>#REF!</f>
        <v>#REF!</v>
      </c>
      <c r="C6" s="11" t="e">
        <f>#REF!</f>
        <v>#REF!</v>
      </c>
      <c r="D6" s="11" t="e">
        <f>#REF!</f>
        <v>#REF!</v>
      </c>
      <c r="E6" s="11" t="e">
        <f>#REF!</f>
        <v>#REF!</v>
      </c>
      <c r="F6" s="11" t="e">
        <f>#REF!</f>
        <v>#REF!</v>
      </c>
      <c r="G6" s="11" t="e">
        <f>#REF!</f>
        <v>#REF!</v>
      </c>
      <c r="H6" s="11" t="e">
        <f>#REF!</f>
        <v>#REF!</v>
      </c>
      <c r="I6" s="11" t="e">
        <f>#REF!</f>
        <v>#REF!</v>
      </c>
      <c r="J6" s="11" t="e">
        <f>#REF!</f>
        <v>#REF!</v>
      </c>
      <c r="K6" s="11" t="e">
        <f>#REF!</f>
        <v>#REF!</v>
      </c>
      <c r="L6" s="11" t="e">
        <f>#REF!</f>
        <v>#REF!</v>
      </c>
      <c r="M6" s="11" t="e">
        <f>#REF!</f>
        <v>#REF!</v>
      </c>
      <c r="N6" s="11" t="e">
        <f t="shared" ref="N6:N26" si="0">SUM(B6:M6)</f>
        <v>#REF!</v>
      </c>
    </row>
    <row r="7" spans="1:14" x14ac:dyDescent="0.25">
      <c r="A7" s="12" t="s">
        <v>77</v>
      </c>
      <c r="B7" s="3" t="e">
        <f t="shared" ref="B7:M7" si="1">10%*B6</f>
        <v>#REF!</v>
      </c>
      <c r="C7" s="3" t="e">
        <f t="shared" si="1"/>
        <v>#REF!</v>
      </c>
      <c r="D7" s="3" t="e">
        <f t="shared" si="1"/>
        <v>#REF!</v>
      </c>
      <c r="E7" s="3" t="e">
        <f t="shared" si="1"/>
        <v>#REF!</v>
      </c>
      <c r="F7" s="3" t="e">
        <f t="shared" si="1"/>
        <v>#REF!</v>
      </c>
      <c r="G7" s="3" t="e">
        <f t="shared" si="1"/>
        <v>#REF!</v>
      </c>
      <c r="H7" s="3" t="e">
        <f t="shared" si="1"/>
        <v>#REF!</v>
      </c>
      <c r="I7" s="3" t="e">
        <f t="shared" si="1"/>
        <v>#REF!</v>
      </c>
      <c r="J7" s="3" t="e">
        <f t="shared" si="1"/>
        <v>#REF!</v>
      </c>
      <c r="K7" s="3" t="e">
        <f t="shared" si="1"/>
        <v>#REF!</v>
      </c>
      <c r="L7" s="3" t="e">
        <f t="shared" si="1"/>
        <v>#REF!</v>
      </c>
      <c r="M7" s="3" t="e">
        <f t="shared" si="1"/>
        <v>#REF!</v>
      </c>
      <c r="N7" s="3" t="e">
        <f t="shared" si="0"/>
        <v>#REF!</v>
      </c>
    </row>
    <row r="8" spans="1:14" x14ac:dyDescent="0.25">
      <c r="A8" s="12" t="s">
        <v>78</v>
      </c>
      <c r="B8" s="3" t="e">
        <f t="shared" ref="B8:M8" si="2">B6-B7</f>
        <v>#REF!</v>
      </c>
      <c r="C8" s="3" t="e">
        <f t="shared" si="2"/>
        <v>#REF!</v>
      </c>
      <c r="D8" s="3" t="e">
        <f t="shared" si="2"/>
        <v>#REF!</v>
      </c>
      <c r="E8" s="3" t="e">
        <f t="shared" si="2"/>
        <v>#REF!</v>
      </c>
      <c r="F8" s="3" t="e">
        <f t="shared" si="2"/>
        <v>#REF!</v>
      </c>
      <c r="G8" s="3" t="e">
        <f t="shared" si="2"/>
        <v>#REF!</v>
      </c>
      <c r="H8" s="3" t="e">
        <f t="shared" si="2"/>
        <v>#REF!</v>
      </c>
      <c r="I8" s="3" t="e">
        <f t="shared" si="2"/>
        <v>#REF!</v>
      </c>
      <c r="J8" s="3" t="e">
        <f t="shared" si="2"/>
        <v>#REF!</v>
      </c>
      <c r="K8" s="3" t="e">
        <f t="shared" si="2"/>
        <v>#REF!</v>
      </c>
      <c r="L8" s="3" t="e">
        <f t="shared" si="2"/>
        <v>#REF!</v>
      </c>
      <c r="M8" s="3" t="e">
        <f t="shared" si="2"/>
        <v>#REF!</v>
      </c>
      <c r="N8" s="3" t="e">
        <f t="shared" si="0"/>
        <v>#REF!</v>
      </c>
    </row>
    <row r="9" spans="1:14" x14ac:dyDescent="0.25">
      <c r="A9" s="12" t="s">
        <v>73</v>
      </c>
      <c r="B9" s="3" t="e">
        <f>B10+B11+B13+B14+B16</f>
        <v>#REF!</v>
      </c>
      <c r="C9" s="3" t="e">
        <f t="shared" ref="C9:N9" si="3">C10+C11+C13+C14+C16</f>
        <v>#REF!</v>
      </c>
      <c r="D9" s="3" t="e">
        <f t="shared" si="3"/>
        <v>#REF!</v>
      </c>
      <c r="E9" s="3" t="e">
        <f t="shared" si="3"/>
        <v>#REF!</v>
      </c>
      <c r="F9" s="3" t="e">
        <f t="shared" si="3"/>
        <v>#REF!</v>
      </c>
      <c r="G9" s="3" t="e">
        <f t="shared" si="3"/>
        <v>#REF!</v>
      </c>
      <c r="H9" s="3" t="e">
        <f t="shared" si="3"/>
        <v>#REF!</v>
      </c>
      <c r="I9" s="3" t="e">
        <f t="shared" si="3"/>
        <v>#REF!</v>
      </c>
      <c r="J9" s="3" t="e">
        <f t="shared" si="3"/>
        <v>#REF!</v>
      </c>
      <c r="K9" s="3" t="e">
        <f t="shared" si="3"/>
        <v>#REF!</v>
      </c>
      <c r="L9" s="3" t="e">
        <f t="shared" si="3"/>
        <v>#REF!</v>
      </c>
      <c r="M9" s="3" t="e">
        <f t="shared" si="3"/>
        <v>#REF!</v>
      </c>
      <c r="N9" s="3" t="e">
        <f t="shared" si="3"/>
        <v>#REF!</v>
      </c>
    </row>
    <row r="10" spans="1:14" x14ac:dyDescent="0.25">
      <c r="A10" s="12" t="s">
        <v>64</v>
      </c>
      <c r="B10" s="3" t="e">
        <f t="shared" ref="B10:M10" si="4">18%*B8</f>
        <v>#REF!</v>
      </c>
      <c r="C10" s="3" t="e">
        <f t="shared" si="4"/>
        <v>#REF!</v>
      </c>
      <c r="D10" s="3" t="e">
        <f t="shared" si="4"/>
        <v>#REF!</v>
      </c>
      <c r="E10" s="3" t="e">
        <f t="shared" si="4"/>
        <v>#REF!</v>
      </c>
      <c r="F10" s="3" t="e">
        <f t="shared" si="4"/>
        <v>#REF!</v>
      </c>
      <c r="G10" s="3" t="e">
        <f t="shared" si="4"/>
        <v>#REF!</v>
      </c>
      <c r="H10" s="3" t="e">
        <f t="shared" si="4"/>
        <v>#REF!</v>
      </c>
      <c r="I10" s="3" t="e">
        <f t="shared" si="4"/>
        <v>#REF!</v>
      </c>
      <c r="J10" s="3" t="e">
        <f t="shared" si="4"/>
        <v>#REF!</v>
      </c>
      <c r="K10" s="3" t="e">
        <f t="shared" si="4"/>
        <v>#REF!</v>
      </c>
      <c r="L10" s="3" t="e">
        <f t="shared" si="4"/>
        <v>#REF!</v>
      </c>
      <c r="M10" s="3" t="e">
        <f t="shared" si="4"/>
        <v>#REF!</v>
      </c>
      <c r="N10" s="3" t="e">
        <f t="shared" si="0"/>
        <v>#REF!</v>
      </c>
    </row>
    <row r="11" spans="1:14" x14ac:dyDescent="0.25">
      <c r="A11" s="12" t="s">
        <v>79</v>
      </c>
      <c r="B11" s="3" t="e">
        <f t="shared" ref="B11:M11" si="5">3.65%*B8</f>
        <v>#REF!</v>
      </c>
      <c r="C11" s="3" t="e">
        <f t="shared" si="5"/>
        <v>#REF!</v>
      </c>
      <c r="D11" s="3" t="e">
        <f t="shared" si="5"/>
        <v>#REF!</v>
      </c>
      <c r="E11" s="3" t="e">
        <f t="shared" si="5"/>
        <v>#REF!</v>
      </c>
      <c r="F11" s="3" t="e">
        <f t="shared" si="5"/>
        <v>#REF!</v>
      </c>
      <c r="G11" s="3" t="e">
        <f t="shared" si="5"/>
        <v>#REF!</v>
      </c>
      <c r="H11" s="3" t="e">
        <f t="shared" si="5"/>
        <v>#REF!</v>
      </c>
      <c r="I11" s="3" t="e">
        <f t="shared" si="5"/>
        <v>#REF!</v>
      </c>
      <c r="J11" s="3" t="e">
        <f t="shared" si="5"/>
        <v>#REF!</v>
      </c>
      <c r="K11" s="3" t="e">
        <f t="shared" si="5"/>
        <v>#REF!</v>
      </c>
      <c r="L11" s="3" t="e">
        <f t="shared" si="5"/>
        <v>#REF!</v>
      </c>
      <c r="M11" s="3" t="e">
        <f t="shared" si="5"/>
        <v>#REF!</v>
      </c>
      <c r="N11" s="3" t="e">
        <f t="shared" si="0"/>
        <v>#REF!</v>
      </c>
    </row>
    <row r="12" spans="1:14" x14ac:dyDescent="0.25">
      <c r="A12" s="26" t="s">
        <v>80</v>
      </c>
      <c r="B12" s="26" t="e">
        <f>B$8*8%</f>
        <v>#REF!</v>
      </c>
      <c r="C12" s="26" t="e">
        <f t="shared" ref="C12:M12" si="6">C8*8%</f>
        <v>#REF!</v>
      </c>
      <c r="D12" s="26" t="e">
        <f t="shared" si="6"/>
        <v>#REF!</v>
      </c>
      <c r="E12" s="26" t="e">
        <f t="shared" si="6"/>
        <v>#REF!</v>
      </c>
      <c r="F12" s="26" t="e">
        <f t="shared" si="6"/>
        <v>#REF!</v>
      </c>
      <c r="G12" s="26" t="e">
        <f t="shared" si="6"/>
        <v>#REF!</v>
      </c>
      <c r="H12" s="26" t="e">
        <f t="shared" si="6"/>
        <v>#REF!</v>
      </c>
      <c r="I12" s="26" t="e">
        <f t="shared" si="6"/>
        <v>#REF!</v>
      </c>
      <c r="J12" s="26" t="e">
        <f t="shared" si="6"/>
        <v>#REF!</v>
      </c>
      <c r="K12" s="26" t="e">
        <f t="shared" si="6"/>
        <v>#REF!</v>
      </c>
      <c r="L12" s="26" t="e">
        <f t="shared" si="6"/>
        <v>#REF!</v>
      </c>
      <c r="M12" s="26" t="e">
        <f t="shared" si="6"/>
        <v>#REF!</v>
      </c>
      <c r="N12" s="3" t="e">
        <f>N6*8%</f>
        <v>#REF!</v>
      </c>
    </row>
    <row r="13" spans="1:14" x14ac:dyDescent="0.25">
      <c r="A13" s="26" t="s">
        <v>68</v>
      </c>
      <c r="B13" s="28" t="e">
        <f t="shared" ref="B13:M13" si="7">B12*15%</f>
        <v>#REF!</v>
      </c>
      <c r="C13" s="28" t="e">
        <f t="shared" si="7"/>
        <v>#REF!</v>
      </c>
      <c r="D13" s="28" t="e">
        <f t="shared" si="7"/>
        <v>#REF!</v>
      </c>
      <c r="E13" s="28" t="e">
        <f t="shared" si="7"/>
        <v>#REF!</v>
      </c>
      <c r="F13" s="28" t="e">
        <f t="shared" si="7"/>
        <v>#REF!</v>
      </c>
      <c r="G13" s="28" t="e">
        <f t="shared" si="7"/>
        <v>#REF!</v>
      </c>
      <c r="H13" s="28" t="e">
        <f t="shared" si="7"/>
        <v>#REF!</v>
      </c>
      <c r="I13" s="28" t="e">
        <f t="shared" si="7"/>
        <v>#REF!</v>
      </c>
      <c r="J13" s="28" t="e">
        <f t="shared" si="7"/>
        <v>#REF!</v>
      </c>
      <c r="K13" s="28" t="e">
        <f t="shared" si="7"/>
        <v>#REF!</v>
      </c>
      <c r="L13" s="28" t="e">
        <f t="shared" si="7"/>
        <v>#REF!</v>
      </c>
      <c r="M13" s="28" t="e">
        <f t="shared" si="7"/>
        <v>#REF!</v>
      </c>
      <c r="N13" s="3" t="e">
        <f>SUM(B13:M13)</f>
        <v>#REF!</v>
      </c>
    </row>
    <row r="14" spans="1:14" x14ac:dyDescent="0.25">
      <c r="A14" s="26" t="s">
        <v>69</v>
      </c>
      <c r="B14" s="28" t="e">
        <f t="shared" ref="B14:M14" si="8">IF(B12&gt;20000,(B12-20000)*0.1,0)</f>
        <v>#REF!</v>
      </c>
      <c r="C14" s="28" t="e">
        <f t="shared" si="8"/>
        <v>#REF!</v>
      </c>
      <c r="D14" s="28" t="e">
        <f t="shared" si="8"/>
        <v>#REF!</v>
      </c>
      <c r="E14" s="28" t="e">
        <f t="shared" si="8"/>
        <v>#REF!</v>
      </c>
      <c r="F14" s="28" t="e">
        <f t="shared" si="8"/>
        <v>#REF!</v>
      </c>
      <c r="G14" s="28" t="e">
        <f t="shared" si="8"/>
        <v>#REF!</v>
      </c>
      <c r="H14" s="28" t="e">
        <f t="shared" si="8"/>
        <v>#REF!</v>
      </c>
      <c r="I14" s="28" t="e">
        <f t="shared" si="8"/>
        <v>#REF!</v>
      </c>
      <c r="J14" s="28" t="e">
        <f t="shared" si="8"/>
        <v>#REF!</v>
      </c>
      <c r="K14" s="28" t="e">
        <f t="shared" si="8"/>
        <v>#REF!</v>
      </c>
      <c r="L14" s="28" t="e">
        <f t="shared" si="8"/>
        <v>#REF!</v>
      </c>
      <c r="M14" s="28" t="e">
        <f t="shared" si="8"/>
        <v>#REF!</v>
      </c>
      <c r="N14" s="3" t="e">
        <f>SUM(B14:M14)</f>
        <v>#REF!</v>
      </c>
    </row>
    <row r="15" spans="1:14" x14ac:dyDescent="0.25">
      <c r="A15" s="26" t="s">
        <v>81</v>
      </c>
      <c r="B15" s="26" t="e">
        <f t="shared" ref="B15:M15" si="9">B$8*12%</f>
        <v>#REF!</v>
      </c>
      <c r="C15" s="26" t="e">
        <f t="shared" si="9"/>
        <v>#REF!</v>
      </c>
      <c r="D15" s="26" t="e">
        <f t="shared" si="9"/>
        <v>#REF!</v>
      </c>
      <c r="E15" s="26" t="e">
        <f t="shared" si="9"/>
        <v>#REF!</v>
      </c>
      <c r="F15" s="26" t="e">
        <f t="shared" si="9"/>
        <v>#REF!</v>
      </c>
      <c r="G15" s="26" t="e">
        <f t="shared" si="9"/>
        <v>#REF!</v>
      </c>
      <c r="H15" s="26" t="e">
        <f t="shared" si="9"/>
        <v>#REF!</v>
      </c>
      <c r="I15" s="26" t="e">
        <f t="shared" si="9"/>
        <v>#REF!</v>
      </c>
      <c r="J15" s="26" t="e">
        <f t="shared" si="9"/>
        <v>#REF!</v>
      </c>
      <c r="K15" s="26" t="e">
        <f t="shared" si="9"/>
        <v>#REF!</v>
      </c>
      <c r="L15" s="26" t="e">
        <f t="shared" si="9"/>
        <v>#REF!</v>
      </c>
      <c r="M15" s="26" t="e">
        <f t="shared" si="9"/>
        <v>#REF!</v>
      </c>
      <c r="N15" s="3" t="e">
        <f>SUM(B15:M15)</f>
        <v>#REF!</v>
      </c>
    </row>
    <row r="16" spans="1:14" x14ac:dyDescent="0.25">
      <c r="A16" s="26" t="s">
        <v>70</v>
      </c>
      <c r="B16" s="4" t="e">
        <f t="shared" ref="B16:M16" si="10">9%*B15</f>
        <v>#REF!</v>
      </c>
      <c r="C16" s="4" t="e">
        <f t="shared" si="10"/>
        <v>#REF!</v>
      </c>
      <c r="D16" s="4" t="e">
        <f t="shared" si="10"/>
        <v>#REF!</v>
      </c>
      <c r="E16" s="4" t="e">
        <f t="shared" si="10"/>
        <v>#REF!</v>
      </c>
      <c r="F16" s="4" t="e">
        <f t="shared" si="10"/>
        <v>#REF!</v>
      </c>
      <c r="G16" s="4" t="e">
        <f t="shared" si="10"/>
        <v>#REF!</v>
      </c>
      <c r="H16" s="4" t="e">
        <f t="shared" si="10"/>
        <v>#REF!</v>
      </c>
      <c r="I16" s="4" t="e">
        <f t="shared" si="10"/>
        <v>#REF!</v>
      </c>
      <c r="J16" s="4" t="e">
        <f t="shared" si="10"/>
        <v>#REF!</v>
      </c>
      <c r="K16" s="4" t="e">
        <f t="shared" si="10"/>
        <v>#REF!</v>
      </c>
      <c r="L16" s="4" t="e">
        <f t="shared" si="10"/>
        <v>#REF!</v>
      </c>
      <c r="M16" s="4" t="e">
        <f t="shared" si="10"/>
        <v>#REF!</v>
      </c>
      <c r="N16" s="3" t="e">
        <f>SUM(B16:M16)</f>
        <v>#REF!</v>
      </c>
    </row>
    <row r="17" spans="1:14" x14ac:dyDescent="0.25">
      <c r="A17" s="27" t="s">
        <v>28</v>
      </c>
      <c r="B17" s="27" t="e">
        <f t="shared" ref="B17:N17" si="11">B8-B9</f>
        <v>#REF!</v>
      </c>
      <c r="C17" s="27" t="e">
        <f t="shared" si="11"/>
        <v>#REF!</v>
      </c>
      <c r="D17" s="27" t="e">
        <f t="shared" si="11"/>
        <v>#REF!</v>
      </c>
      <c r="E17" s="27" t="e">
        <f t="shared" si="11"/>
        <v>#REF!</v>
      </c>
      <c r="F17" s="27" t="e">
        <f t="shared" si="11"/>
        <v>#REF!</v>
      </c>
      <c r="G17" s="27" t="e">
        <f t="shared" si="11"/>
        <v>#REF!</v>
      </c>
      <c r="H17" s="27" t="e">
        <f t="shared" si="11"/>
        <v>#REF!</v>
      </c>
      <c r="I17" s="27" t="e">
        <f t="shared" si="11"/>
        <v>#REF!</v>
      </c>
      <c r="J17" s="27" t="e">
        <f t="shared" si="11"/>
        <v>#REF!</v>
      </c>
      <c r="K17" s="27" t="e">
        <f t="shared" si="11"/>
        <v>#REF!</v>
      </c>
      <c r="L17" s="27" t="e">
        <f t="shared" si="11"/>
        <v>#REF!</v>
      </c>
      <c r="M17" s="27" t="e">
        <f t="shared" si="11"/>
        <v>#REF!</v>
      </c>
      <c r="N17" s="27" t="e">
        <f t="shared" si="11"/>
        <v>#REF!</v>
      </c>
    </row>
    <row r="18" spans="1:14" x14ac:dyDescent="0.25">
      <c r="A18" s="3" t="s">
        <v>29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f t="shared" si="0"/>
        <v>0</v>
      </c>
    </row>
    <row r="19" spans="1:14" x14ac:dyDescent="0.25">
      <c r="A19" s="3" t="s">
        <v>30</v>
      </c>
      <c r="B19" s="3" t="e">
        <f t="shared" ref="B19:M19" si="12">B17-B18</f>
        <v>#REF!</v>
      </c>
      <c r="C19" s="3" t="e">
        <f t="shared" si="12"/>
        <v>#REF!</v>
      </c>
      <c r="D19" s="3" t="e">
        <f t="shared" si="12"/>
        <v>#REF!</v>
      </c>
      <c r="E19" s="3" t="e">
        <f t="shared" si="12"/>
        <v>#REF!</v>
      </c>
      <c r="F19" s="3" t="e">
        <f t="shared" si="12"/>
        <v>#REF!</v>
      </c>
      <c r="G19" s="3" t="e">
        <f t="shared" si="12"/>
        <v>#REF!</v>
      </c>
      <c r="H19" s="3" t="e">
        <f t="shared" si="12"/>
        <v>#REF!</v>
      </c>
      <c r="I19" s="3" t="e">
        <f t="shared" si="12"/>
        <v>#REF!</v>
      </c>
      <c r="J19" s="3" t="e">
        <f t="shared" si="12"/>
        <v>#REF!</v>
      </c>
      <c r="K19" s="3" t="e">
        <f t="shared" si="12"/>
        <v>#REF!</v>
      </c>
      <c r="L19" s="3" t="e">
        <f t="shared" si="12"/>
        <v>#REF!</v>
      </c>
      <c r="M19" s="3" t="e">
        <f t="shared" si="12"/>
        <v>#REF!</v>
      </c>
      <c r="N19" s="3" t="e">
        <f t="shared" si="0"/>
        <v>#REF!</v>
      </c>
    </row>
    <row r="20" spans="1:14" x14ac:dyDescent="0.25">
      <c r="A20" s="3" t="s">
        <v>31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>
        <f t="shared" si="0"/>
        <v>0</v>
      </c>
    </row>
    <row r="21" spans="1:14" x14ac:dyDescent="0.25">
      <c r="A21" s="3" t="s">
        <v>32</v>
      </c>
      <c r="B21" s="3" t="e">
        <f t="shared" ref="B21:M21" si="13">B19-B20</f>
        <v>#REF!</v>
      </c>
      <c r="C21" s="3" t="e">
        <f t="shared" si="13"/>
        <v>#REF!</v>
      </c>
      <c r="D21" s="3" t="e">
        <f t="shared" si="13"/>
        <v>#REF!</v>
      </c>
      <c r="E21" s="3" t="e">
        <f t="shared" si="13"/>
        <v>#REF!</v>
      </c>
      <c r="F21" s="3" t="e">
        <f t="shared" si="13"/>
        <v>#REF!</v>
      </c>
      <c r="G21" s="3" t="e">
        <f t="shared" si="13"/>
        <v>#REF!</v>
      </c>
      <c r="H21" s="3" t="e">
        <f t="shared" si="13"/>
        <v>#REF!</v>
      </c>
      <c r="I21" s="3" t="e">
        <f t="shared" si="13"/>
        <v>#REF!</v>
      </c>
      <c r="J21" s="3" t="e">
        <f t="shared" si="13"/>
        <v>#REF!</v>
      </c>
      <c r="K21" s="3" t="e">
        <f t="shared" si="13"/>
        <v>#REF!</v>
      </c>
      <c r="L21" s="3" t="e">
        <f t="shared" si="13"/>
        <v>#REF!</v>
      </c>
      <c r="M21" s="3" t="e">
        <f t="shared" si="13"/>
        <v>#REF!</v>
      </c>
      <c r="N21" s="3" t="e">
        <f t="shared" si="0"/>
        <v>#REF!</v>
      </c>
    </row>
    <row r="22" spans="1:14" x14ac:dyDescent="0.25">
      <c r="A22" s="3" t="s">
        <v>33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>
        <f t="shared" si="0"/>
        <v>0</v>
      </c>
    </row>
    <row r="23" spans="1:14" x14ac:dyDescent="0.25">
      <c r="A23" s="3" t="s">
        <v>34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>
        <f t="shared" si="0"/>
        <v>0</v>
      </c>
    </row>
    <row r="24" spans="1:14" x14ac:dyDescent="0.25">
      <c r="A24" s="3" t="s">
        <v>82</v>
      </c>
      <c r="B24" s="3" t="e">
        <f t="shared" ref="B24:M24" si="14">B21-B22-B23</f>
        <v>#REF!</v>
      </c>
      <c r="C24" s="3" t="e">
        <f t="shared" si="14"/>
        <v>#REF!</v>
      </c>
      <c r="D24" s="3" t="e">
        <f t="shared" si="14"/>
        <v>#REF!</v>
      </c>
      <c r="E24" s="3" t="e">
        <f t="shared" si="14"/>
        <v>#REF!</v>
      </c>
      <c r="F24" s="3" t="e">
        <f t="shared" si="14"/>
        <v>#REF!</v>
      </c>
      <c r="G24" s="3" t="e">
        <f t="shared" si="14"/>
        <v>#REF!</v>
      </c>
      <c r="H24" s="3" t="e">
        <f t="shared" si="14"/>
        <v>#REF!</v>
      </c>
      <c r="I24" s="3" t="e">
        <f t="shared" si="14"/>
        <v>#REF!</v>
      </c>
      <c r="J24" s="3" t="e">
        <f t="shared" si="14"/>
        <v>#REF!</v>
      </c>
      <c r="K24" s="3" t="e">
        <f t="shared" si="14"/>
        <v>#REF!</v>
      </c>
      <c r="L24" s="3" t="e">
        <f t="shared" si="14"/>
        <v>#REF!</v>
      </c>
      <c r="M24" s="3" t="e">
        <f t="shared" si="14"/>
        <v>#REF!</v>
      </c>
      <c r="N24" s="3" t="e">
        <f t="shared" si="0"/>
        <v>#REF!</v>
      </c>
    </row>
    <row r="25" spans="1:14" x14ac:dyDescent="0.25">
      <c r="A25" s="3" t="s">
        <v>35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>
        <f t="shared" si="0"/>
        <v>0</v>
      </c>
    </row>
    <row r="26" spans="1:14" x14ac:dyDescent="0.25">
      <c r="A26" s="27" t="s">
        <v>83</v>
      </c>
      <c r="B26" s="27" t="e">
        <f t="shared" ref="B26:M26" si="15">B24-B25</f>
        <v>#REF!</v>
      </c>
      <c r="C26" s="27" t="e">
        <f t="shared" si="15"/>
        <v>#REF!</v>
      </c>
      <c r="D26" s="27" t="e">
        <f t="shared" si="15"/>
        <v>#REF!</v>
      </c>
      <c r="E26" s="27" t="e">
        <f t="shared" si="15"/>
        <v>#REF!</v>
      </c>
      <c r="F26" s="27" t="e">
        <f t="shared" si="15"/>
        <v>#REF!</v>
      </c>
      <c r="G26" s="27" t="e">
        <f t="shared" si="15"/>
        <v>#REF!</v>
      </c>
      <c r="H26" s="27" t="e">
        <f t="shared" si="15"/>
        <v>#REF!</v>
      </c>
      <c r="I26" s="27" t="e">
        <f t="shared" si="15"/>
        <v>#REF!</v>
      </c>
      <c r="J26" s="27" t="e">
        <f t="shared" si="15"/>
        <v>#REF!</v>
      </c>
      <c r="K26" s="27" t="e">
        <f t="shared" si="15"/>
        <v>#REF!</v>
      </c>
      <c r="L26" s="27" t="e">
        <f t="shared" si="15"/>
        <v>#REF!</v>
      </c>
      <c r="M26" s="27" t="e">
        <f t="shared" si="15"/>
        <v>#REF!</v>
      </c>
      <c r="N26" s="27" t="e">
        <f t="shared" si="0"/>
        <v>#REF!</v>
      </c>
    </row>
    <row r="29" spans="1:14" x14ac:dyDescent="0.25">
      <c r="A29" s="8" t="s">
        <v>84</v>
      </c>
    </row>
    <row r="30" spans="1:14" x14ac:dyDescent="0.25">
      <c r="A30" s="8" t="s">
        <v>85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19"/>
  <dimension ref="A4:N24"/>
  <sheetViews>
    <sheetView workbookViewId="0"/>
  </sheetViews>
  <sheetFormatPr defaultColWidth="11.44140625" defaultRowHeight="13.8" x14ac:dyDescent="0.25"/>
  <cols>
    <col min="1" max="1" width="41.88671875" style="8" customWidth="1"/>
    <col min="2" max="13" width="8.6640625" style="8" customWidth="1"/>
    <col min="14" max="14" width="10.6640625" style="8" customWidth="1"/>
    <col min="15" max="16384" width="11.44140625" style="8"/>
  </cols>
  <sheetData>
    <row r="4" spans="1:14" s="7" customFormat="1" ht="18" x14ac:dyDescent="0.35">
      <c r="A4" s="7" t="s">
        <v>26</v>
      </c>
    </row>
    <row r="5" spans="1:14" ht="18" customHeight="1" x14ac:dyDescent="0.25">
      <c r="A5" s="6" t="s">
        <v>2</v>
      </c>
      <c r="B5" s="9" t="s">
        <v>9</v>
      </c>
      <c r="C5" s="9" t="s">
        <v>10</v>
      </c>
      <c r="D5" s="9" t="s">
        <v>11</v>
      </c>
      <c r="E5" s="9" t="s">
        <v>12</v>
      </c>
      <c r="F5" s="9" t="s">
        <v>13</v>
      </c>
      <c r="G5" s="9" t="s">
        <v>14</v>
      </c>
      <c r="H5" s="9" t="s">
        <v>15</v>
      </c>
      <c r="I5" s="9" t="s">
        <v>16</v>
      </c>
      <c r="J5" s="9" t="s">
        <v>17</v>
      </c>
      <c r="K5" s="9" t="s">
        <v>18</v>
      </c>
      <c r="L5" s="9" t="s">
        <v>19</v>
      </c>
      <c r="M5" s="9" t="s">
        <v>20</v>
      </c>
      <c r="N5" s="9" t="s">
        <v>21</v>
      </c>
    </row>
    <row r="6" spans="1:14" x14ac:dyDescent="0.25">
      <c r="A6" s="10" t="s">
        <v>27</v>
      </c>
      <c r="B6" s="11">
        <v>399488.36993460462</v>
      </c>
      <c r="C6" s="11">
        <v>401953.10977078642</v>
      </c>
      <c r="D6" s="11">
        <v>404433.05641376728</v>
      </c>
      <c r="E6" s="11">
        <v>406928.30368560896</v>
      </c>
      <c r="F6" s="11">
        <v>409438.94598723092</v>
      </c>
      <c r="G6" s="11">
        <v>411965.07830198202</v>
      </c>
      <c r="H6" s="11">
        <v>414506.79619923362</v>
      </c>
      <c r="I6" s="11">
        <v>417064.19583799562</v>
      </c>
      <c r="J6" s="11">
        <v>419637.3739705538</v>
      </c>
      <c r="K6" s="11">
        <v>422226.4279461308</v>
      </c>
      <c r="L6" s="11">
        <v>424831.45571456861</v>
      </c>
      <c r="M6" s="11">
        <v>427452.55583003437</v>
      </c>
      <c r="N6" s="11">
        <v>4959925.6695924969</v>
      </c>
    </row>
    <row r="7" spans="1:14" x14ac:dyDescent="0.25">
      <c r="A7" s="12" t="s">
        <v>72</v>
      </c>
      <c r="B7" s="3">
        <f>5%*B6</f>
        <v>19974.418496730232</v>
      </c>
      <c r="C7" s="3">
        <f t="shared" ref="C7:M7" si="0">5%*C6</f>
        <v>20097.655488539323</v>
      </c>
      <c r="D7" s="3">
        <f t="shared" si="0"/>
        <v>20221.652820688367</v>
      </c>
      <c r="E7" s="3">
        <f t="shared" si="0"/>
        <v>20346.415184280449</v>
      </c>
      <c r="F7" s="3">
        <f t="shared" si="0"/>
        <v>20471.947299361549</v>
      </c>
      <c r="G7" s="3">
        <f t="shared" si="0"/>
        <v>20598.253915099103</v>
      </c>
      <c r="H7" s="3">
        <f t="shared" si="0"/>
        <v>20725.339809961682</v>
      </c>
      <c r="I7" s="3">
        <f t="shared" si="0"/>
        <v>20853.209791899782</v>
      </c>
      <c r="J7" s="3">
        <f t="shared" si="0"/>
        <v>20981.868698527691</v>
      </c>
      <c r="K7" s="3">
        <f t="shared" si="0"/>
        <v>21111.321397306543</v>
      </c>
      <c r="L7" s="3">
        <f t="shared" si="0"/>
        <v>21241.572785728433</v>
      </c>
      <c r="M7" s="3">
        <f t="shared" si="0"/>
        <v>21372.62779150172</v>
      </c>
      <c r="N7" s="3">
        <f t="shared" ref="N7:N24" si="1">SUM(B7:M7)</f>
        <v>247996.28347962486</v>
      </c>
    </row>
    <row r="8" spans="1:14" x14ac:dyDescent="0.25">
      <c r="A8" s="27" t="s">
        <v>62</v>
      </c>
      <c r="B8" s="27">
        <f>B6-B7</f>
        <v>379513.95143787441</v>
      </c>
      <c r="C8" s="27">
        <f t="shared" ref="C8:M8" si="2">C6-C7</f>
        <v>381855.45428224711</v>
      </c>
      <c r="D8" s="27">
        <f t="shared" si="2"/>
        <v>384211.4035930789</v>
      </c>
      <c r="E8" s="27">
        <f t="shared" si="2"/>
        <v>386581.88850132853</v>
      </c>
      <c r="F8" s="27">
        <f t="shared" si="2"/>
        <v>388966.9986878694</v>
      </c>
      <c r="G8" s="27">
        <f t="shared" si="2"/>
        <v>391366.82438688294</v>
      </c>
      <c r="H8" s="27">
        <f t="shared" si="2"/>
        <v>393781.45638927195</v>
      </c>
      <c r="I8" s="27">
        <f t="shared" si="2"/>
        <v>396210.98604609584</v>
      </c>
      <c r="J8" s="27">
        <f t="shared" si="2"/>
        <v>398655.50527202612</v>
      </c>
      <c r="K8" s="27">
        <f t="shared" si="2"/>
        <v>401115.10654882423</v>
      </c>
      <c r="L8" s="27">
        <f t="shared" si="2"/>
        <v>403589.88292884018</v>
      </c>
      <c r="M8" s="27">
        <f t="shared" si="2"/>
        <v>406079.92803853267</v>
      </c>
      <c r="N8" s="27">
        <f t="shared" si="1"/>
        <v>4711929.3861128725</v>
      </c>
    </row>
    <row r="9" spans="1:14" x14ac:dyDescent="0.25">
      <c r="A9" s="3" t="s">
        <v>73</v>
      </c>
      <c r="B9" s="3">
        <f>B10</f>
        <v>35105.040508003382</v>
      </c>
      <c r="C9" s="3">
        <f t="shared" ref="C9:N9" si="3">C10</f>
        <v>35321.629521107854</v>
      </c>
      <c r="D9" s="3">
        <f t="shared" si="3"/>
        <v>35539.554832359798</v>
      </c>
      <c r="E9" s="3">
        <f t="shared" si="3"/>
        <v>35758.824686372885</v>
      </c>
      <c r="F9" s="3">
        <f t="shared" si="3"/>
        <v>35979.44737862792</v>
      </c>
      <c r="G9" s="3">
        <f t="shared" si="3"/>
        <v>36201.431255786672</v>
      </c>
      <c r="H9" s="3">
        <f t="shared" si="3"/>
        <v>36424.784716007656</v>
      </c>
      <c r="I9" s="3">
        <f t="shared" si="3"/>
        <v>36649.516209263864</v>
      </c>
      <c r="J9" s="3">
        <f t="shared" si="3"/>
        <v>36875.634237662416</v>
      </c>
      <c r="K9" s="3">
        <f t="shared" si="3"/>
        <v>37103.147355766239</v>
      </c>
      <c r="L9" s="3">
        <f t="shared" si="3"/>
        <v>37332.064170917714</v>
      </c>
      <c r="M9" s="3">
        <f t="shared" si="3"/>
        <v>37562.393343564268</v>
      </c>
      <c r="N9" s="3">
        <f t="shared" si="3"/>
        <v>435853.46821544069</v>
      </c>
    </row>
    <row r="10" spans="1:14" x14ac:dyDescent="0.25">
      <c r="A10" s="3" t="s">
        <v>74</v>
      </c>
      <c r="B10" s="3">
        <f>B8*0.0925</f>
        <v>35105.040508003382</v>
      </c>
      <c r="C10" s="3">
        <f t="shared" ref="C10:N10" si="4">C8*0.0925</f>
        <v>35321.629521107854</v>
      </c>
      <c r="D10" s="3">
        <f t="shared" si="4"/>
        <v>35539.554832359798</v>
      </c>
      <c r="E10" s="3">
        <f t="shared" si="4"/>
        <v>35758.824686372885</v>
      </c>
      <c r="F10" s="3">
        <f t="shared" si="4"/>
        <v>35979.44737862792</v>
      </c>
      <c r="G10" s="3">
        <f t="shared" si="4"/>
        <v>36201.431255786672</v>
      </c>
      <c r="H10" s="3">
        <f t="shared" si="4"/>
        <v>36424.784716007656</v>
      </c>
      <c r="I10" s="3">
        <f t="shared" si="4"/>
        <v>36649.516209263864</v>
      </c>
      <c r="J10" s="3">
        <f t="shared" si="4"/>
        <v>36875.634237662416</v>
      </c>
      <c r="K10" s="3">
        <f t="shared" si="4"/>
        <v>37103.147355766239</v>
      </c>
      <c r="L10" s="3">
        <f t="shared" si="4"/>
        <v>37332.064170917714</v>
      </c>
      <c r="M10" s="3">
        <f t="shared" si="4"/>
        <v>37562.393343564268</v>
      </c>
      <c r="N10" s="3">
        <f t="shared" si="4"/>
        <v>435853.46821544069</v>
      </c>
    </row>
    <row r="11" spans="1:14" x14ac:dyDescent="0.25">
      <c r="A11" s="27" t="s">
        <v>75</v>
      </c>
      <c r="B11" s="27">
        <f>B8-B9</f>
        <v>344408.91092987102</v>
      </c>
      <c r="C11" s="27">
        <f t="shared" ref="C11:N11" si="5">C8-C9</f>
        <v>346533.82476113923</v>
      </c>
      <c r="D11" s="27">
        <f t="shared" si="5"/>
        <v>348671.84876071912</v>
      </c>
      <c r="E11" s="27">
        <f t="shared" si="5"/>
        <v>350823.06381495565</v>
      </c>
      <c r="F11" s="27">
        <f t="shared" si="5"/>
        <v>352987.55130924151</v>
      </c>
      <c r="G11" s="27">
        <f t="shared" si="5"/>
        <v>355165.39313109627</v>
      </c>
      <c r="H11" s="27">
        <f t="shared" si="5"/>
        <v>357356.6716732643</v>
      </c>
      <c r="I11" s="27">
        <f t="shared" si="5"/>
        <v>359561.46983683197</v>
      </c>
      <c r="J11" s="27">
        <f t="shared" si="5"/>
        <v>361779.87103436369</v>
      </c>
      <c r="K11" s="27">
        <f t="shared" si="5"/>
        <v>364011.95919305796</v>
      </c>
      <c r="L11" s="27">
        <f t="shared" si="5"/>
        <v>366257.81875792245</v>
      </c>
      <c r="M11" s="27">
        <f t="shared" si="5"/>
        <v>368517.53469496837</v>
      </c>
      <c r="N11" s="27">
        <f t="shared" si="5"/>
        <v>4276075.9178974321</v>
      </c>
    </row>
    <row r="12" spans="1:14" x14ac:dyDescent="0.25">
      <c r="A12" s="3" t="s">
        <v>76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>
        <f t="shared" si="1"/>
        <v>0</v>
      </c>
    </row>
    <row r="13" spans="1:14" x14ac:dyDescent="0.25">
      <c r="A13" s="27" t="s">
        <v>30</v>
      </c>
      <c r="B13" s="27">
        <f t="shared" ref="B13:M13" si="6">B8-B12</f>
        <v>379513.95143787441</v>
      </c>
      <c r="C13" s="27">
        <f t="shared" si="6"/>
        <v>381855.45428224711</v>
      </c>
      <c r="D13" s="27">
        <f t="shared" si="6"/>
        <v>384211.4035930789</v>
      </c>
      <c r="E13" s="27">
        <f t="shared" si="6"/>
        <v>386581.88850132853</v>
      </c>
      <c r="F13" s="27">
        <f t="shared" si="6"/>
        <v>388966.9986878694</v>
      </c>
      <c r="G13" s="27">
        <f t="shared" si="6"/>
        <v>391366.82438688294</v>
      </c>
      <c r="H13" s="27">
        <f t="shared" si="6"/>
        <v>393781.45638927195</v>
      </c>
      <c r="I13" s="27">
        <f t="shared" si="6"/>
        <v>396210.98604609584</v>
      </c>
      <c r="J13" s="27">
        <f t="shared" si="6"/>
        <v>398655.50527202612</v>
      </c>
      <c r="K13" s="27">
        <f t="shared" si="6"/>
        <v>401115.10654882423</v>
      </c>
      <c r="L13" s="27">
        <f t="shared" si="6"/>
        <v>403589.88292884018</v>
      </c>
      <c r="M13" s="27">
        <f t="shared" si="6"/>
        <v>406079.92803853267</v>
      </c>
      <c r="N13" s="27">
        <f t="shared" si="1"/>
        <v>4711929.3861128725</v>
      </c>
    </row>
    <row r="14" spans="1:14" x14ac:dyDescent="0.25">
      <c r="A14" s="3" t="s">
        <v>31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>
        <f t="shared" si="1"/>
        <v>0</v>
      </c>
    </row>
    <row r="15" spans="1:14" x14ac:dyDescent="0.25">
      <c r="A15" s="27" t="s">
        <v>32</v>
      </c>
      <c r="B15" s="27">
        <f t="shared" ref="B15:M15" si="7">B13-B14</f>
        <v>379513.95143787441</v>
      </c>
      <c r="C15" s="27">
        <f t="shared" si="7"/>
        <v>381855.45428224711</v>
      </c>
      <c r="D15" s="27">
        <f t="shared" si="7"/>
        <v>384211.4035930789</v>
      </c>
      <c r="E15" s="27">
        <f t="shared" si="7"/>
        <v>386581.88850132853</v>
      </c>
      <c r="F15" s="27">
        <f t="shared" si="7"/>
        <v>388966.9986878694</v>
      </c>
      <c r="G15" s="27">
        <f t="shared" si="7"/>
        <v>391366.82438688294</v>
      </c>
      <c r="H15" s="27">
        <f t="shared" si="7"/>
        <v>393781.45638927195</v>
      </c>
      <c r="I15" s="27">
        <f t="shared" si="7"/>
        <v>396210.98604609584</v>
      </c>
      <c r="J15" s="27">
        <f t="shared" si="7"/>
        <v>398655.50527202612</v>
      </c>
      <c r="K15" s="27">
        <f t="shared" si="7"/>
        <v>401115.10654882423</v>
      </c>
      <c r="L15" s="27">
        <f t="shared" si="7"/>
        <v>403589.88292884018</v>
      </c>
      <c r="M15" s="27">
        <f t="shared" si="7"/>
        <v>406079.92803853267</v>
      </c>
      <c r="N15" s="27">
        <f t="shared" si="1"/>
        <v>4711929.3861128725</v>
      </c>
    </row>
    <row r="16" spans="1:14" x14ac:dyDescent="0.25">
      <c r="A16" s="3" t="s">
        <v>33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f t="shared" si="1"/>
        <v>0</v>
      </c>
    </row>
    <row r="17" spans="1:14" x14ac:dyDescent="0.25">
      <c r="A17" s="3" t="s">
        <v>34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>
        <f t="shared" si="1"/>
        <v>0</v>
      </c>
    </row>
    <row r="18" spans="1:14" x14ac:dyDescent="0.25">
      <c r="A18" s="27" t="s">
        <v>66</v>
      </c>
      <c r="B18" s="27">
        <f t="shared" ref="B18:M18" si="8">B15-B16-B17</f>
        <v>379513.95143787441</v>
      </c>
      <c r="C18" s="27">
        <f t="shared" si="8"/>
        <v>381855.45428224711</v>
      </c>
      <c r="D18" s="27">
        <f t="shared" si="8"/>
        <v>384211.4035930789</v>
      </c>
      <c r="E18" s="27">
        <f t="shared" si="8"/>
        <v>386581.88850132853</v>
      </c>
      <c r="F18" s="27">
        <f t="shared" si="8"/>
        <v>388966.9986878694</v>
      </c>
      <c r="G18" s="27">
        <f t="shared" si="8"/>
        <v>391366.82438688294</v>
      </c>
      <c r="H18" s="27">
        <f t="shared" si="8"/>
        <v>393781.45638927195</v>
      </c>
      <c r="I18" s="27">
        <f t="shared" si="8"/>
        <v>396210.98604609584</v>
      </c>
      <c r="J18" s="27">
        <f t="shared" si="8"/>
        <v>398655.50527202612</v>
      </c>
      <c r="K18" s="27">
        <f t="shared" si="8"/>
        <v>401115.10654882423</v>
      </c>
      <c r="L18" s="27">
        <f t="shared" si="8"/>
        <v>403589.88292884018</v>
      </c>
      <c r="M18" s="27">
        <f t="shared" si="8"/>
        <v>406079.92803853267</v>
      </c>
      <c r="N18" s="27">
        <f t="shared" si="1"/>
        <v>4711929.3861128725</v>
      </c>
    </row>
    <row r="19" spans="1:14" x14ac:dyDescent="0.25">
      <c r="A19" s="3" t="s">
        <v>35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>
        <f t="shared" si="1"/>
        <v>0</v>
      </c>
    </row>
    <row r="20" spans="1:14" x14ac:dyDescent="0.25">
      <c r="A20" s="27" t="s">
        <v>67</v>
      </c>
      <c r="B20" s="27">
        <f t="shared" ref="B20:M20" si="9">B18-B19</f>
        <v>379513.95143787441</v>
      </c>
      <c r="C20" s="27">
        <f t="shared" si="9"/>
        <v>381855.45428224711</v>
      </c>
      <c r="D20" s="27">
        <f t="shared" si="9"/>
        <v>384211.4035930789</v>
      </c>
      <c r="E20" s="27">
        <f t="shared" si="9"/>
        <v>386581.88850132853</v>
      </c>
      <c r="F20" s="27">
        <f t="shared" si="9"/>
        <v>388966.9986878694</v>
      </c>
      <c r="G20" s="27">
        <f t="shared" si="9"/>
        <v>391366.82438688294</v>
      </c>
      <c r="H20" s="27">
        <f t="shared" si="9"/>
        <v>393781.45638927195</v>
      </c>
      <c r="I20" s="27">
        <f t="shared" si="9"/>
        <v>396210.98604609584</v>
      </c>
      <c r="J20" s="27">
        <f t="shared" si="9"/>
        <v>398655.50527202612</v>
      </c>
      <c r="K20" s="27">
        <f t="shared" si="9"/>
        <v>401115.10654882423</v>
      </c>
      <c r="L20" s="27">
        <f t="shared" si="9"/>
        <v>403589.88292884018</v>
      </c>
      <c r="M20" s="27">
        <f t="shared" si="9"/>
        <v>406079.92803853267</v>
      </c>
      <c r="N20" s="27">
        <f t="shared" si="1"/>
        <v>4711929.3861128725</v>
      </c>
    </row>
    <row r="21" spans="1:14" x14ac:dyDescent="0.25">
      <c r="A21" s="26" t="s">
        <v>68</v>
      </c>
      <c r="B21" s="28">
        <f>IF(B20&lt;0,0,B20*15%)</f>
        <v>56927.092715681159</v>
      </c>
      <c r="C21" s="28">
        <f t="shared" ref="C21:M21" si="10">IF(C20&lt;0,0,C20*15%)</f>
        <v>57278.318142337062</v>
      </c>
      <c r="D21" s="28">
        <f t="shared" si="10"/>
        <v>57631.71053896183</v>
      </c>
      <c r="E21" s="28">
        <f t="shared" si="10"/>
        <v>57987.283275199276</v>
      </c>
      <c r="F21" s="28">
        <f t="shared" si="10"/>
        <v>58345.049803180409</v>
      </c>
      <c r="G21" s="28">
        <f t="shared" si="10"/>
        <v>58705.023658032442</v>
      </c>
      <c r="H21" s="28">
        <f t="shared" si="10"/>
        <v>59067.218458390787</v>
      </c>
      <c r="I21" s="28">
        <f t="shared" si="10"/>
        <v>59431.647906914375</v>
      </c>
      <c r="J21" s="28">
        <f t="shared" si="10"/>
        <v>59798.325790803916</v>
      </c>
      <c r="K21" s="28">
        <f t="shared" si="10"/>
        <v>60167.265982323632</v>
      </c>
      <c r="L21" s="28">
        <f t="shared" si="10"/>
        <v>60538.482439326021</v>
      </c>
      <c r="M21" s="28">
        <f t="shared" si="10"/>
        <v>60911.989205779901</v>
      </c>
      <c r="N21" s="26">
        <f t="shared" si="1"/>
        <v>706789.40791693074</v>
      </c>
    </row>
    <row r="22" spans="1:14" x14ac:dyDescent="0.25">
      <c r="A22" s="26" t="s">
        <v>69</v>
      </c>
      <c r="B22" s="28">
        <f>IF(B20&gt;20000,(B20-20000)*10%,0)</f>
        <v>35951.395143787442</v>
      </c>
      <c r="C22" s="28">
        <f t="shared" ref="C22:M22" si="11">IF(C20&gt;20000,(C20-20000)*10%,0)</f>
        <v>36185.545428224716</v>
      </c>
      <c r="D22" s="28">
        <f t="shared" si="11"/>
        <v>36421.140359307894</v>
      </c>
      <c r="E22" s="28">
        <f t="shared" si="11"/>
        <v>36658.188850132858</v>
      </c>
      <c r="F22" s="28">
        <f t="shared" si="11"/>
        <v>36896.699868786942</v>
      </c>
      <c r="G22" s="28">
        <f t="shared" si="11"/>
        <v>37136.682438688294</v>
      </c>
      <c r="H22" s="28">
        <f t="shared" si="11"/>
        <v>37378.145638927199</v>
      </c>
      <c r="I22" s="28">
        <f t="shared" si="11"/>
        <v>37621.098604609586</v>
      </c>
      <c r="J22" s="28">
        <f t="shared" si="11"/>
        <v>37865.550527202613</v>
      </c>
      <c r="K22" s="28">
        <f t="shared" si="11"/>
        <v>38111.510654882426</v>
      </c>
      <c r="L22" s="28">
        <f t="shared" si="11"/>
        <v>38358.988292884016</v>
      </c>
      <c r="M22" s="28">
        <f t="shared" si="11"/>
        <v>38607.992803853267</v>
      </c>
      <c r="N22" s="26"/>
    </row>
    <row r="23" spans="1:14" x14ac:dyDescent="0.25">
      <c r="A23" s="26" t="s">
        <v>70</v>
      </c>
      <c r="B23" s="28">
        <f t="shared" ref="B23:M23" si="12">IF(B20&lt;0,0,9%*B20)</f>
        <v>34156.255629408697</v>
      </c>
      <c r="C23" s="28">
        <f t="shared" si="12"/>
        <v>34366.990885402236</v>
      </c>
      <c r="D23" s="28">
        <f t="shared" si="12"/>
        <v>34579.026323377097</v>
      </c>
      <c r="E23" s="28">
        <f t="shared" si="12"/>
        <v>34792.369965119564</v>
      </c>
      <c r="F23" s="28">
        <f t="shared" si="12"/>
        <v>35007.029881908245</v>
      </c>
      <c r="G23" s="28">
        <f t="shared" si="12"/>
        <v>35223.014194819465</v>
      </c>
      <c r="H23" s="28">
        <f t="shared" si="12"/>
        <v>35440.331075034475</v>
      </c>
      <c r="I23" s="28">
        <f t="shared" si="12"/>
        <v>35658.988744148628</v>
      </c>
      <c r="J23" s="28">
        <f t="shared" si="12"/>
        <v>35878.995474482348</v>
      </c>
      <c r="K23" s="28">
        <f t="shared" si="12"/>
        <v>36100.359589394182</v>
      </c>
      <c r="L23" s="28">
        <f t="shared" si="12"/>
        <v>36323.089463595614</v>
      </c>
      <c r="M23" s="28">
        <f t="shared" si="12"/>
        <v>36547.19352346794</v>
      </c>
      <c r="N23" s="26">
        <f t="shared" si="1"/>
        <v>424073.64475015848</v>
      </c>
    </row>
    <row r="24" spans="1:14" ht="14.4" thickBot="1" x14ac:dyDescent="0.3">
      <c r="A24" s="29" t="s">
        <v>71</v>
      </c>
      <c r="B24" s="29">
        <f>B20-B21-B22-B23</f>
        <v>252479.20794899709</v>
      </c>
      <c r="C24" s="29">
        <f t="shared" ref="C24:M24" si="13">C20-C21-C22-C23</f>
        <v>254024.59982628305</v>
      </c>
      <c r="D24" s="29">
        <f t="shared" si="13"/>
        <v>255579.52637143212</v>
      </c>
      <c r="E24" s="29">
        <f t="shared" si="13"/>
        <v>257144.04641087679</v>
      </c>
      <c r="F24" s="29">
        <f t="shared" si="13"/>
        <v>258718.21913399381</v>
      </c>
      <c r="G24" s="29">
        <f t="shared" si="13"/>
        <v>260302.10409534277</v>
      </c>
      <c r="H24" s="29">
        <f t="shared" si="13"/>
        <v>261895.76121691949</v>
      </c>
      <c r="I24" s="29">
        <f t="shared" si="13"/>
        <v>263499.25079042325</v>
      </c>
      <c r="J24" s="29">
        <f t="shared" si="13"/>
        <v>265112.63347953721</v>
      </c>
      <c r="K24" s="29">
        <f t="shared" si="13"/>
        <v>266735.97032222402</v>
      </c>
      <c r="L24" s="29">
        <f t="shared" si="13"/>
        <v>268369.32273303455</v>
      </c>
      <c r="M24" s="29">
        <f t="shared" si="13"/>
        <v>270012.75250543159</v>
      </c>
      <c r="N24" s="29">
        <f t="shared" si="1"/>
        <v>3133873.3948344951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20">
    <tabColor theme="6"/>
  </sheetPr>
  <dimension ref="A2:S17"/>
  <sheetViews>
    <sheetView tabSelected="1" zoomScale="90" zoomScaleNormal="90" workbookViewId="0">
      <selection activeCell="A9" sqref="A9"/>
    </sheetView>
  </sheetViews>
  <sheetFormatPr defaultColWidth="9.109375" defaultRowHeight="10.199999999999999" x14ac:dyDescent="0.2"/>
  <cols>
    <col min="1" max="1" width="15.88671875" style="195" customWidth="1"/>
    <col min="2" max="2" width="4.109375" style="195" hidden="1" customWidth="1"/>
    <col min="3" max="3" width="5.44140625" style="195" bestFit="1" customWidth="1"/>
    <col min="4" max="4" width="33.44140625" style="195" bestFit="1" customWidth="1"/>
    <col min="5" max="15" width="13" style="195" customWidth="1"/>
    <col min="16" max="18" width="9.6640625" style="195" customWidth="1"/>
    <col min="19" max="19" width="12.6640625" style="198" customWidth="1"/>
    <col min="20" max="20" width="11.44140625" style="195" bestFit="1" customWidth="1"/>
    <col min="21" max="21" width="10.44140625" style="195" customWidth="1"/>
    <col min="22" max="16384" width="9.109375" style="195"/>
  </cols>
  <sheetData>
    <row r="2" spans="1:19" x14ac:dyDescent="0.2">
      <c r="A2" s="196"/>
    </row>
    <row r="3" spans="1:19" ht="18" customHeight="1" x14ac:dyDescent="0.2">
      <c r="D3" s="196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</row>
    <row r="4" spans="1:19" x14ac:dyDescent="0.2">
      <c r="D4" s="199"/>
      <c r="E4" s="200" t="s">
        <v>36</v>
      </c>
      <c r="F4" s="200" t="s">
        <v>2</v>
      </c>
      <c r="G4" s="200" t="s">
        <v>4</v>
      </c>
      <c r="H4" s="200" t="s">
        <v>5</v>
      </c>
      <c r="I4" s="200" t="s">
        <v>6</v>
      </c>
      <c r="J4" s="200" t="s">
        <v>7</v>
      </c>
      <c r="K4" s="200" t="s">
        <v>8</v>
      </c>
      <c r="L4" s="200" t="s">
        <v>22</v>
      </c>
      <c r="M4" s="200" t="s">
        <v>23</v>
      </c>
      <c r="N4" s="200" t="s">
        <v>24</v>
      </c>
      <c r="O4" s="200" t="s">
        <v>25</v>
      </c>
      <c r="Q4" s="201"/>
      <c r="R4" s="201"/>
      <c r="S4" s="201"/>
    </row>
    <row r="5" spans="1:19" x14ac:dyDescent="0.2">
      <c r="C5" s="195" t="s">
        <v>58</v>
      </c>
      <c r="D5" s="202" t="s">
        <v>251</v>
      </c>
      <c r="E5" s="203"/>
      <c r="F5" s="204">
        <v>1000000</v>
      </c>
      <c r="G5" s="204">
        <v>1200000</v>
      </c>
      <c r="H5" s="204">
        <v>1400000</v>
      </c>
      <c r="I5" s="204">
        <v>1600000</v>
      </c>
      <c r="J5" s="204">
        <v>1800000</v>
      </c>
      <c r="K5" s="204">
        <v>2000000</v>
      </c>
      <c r="L5" s="204">
        <v>2100000</v>
      </c>
      <c r="M5" s="204">
        <v>2200000</v>
      </c>
      <c r="N5" s="204">
        <v>2300000</v>
      </c>
      <c r="O5" s="204">
        <v>2300000</v>
      </c>
      <c r="Q5" s="201"/>
      <c r="R5" s="201"/>
      <c r="S5" s="201"/>
    </row>
    <row r="6" spans="1:19" x14ac:dyDescent="0.2">
      <c r="C6" s="195" t="s">
        <v>59</v>
      </c>
      <c r="D6" s="202" t="s">
        <v>257</v>
      </c>
      <c r="E6" s="203"/>
      <c r="F6" s="204">
        <v>250000</v>
      </c>
      <c r="G6" s="204">
        <v>250000</v>
      </c>
      <c r="H6" s="204">
        <v>250000</v>
      </c>
      <c r="I6" s="204">
        <v>250000</v>
      </c>
      <c r="J6" s="204">
        <v>250000</v>
      </c>
      <c r="K6" s="204">
        <v>250000</v>
      </c>
      <c r="L6" s="204">
        <v>250000</v>
      </c>
      <c r="M6" s="204">
        <v>250000</v>
      </c>
      <c r="N6" s="204">
        <v>250000</v>
      </c>
      <c r="O6" s="204">
        <v>250000</v>
      </c>
      <c r="Q6" s="201"/>
      <c r="R6" s="201"/>
      <c r="S6" s="201"/>
    </row>
    <row r="7" spans="1:19" x14ac:dyDescent="0.2">
      <c r="C7" s="195" t="s">
        <v>59</v>
      </c>
      <c r="D7" s="202" t="s">
        <v>258</v>
      </c>
      <c r="E7" s="203"/>
      <c r="F7" s="204">
        <v>250000</v>
      </c>
      <c r="G7" s="204">
        <v>400000</v>
      </c>
      <c r="H7" s="204">
        <v>500000</v>
      </c>
      <c r="I7" s="204">
        <v>600000</v>
      </c>
      <c r="J7" s="204">
        <v>700000</v>
      </c>
      <c r="K7" s="204">
        <v>800000</v>
      </c>
      <c r="L7" s="204">
        <v>900000</v>
      </c>
      <c r="M7" s="204">
        <v>1000000</v>
      </c>
      <c r="N7" s="204">
        <v>1000000</v>
      </c>
      <c r="O7" s="204">
        <v>1000000</v>
      </c>
      <c r="Q7" s="201"/>
      <c r="R7" s="201"/>
      <c r="S7" s="201"/>
    </row>
    <row r="8" spans="1:19" x14ac:dyDescent="0.2">
      <c r="C8" s="195" t="s">
        <v>59</v>
      </c>
      <c r="D8" s="202" t="s">
        <v>259</v>
      </c>
      <c r="E8" s="203"/>
      <c r="F8" s="204">
        <v>250000</v>
      </c>
      <c r="G8" s="204">
        <v>250000</v>
      </c>
      <c r="H8" s="204">
        <v>250000</v>
      </c>
      <c r="I8" s="204">
        <v>250000</v>
      </c>
      <c r="J8" s="204">
        <v>250000</v>
      </c>
      <c r="K8" s="204">
        <v>250000</v>
      </c>
      <c r="L8" s="204">
        <v>250000</v>
      </c>
      <c r="M8" s="204">
        <v>250000</v>
      </c>
      <c r="N8" s="204">
        <v>250000</v>
      </c>
      <c r="O8" s="204">
        <v>250000</v>
      </c>
      <c r="Q8" s="201"/>
      <c r="R8" s="201"/>
      <c r="S8" s="201"/>
    </row>
    <row r="9" spans="1:19" x14ac:dyDescent="0.2">
      <c r="C9" s="195" t="s">
        <v>59</v>
      </c>
      <c r="D9" s="202" t="s">
        <v>256</v>
      </c>
      <c r="E9" s="205"/>
      <c r="F9" s="204">
        <f>SUM(F6:F8)</f>
        <v>750000</v>
      </c>
      <c r="G9" s="204">
        <f t="shared" ref="G9:O9" si="0">SUM(G6:G8)</f>
        <v>900000</v>
      </c>
      <c r="H9" s="204">
        <f t="shared" si="0"/>
        <v>1000000</v>
      </c>
      <c r="I9" s="204">
        <f t="shared" si="0"/>
        <v>1100000</v>
      </c>
      <c r="J9" s="204">
        <f t="shared" si="0"/>
        <v>1200000</v>
      </c>
      <c r="K9" s="204">
        <f t="shared" si="0"/>
        <v>1300000</v>
      </c>
      <c r="L9" s="204">
        <f t="shared" si="0"/>
        <v>1400000</v>
      </c>
      <c r="M9" s="204">
        <f t="shared" si="0"/>
        <v>1500000</v>
      </c>
      <c r="N9" s="204">
        <f t="shared" si="0"/>
        <v>1500000</v>
      </c>
      <c r="O9" s="204">
        <f t="shared" si="0"/>
        <v>1500000</v>
      </c>
      <c r="Q9" s="201"/>
      <c r="R9" s="201"/>
      <c r="S9" s="201"/>
    </row>
    <row r="10" spans="1:19" x14ac:dyDescent="0.2">
      <c r="C10" s="196"/>
      <c r="D10" s="206" t="s">
        <v>252</v>
      </c>
      <c r="E10" s="207"/>
      <c r="F10" s="204">
        <f t="shared" ref="F10:O10" si="1">F5-F9</f>
        <v>250000</v>
      </c>
      <c r="G10" s="204">
        <f t="shared" si="1"/>
        <v>300000</v>
      </c>
      <c r="H10" s="204">
        <f t="shared" si="1"/>
        <v>400000</v>
      </c>
      <c r="I10" s="204">
        <f t="shared" si="1"/>
        <v>500000</v>
      </c>
      <c r="J10" s="204">
        <f t="shared" si="1"/>
        <v>600000</v>
      </c>
      <c r="K10" s="204">
        <f t="shared" si="1"/>
        <v>700000</v>
      </c>
      <c r="L10" s="204">
        <f t="shared" si="1"/>
        <v>700000</v>
      </c>
      <c r="M10" s="204">
        <f t="shared" si="1"/>
        <v>700000</v>
      </c>
      <c r="N10" s="204">
        <f t="shared" si="1"/>
        <v>800000</v>
      </c>
      <c r="O10" s="204">
        <f t="shared" si="1"/>
        <v>800000</v>
      </c>
      <c r="Q10" s="201"/>
      <c r="R10" s="201"/>
      <c r="S10" s="208"/>
    </row>
    <row r="11" spans="1:19" x14ac:dyDescent="0.2">
      <c r="C11" s="195" t="s">
        <v>60</v>
      </c>
      <c r="D11" s="211" t="s">
        <v>260</v>
      </c>
      <c r="E11" s="212"/>
      <c r="F11" s="212">
        <f>F10</f>
        <v>250000</v>
      </c>
      <c r="G11" s="212">
        <f t="shared" ref="G11:O11" si="2">G10</f>
        <v>300000</v>
      </c>
      <c r="H11" s="212">
        <f t="shared" si="2"/>
        <v>400000</v>
      </c>
      <c r="I11" s="212">
        <f t="shared" si="2"/>
        <v>500000</v>
      </c>
      <c r="J11" s="212">
        <f t="shared" si="2"/>
        <v>600000</v>
      </c>
      <c r="K11" s="212">
        <f t="shared" si="2"/>
        <v>700000</v>
      </c>
      <c r="L11" s="212">
        <f t="shared" si="2"/>
        <v>700000</v>
      </c>
      <c r="M11" s="212">
        <f t="shared" si="2"/>
        <v>700000</v>
      </c>
      <c r="N11" s="212">
        <f t="shared" si="2"/>
        <v>800000</v>
      </c>
      <c r="O11" s="212">
        <f t="shared" si="2"/>
        <v>800000</v>
      </c>
    </row>
    <row r="12" spans="1:19" ht="20.100000000000001" customHeight="1" x14ac:dyDescent="0.2">
      <c r="D12" s="209"/>
      <c r="E12" s="210"/>
      <c r="F12" s="210"/>
      <c r="G12" s="210"/>
      <c r="H12" s="210"/>
      <c r="I12" s="210"/>
      <c r="J12" s="210"/>
      <c r="K12" s="210"/>
      <c r="L12" s="210"/>
      <c r="M12" s="210"/>
      <c r="N12" s="210"/>
      <c r="O12" s="210"/>
    </row>
    <row r="13" spans="1:19" ht="18" customHeight="1" x14ac:dyDescent="0.2">
      <c r="F13" s="197"/>
      <c r="G13" s="197"/>
      <c r="H13" s="197"/>
      <c r="I13" s="197"/>
      <c r="J13" s="197"/>
      <c r="K13" s="197"/>
      <c r="L13" s="197"/>
      <c r="M13" s="197"/>
      <c r="N13" s="197"/>
      <c r="O13" s="197"/>
    </row>
    <row r="14" spans="1:19" ht="18" customHeight="1" x14ac:dyDescent="0.2"/>
    <row r="15" spans="1:19" ht="18" customHeight="1" x14ac:dyDescent="0.2"/>
    <row r="16" spans="1:19" ht="18" customHeight="1" x14ac:dyDescent="0.2"/>
    <row r="17" ht="18" customHeight="1" x14ac:dyDescent="0.2"/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21">
    <tabColor theme="9"/>
  </sheetPr>
  <dimension ref="B1:N42"/>
  <sheetViews>
    <sheetView topLeftCell="C22" zoomScale="90" zoomScaleNormal="90" workbookViewId="0">
      <selection activeCell="K28" sqref="K28"/>
    </sheetView>
  </sheetViews>
  <sheetFormatPr defaultColWidth="9.109375" defaultRowHeight="15" customHeight="1" x14ac:dyDescent="0.25"/>
  <cols>
    <col min="1" max="1" width="15.88671875" style="162" customWidth="1"/>
    <col min="2" max="2" width="4" style="162" bestFit="1" customWidth="1"/>
    <col min="3" max="3" width="35.88671875" style="162" customWidth="1"/>
    <col min="4" max="4" width="11.33203125" style="159" bestFit="1" customWidth="1"/>
    <col min="5" max="14" width="15.109375" style="162" customWidth="1"/>
    <col min="15" max="16384" width="9.109375" style="162"/>
  </cols>
  <sheetData>
    <row r="1" spans="2:14" ht="15" customHeight="1" thickBot="1" x14ac:dyDescent="0.3">
      <c r="B1" s="157"/>
      <c r="C1" s="157"/>
      <c r="D1" s="160"/>
      <c r="E1" s="157"/>
    </row>
    <row r="2" spans="2:14" ht="15" customHeight="1" x14ac:dyDescent="0.25">
      <c r="B2" s="157"/>
      <c r="C2" s="184" t="s">
        <v>261</v>
      </c>
      <c r="D2" s="185">
        <v>1000000</v>
      </c>
      <c r="E2" s="157"/>
    </row>
    <row r="3" spans="2:14" ht="15" customHeight="1" x14ac:dyDescent="0.25">
      <c r="B3" s="157"/>
      <c r="C3" s="186" t="s">
        <v>262</v>
      </c>
      <c r="D3" s="187">
        <v>100000</v>
      </c>
      <c r="E3" s="157"/>
    </row>
    <row r="4" spans="2:14" ht="15" customHeight="1" x14ac:dyDescent="0.25">
      <c r="B4" s="157"/>
      <c r="C4" s="186" t="s">
        <v>263</v>
      </c>
      <c r="D4" s="187">
        <v>250000</v>
      </c>
      <c r="E4" s="157"/>
    </row>
    <row r="5" spans="2:14" ht="15" customHeight="1" x14ac:dyDescent="0.25">
      <c r="B5" s="157"/>
      <c r="C5" s="186" t="s">
        <v>264</v>
      </c>
      <c r="D5" s="187">
        <f>SUM(D2:D4)</f>
        <v>1350000</v>
      </c>
      <c r="E5" s="157"/>
    </row>
    <row r="6" spans="2:14" ht="15" customHeight="1" x14ac:dyDescent="0.25">
      <c r="B6" s="157"/>
      <c r="C6" s="186" t="s">
        <v>265</v>
      </c>
      <c r="D6" s="187">
        <v>1000000</v>
      </c>
      <c r="E6" s="157"/>
    </row>
    <row r="7" spans="2:14" ht="15" customHeight="1" x14ac:dyDescent="0.25">
      <c r="B7" s="157"/>
      <c r="C7" s="186" t="s">
        <v>266</v>
      </c>
      <c r="D7" s="187">
        <f>D5-D6</f>
        <v>350000</v>
      </c>
      <c r="E7" s="157"/>
    </row>
    <row r="8" spans="2:14" ht="15" customHeight="1" x14ac:dyDescent="0.25">
      <c r="B8" s="157"/>
      <c r="C8" s="186" t="s">
        <v>267</v>
      </c>
      <c r="D8" s="188">
        <v>0</v>
      </c>
      <c r="E8" s="157"/>
    </row>
    <row r="9" spans="2:14" ht="15" customHeight="1" x14ac:dyDescent="0.25">
      <c r="B9" s="157"/>
      <c r="C9" s="186" t="s">
        <v>274</v>
      </c>
      <c r="D9" s="189">
        <v>0.34</v>
      </c>
      <c r="E9" s="157"/>
    </row>
    <row r="10" spans="2:14" ht="15" customHeight="1" x14ac:dyDescent="0.25">
      <c r="B10" s="157"/>
      <c r="C10" s="186" t="s">
        <v>275</v>
      </c>
      <c r="D10" s="190">
        <v>10</v>
      </c>
      <c r="E10" s="157"/>
    </row>
    <row r="11" spans="2:14" ht="15" customHeight="1" x14ac:dyDescent="0.25">
      <c r="B11" s="157"/>
      <c r="C11" s="186" t="s">
        <v>276</v>
      </c>
      <c r="D11" s="190">
        <v>3</v>
      </c>
      <c r="E11" s="157"/>
    </row>
    <row r="12" spans="2:14" ht="15" customHeight="1" thickBot="1" x14ac:dyDescent="0.3">
      <c r="B12" s="157"/>
      <c r="C12" s="191" t="s">
        <v>270</v>
      </c>
      <c r="D12" s="192">
        <v>6.8199999999999997E-2</v>
      </c>
      <c r="E12" s="157"/>
    </row>
    <row r="13" spans="2:14" ht="15" customHeight="1" x14ac:dyDescent="0.25">
      <c r="B13" s="157"/>
      <c r="C13" s="157"/>
      <c r="D13" s="160"/>
      <c r="E13" s="157"/>
    </row>
    <row r="14" spans="2:14" ht="15" customHeight="1" x14ac:dyDescent="0.25">
      <c r="B14" s="157"/>
      <c r="C14" s="157"/>
      <c r="D14" s="160"/>
      <c r="E14" s="157"/>
    </row>
    <row r="15" spans="2:14" ht="15" customHeight="1" x14ac:dyDescent="0.25">
      <c r="B15" s="157"/>
      <c r="C15" s="157"/>
      <c r="D15" s="160"/>
      <c r="E15" s="157"/>
    </row>
    <row r="16" spans="2:14" ht="15" customHeight="1" x14ac:dyDescent="0.25">
      <c r="B16" s="157"/>
      <c r="C16" s="157"/>
      <c r="D16" s="193" t="s">
        <v>36</v>
      </c>
      <c r="E16" s="193" t="s">
        <v>2</v>
      </c>
      <c r="F16" s="193" t="s">
        <v>4</v>
      </c>
      <c r="G16" s="193" t="s">
        <v>5</v>
      </c>
      <c r="H16" s="193" t="s">
        <v>6</v>
      </c>
      <c r="I16" s="193" t="s">
        <v>7</v>
      </c>
      <c r="J16" s="193" t="s">
        <v>8</v>
      </c>
      <c r="K16" s="193" t="s">
        <v>22</v>
      </c>
      <c r="L16" s="193" t="s">
        <v>23</v>
      </c>
      <c r="M16" s="193" t="s">
        <v>24</v>
      </c>
      <c r="N16" s="193" t="s">
        <v>25</v>
      </c>
    </row>
    <row r="17" spans="2:14" ht="15" customHeight="1" x14ac:dyDescent="0.25">
      <c r="B17" s="157"/>
      <c r="C17" s="158" t="s">
        <v>279</v>
      </c>
      <c r="D17" s="159">
        <v>0</v>
      </c>
      <c r="E17" s="161">
        <f>D6</f>
        <v>1000000</v>
      </c>
      <c r="F17" s="161">
        <f>E17-E18</f>
        <v>1000000</v>
      </c>
      <c r="G17" s="161">
        <f>F17-F18</f>
        <v>1000000</v>
      </c>
      <c r="H17" s="161">
        <f>G17-H18</f>
        <v>857142.85714285716</v>
      </c>
      <c r="I17" s="161">
        <f t="shared" ref="I17:N17" si="0">H17-I18</f>
        <v>714285.71428571432</v>
      </c>
      <c r="J17" s="161">
        <f t="shared" si="0"/>
        <v>571428.57142857148</v>
      </c>
      <c r="K17" s="161">
        <f t="shared" si="0"/>
        <v>428571.42857142864</v>
      </c>
      <c r="L17" s="161">
        <f t="shared" si="0"/>
        <v>285714.2857142858</v>
      </c>
      <c r="M17" s="161">
        <f t="shared" si="0"/>
        <v>142857.14285714293</v>
      </c>
      <c r="N17" s="161">
        <f t="shared" si="0"/>
        <v>0</v>
      </c>
    </row>
    <row r="18" spans="2:14" ht="15" customHeight="1" x14ac:dyDescent="0.25">
      <c r="B18" s="157"/>
      <c r="C18" s="158" t="s">
        <v>277</v>
      </c>
      <c r="D18" s="159">
        <v>0</v>
      </c>
      <c r="E18" s="161">
        <v>0</v>
      </c>
      <c r="F18" s="161">
        <v>0</v>
      </c>
      <c r="G18" s="161">
        <v>0</v>
      </c>
      <c r="H18" s="161">
        <f>D6/(D10-D11)</f>
        <v>142857.14285714287</v>
      </c>
      <c r="I18" s="161">
        <f>H18</f>
        <v>142857.14285714287</v>
      </c>
      <c r="J18" s="161">
        <f t="shared" ref="J18:N18" si="1">I18</f>
        <v>142857.14285714287</v>
      </c>
      <c r="K18" s="161">
        <f t="shared" si="1"/>
        <v>142857.14285714287</v>
      </c>
      <c r="L18" s="161">
        <f t="shared" si="1"/>
        <v>142857.14285714287</v>
      </c>
      <c r="M18" s="161">
        <f t="shared" si="1"/>
        <v>142857.14285714287</v>
      </c>
      <c r="N18" s="161">
        <f t="shared" si="1"/>
        <v>142857.14285714287</v>
      </c>
    </row>
    <row r="19" spans="2:14" ht="15" customHeight="1" x14ac:dyDescent="0.25">
      <c r="B19" s="157"/>
      <c r="C19" s="158" t="s">
        <v>278</v>
      </c>
      <c r="D19" s="159">
        <v>0</v>
      </c>
      <c r="E19" s="161">
        <f>E17*$D$12</f>
        <v>68200</v>
      </c>
      <c r="F19" s="161">
        <f t="shared" ref="F19:N19" si="2">F17*$D$12</f>
        <v>68200</v>
      </c>
      <c r="G19" s="161">
        <f t="shared" si="2"/>
        <v>68200</v>
      </c>
      <c r="H19" s="161">
        <f t="shared" si="2"/>
        <v>58457.142857142855</v>
      </c>
      <c r="I19" s="161">
        <f t="shared" si="2"/>
        <v>48714.285714285717</v>
      </c>
      <c r="J19" s="161">
        <f t="shared" si="2"/>
        <v>38971.428571428572</v>
      </c>
      <c r="K19" s="161">
        <f t="shared" si="2"/>
        <v>29228.571428571431</v>
      </c>
      <c r="L19" s="161">
        <f t="shared" si="2"/>
        <v>19485.71428571429</v>
      </c>
      <c r="M19" s="161">
        <f t="shared" si="2"/>
        <v>9742.8571428571468</v>
      </c>
      <c r="N19" s="161">
        <f t="shared" si="2"/>
        <v>0</v>
      </c>
    </row>
    <row r="20" spans="2:14" ht="15" customHeight="1" x14ac:dyDescent="0.25">
      <c r="B20" s="157"/>
      <c r="C20" s="158" t="s">
        <v>281</v>
      </c>
      <c r="D20" s="159">
        <v>0</v>
      </c>
      <c r="E20" s="161">
        <f>E18+E19</f>
        <v>68200</v>
      </c>
      <c r="F20" s="161">
        <f t="shared" ref="F20:N20" si="3">F18+F19</f>
        <v>68200</v>
      </c>
      <c r="G20" s="161">
        <f t="shared" si="3"/>
        <v>68200</v>
      </c>
      <c r="H20" s="161">
        <f t="shared" si="3"/>
        <v>201314.28571428574</v>
      </c>
      <c r="I20" s="161">
        <f t="shared" si="3"/>
        <v>191571.42857142858</v>
      </c>
      <c r="J20" s="161">
        <f t="shared" si="3"/>
        <v>181828.57142857145</v>
      </c>
      <c r="K20" s="161">
        <f t="shared" si="3"/>
        <v>172085.71428571429</v>
      </c>
      <c r="L20" s="161">
        <f t="shared" si="3"/>
        <v>162342.85714285716</v>
      </c>
      <c r="M20" s="161">
        <f t="shared" si="3"/>
        <v>152600.00000000003</v>
      </c>
      <c r="N20" s="161">
        <f t="shared" si="3"/>
        <v>142857.14285714287</v>
      </c>
    </row>
    <row r="21" spans="2:14" ht="15" customHeight="1" x14ac:dyDescent="0.25">
      <c r="B21" s="157"/>
      <c r="C21" s="157"/>
      <c r="D21" s="160"/>
      <c r="E21" s="157"/>
    </row>
    <row r="22" spans="2:14" ht="15" customHeight="1" x14ac:dyDescent="0.25">
      <c r="B22" s="157"/>
      <c r="C22" s="157"/>
      <c r="D22" s="160"/>
      <c r="E22" s="157"/>
    </row>
    <row r="23" spans="2:14" ht="15" customHeight="1" x14ac:dyDescent="0.25">
      <c r="C23" s="163"/>
    </row>
    <row r="24" spans="2:14" ht="15" customHeight="1" x14ac:dyDescent="0.25">
      <c r="D24" s="159" t="s">
        <v>36</v>
      </c>
      <c r="E24" s="164" t="s">
        <v>2</v>
      </c>
      <c r="F24" s="164" t="s">
        <v>4</v>
      </c>
      <c r="G24" s="164" t="s">
        <v>5</v>
      </c>
      <c r="H24" s="164" t="s">
        <v>6</v>
      </c>
      <c r="I24" s="164" t="s">
        <v>7</v>
      </c>
      <c r="J24" s="164" t="s">
        <v>8</v>
      </c>
      <c r="K24" s="164" t="s">
        <v>22</v>
      </c>
      <c r="L24" s="164" t="s">
        <v>23</v>
      </c>
      <c r="M24" s="164" t="s">
        <v>24</v>
      </c>
      <c r="N24" s="164" t="s">
        <v>25</v>
      </c>
    </row>
    <row r="25" spans="2:14" ht="15" customHeight="1" x14ac:dyDescent="0.25">
      <c r="C25" s="165" t="s">
        <v>273</v>
      </c>
      <c r="D25" s="166">
        <f>'FLUXO DE CAIXA'!E11</f>
        <v>0</v>
      </c>
      <c r="E25" s="166">
        <f>'FLUXO DE CAIXA'!F11</f>
        <v>250000</v>
      </c>
      <c r="F25" s="166">
        <f>'FLUXO DE CAIXA'!G11</f>
        <v>300000</v>
      </c>
      <c r="G25" s="166">
        <f>'FLUXO DE CAIXA'!H11</f>
        <v>400000</v>
      </c>
      <c r="H25" s="166">
        <f>'FLUXO DE CAIXA'!I11</f>
        <v>500000</v>
      </c>
      <c r="I25" s="166">
        <f>'FLUXO DE CAIXA'!J11</f>
        <v>600000</v>
      </c>
      <c r="J25" s="166">
        <f>'FLUXO DE CAIXA'!K11</f>
        <v>700000</v>
      </c>
      <c r="K25" s="166">
        <f>'FLUXO DE CAIXA'!L11</f>
        <v>700000</v>
      </c>
      <c r="L25" s="166">
        <f>'FLUXO DE CAIXA'!M11</f>
        <v>700000</v>
      </c>
      <c r="M25" s="166">
        <f>'FLUXO DE CAIXA'!N11</f>
        <v>800000</v>
      </c>
      <c r="N25" s="166">
        <f>'FLUXO DE CAIXA'!O11</f>
        <v>800000</v>
      </c>
    </row>
    <row r="26" spans="2:14" ht="15" customHeight="1" x14ac:dyDescent="0.25">
      <c r="C26" s="165" t="s">
        <v>272</v>
      </c>
      <c r="D26" s="167">
        <f>-D7</f>
        <v>-350000</v>
      </c>
      <c r="E26" s="167"/>
      <c r="F26" s="167"/>
      <c r="G26" s="167"/>
      <c r="H26" s="167"/>
      <c r="I26" s="167"/>
      <c r="J26" s="167"/>
      <c r="K26" s="167"/>
      <c r="L26" s="167"/>
      <c r="M26" s="167"/>
      <c r="N26" s="167"/>
    </row>
    <row r="27" spans="2:14" ht="15" customHeight="1" x14ac:dyDescent="0.25">
      <c r="C27" s="165" t="s">
        <v>271</v>
      </c>
      <c r="D27" s="167"/>
      <c r="E27" s="167">
        <f>-E20</f>
        <v>-68200</v>
      </c>
      <c r="F27" s="167">
        <f t="shared" ref="F27:N27" si="4">-F20</f>
        <v>-68200</v>
      </c>
      <c r="G27" s="167">
        <f t="shared" si="4"/>
        <v>-68200</v>
      </c>
      <c r="H27" s="167">
        <f t="shared" si="4"/>
        <v>-201314.28571428574</v>
      </c>
      <c r="I27" s="167">
        <f t="shared" si="4"/>
        <v>-191571.42857142858</v>
      </c>
      <c r="J27" s="167">
        <f t="shared" si="4"/>
        <v>-181828.57142857145</v>
      </c>
      <c r="K27" s="167">
        <f t="shared" si="4"/>
        <v>-172085.71428571429</v>
      </c>
      <c r="L27" s="167">
        <f t="shared" si="4"/>
        <v>-162342.85714285716</v>
      </c>
      <c r="M27" s="167">
        <f t="shared" si="4"/>
        <v>-152600.00000000003</v>
      </c>
      <c r="N27" s="167">
        <f t="shared" si="4"/>
        <v>-142857.14285714287</v>
      </c>
    </row>
    <row r="28" spans="2:14" ht="15" customHeight="1" x14ac:dyDescent="0.25">
      <c r="C28" s="165" t="s">
        <v>280</v>
      </c>
      <c r="D28" s="167">
        <f>SUM(D25:D27)</f>
        <v>-350000</v>
      </c>
      <c r="E28" s="167">
        <f t="shared" ref="E28:N28" si="5">SUM(E25:E27)</f>
        <v>181800</v>
      </c>
      <c r="F28" s="167">
        <f t="shared" si="5"/>
        <v>231800</v>
      </c>
      <c r="G28" s="167">
        <f t="shared" si="5"/>
        <v>331800</v>
      </c>
      <c r="H28" s="167">
        <f t="shared" si="5"/>
        <v>298685.71428571426</v>
      </c>
      <c r="I28" s="167">
        <f t="shared" si="5"/>
        <v>408428.57142857142</v>
      </c>
      <c r="J28" s="167">
        <f t="shared" si="5"/>
        <v>518171.42857142852</v>
      </c>
      <c r="K28" s="167">
        <f t="shared" si="5"/>
        <v>527914.28571428568</v>
      </c>
      <c r="L28" s="167">
        <f t="shared" si="5"/>
        <v>537657.14285714284</v>
      </c>
      <c r="M28" s="167">
        <f t="shared" si="5"/>
        <v>647400</v>
      </c>
      <c r="N28" s="167">
        <f t="shared" si="5"/>
        <v>657142.85714285716</v>
      </c>
    </row>
    <row r="29" spans="2:14" ht="15" customHeight="1" x14ac:dyDescent="0.25">
      <c r="C29" s="168"/>
      <c r="D29" s="169"/>
      <c r="E29" s="170"/>
      <c r="F29" s="170"/>
      <c r="G29" s="170"/>
      <c r="H29" s="170"/>
      <c r="I29" s="170"/>
      <c r="J29" s="170"/>
      <c r="K29" s="170"/>
      <c r="L29" s="170"/>
      <c r="M29" s="170"/>
      <c r="N29" s="170"/>
    </row>
    <row r="30" spans="2:14" ht="15" customHeight="1" x14ac:dyDescent="0.25">
      <c r="C30" s="168"/>
      <c r="D30" s="169"/>
      <c r="E30" s="170"/>
      <c r="F30" s="170"/>
      <c r="G30" s="170"/>
      <c r="H30" s="170"/>
      <c r="I30" s="170"/>
      <c r="J30" s="170"/>
      <c r="K30" s="170"/>
      <c r="L30" s="170"/>
      <c r="M30" s="170"/>
      <c r="N30" s="170"/>
    </row>
    <row r="31" spans="2:14" ht="15" customHeight="1" thickBot="1" x14ac:dyDescent="0.3"/>
    <row r="32" spans="2:14" ht="15" customHeight="1" x14ac:dyDescent="0.25">
      <c r="B32" s="220" t="s">
        <v>38</v>
      </c>
      <c r="C32" s="171" t="s">
        <v>39</v>
      </c>
      <c r="D32" s="172">
        <f>NPV(D9,E25:N25)</f>
        <v>1192613.0564726889</v>
      </c>
    </row>
    <row r="33" spans="2:4" ht="15" customHeight="1" x14ac:dyDescent="0.25">
      <c r="B33" s="221"/>
      <c r="C33" s="173" t="s">
        <v>40</v>
      </c>
      <c r="D33" s="174">
        <f>D32+D25</f>
        <v>1192613.0564726889</v>
      </c>
    </row>
    <row r="34" spans="2:4" ht="15" customHeight="1" x14ac:dyDescent="0.25">
      <c r="B34" s="221"/>
      <c r="C34" s="173" t="s">
        <v>41</v>
      </c>
      <c r="D34" s="174">
        <f>PMT(D9,10,-D33)</f>
        <v>428441.66420257976</v>
      </c>
    </row>
    <row r="35" spans="2:4" ht="15" customHeight="1" x14ac:dyDescent="0.25">
      <c r="B35" s="221"/>
      <c r="C35" s="173" t="s">
        <v>42</v>
      </c>
      <c r="D35" s="175">
        <f>D32/-D28</f>
        <v>3.4074658756362539</v>
      </c>
    </row>
    <row r="36" spans="2:4" ht="15" customHeight="1" x14ac:dyDescent="0.25">
      <c r="B36" s="221"/>
      <c r="C36" s="173" t="s">
        <v>43</v>
      </c>
      <c r="D36" s="176">
        <f>RATE(10,,-1,D35)</f>
        <v>0.13042863861306495</v>
      </c>
    </row>
    <row r="37" spans="2:4" ht="15" customHeight="1" x14ac:dyDescent="0.25">
      <c r="B37" s="221"/>
      <c r="C37" s="173" t="s">
        <v>45</v>
      </c>
      <c r="D37" s="177">
        <f>IRR(D28:N28)</f>
        <v>0.73189717381073649</v>
      </c>
    </row>
    <row r="38" spans="2:4" ht="15" customHeight="1" thickBot="1" x14ac:dyDescent="0.3">
      <c r="B38" s="222"/>
      <c r="C38" s="178" t="s">
        <v>47</v>
      </c>
      <c r="D38" s="179">
        <f>'P. BACK'!D24</f>
        <v>2</v>
      </c>
    </row>
    <row r="39" spans="2:4" ht="15" customHeight="1" x14ac:dyDescent="0.25">
      <c r="B39" s="220" t="s">
        <v>44</v>
      </c>
      <c r="C39" s="171" t="s">
        <v>46</v>
      </c>
      <c r="D39" s="180">
        <f>D9/D37</f>
        <v>0.46454613047586607</v>
      </c>
    </row>
    <row r="40" spans="2:4" ht="15" customHeight="1" x14ac:dyDescent="0.25">
      <c r="B40" s="221"/>
      <c r="C40" s="173" t="s">
        <v>48</v>
      </c>
      <c r="D40" s="181">
        <f>D38/10</f>
        <v>0.2</v>
      </c>
    </row>
    <row r="41" spans="2:4" ht="15" customHeight="1" x14ac:dyDescent="0.25">
      <c r="B41" s="221"/>
      <c r="C41" s="173" t="s">
        <v>269</v>
      </c>
      <c r="D41" s="182"/>
    </row>
    <row r="42" spans="2:4" ht="15" customHeight="1" thickBot="1" x14ac:dyDescent="0.3">
      <c r="B42" s="222"/>
      <c r="C42" s="178" t="s">
        <v>268</v>
      </c>
      <c r="D42" s="183"/>
    </row>
  </sheetData>
  <mergeCells count="2">
    <mergeCell ref="B32:B38"/>
    <mergeCell ref="B39:B4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22">
    <tabColor theme="9"/>
  </sheetPr>
  <dimension ref="A2:M24"/>
  <sheetViews>
    <sheetView zoomScale="70" zoomScaleNormal="70" workbookViewId="0">
      <selection activeCell="B10" sqref="B10:B11"/>
    </sheetView>
  </sheetViews>
  <sheetFormatPr defaultColWidth="9.109375" defaultRowHeight="13.8" x14ac:dyDescent="0.25"/>
  <cols>
    <col min="1" max="1" width="15.88671875" style="13" customWidth="1"/>
    <col min="2" max="2" width="35" style="13" bestFit="1" customWidth="1"/>
    <col min="3" max="13" width="15" style="13" customWidth="1"/>
    <col min="14" max="16384" width="9.109375" style="13"/>
  </cols>
  <sheetData>
    <row r="2" spans="1:13" s="1" customFormat="1" ht="15" x14ac:dyDescent="0.25"/>
    <row r="3" spans="1:13" s="1" customFormat="1" ht="15.6" x14ac:dyDescent="0.3">
      <c r="C3" s="144" t="s">
        <v>36</v>
      </c>
      <c r="D3" s="144" t="s">
        <v>2</v>
      </c>
      <c r="E3" s="144" t="s">
        <v>4</v>
      </c>
      <c r="F3" s="144" t="s">
        <v>5</v>
      </c>
      <c r="G3" s="144" t="s">
        <v>6</v>
      </c>
      <c r="H3" s="144" t="s">
        <v>7</v>
      </c>
      <c r="I3" s="144" t="s">
        <v>8</v>
      </c>
      <c r="J3" s="144" t="s">
        <v>22</v>
      </c>
      <c r="K3" s="144" t="s">
        <v>23</v>
      </c>
      <c r="L3" s="144" t="s">
        <v>24</v>
      </c>
      <c r="M3" s="144" t="s">
        <v>25</v>
      </c>
    </row>
    <row r="4" spans="1:13" s="1" customFormat="1" ht="15.6" x14ac:dyDescent="0.3">
      <c r="B4" s="154" t="s">
        <v>56</v>
      </c>
      <c r="C4" s="154">
        <f>INDICADORES!D28</f>
        <v>-350000</v>
      </c>
      <c r="D4" s="154">
        <f>INDICADORES!E28</f>
        <v>181800</v>
      </c>
      <c r="E4" s="154">
        <f>INDICADORES!F28</f>
        <v>231800</v>
      </c>
      <c r="F4" s="154">
        <f>INDICADORES!G28</f>
        <v>331800</v>
      </c>
      <c r="G4" s="154">
        <f>INDICADORES!H28</f>
        <v>298685.71428571426</v>
      </c>
      <c r="H4" s="154">
        <f>INDICADORES!I28</f>
        <v>408428.57142857142</v>
      </c>
      <c r="I4" s="154">
        <f>INDICADORES!J28</f>
        <v>518171.42857142852</v>
      </c>
      <c r="J4" s="154">
        <f>INDICADORES!K28</f>
        <v>527914.28571428568</v>
      </c>
      <c r="K4" s="154">
        <f>INDICADORES!L28</f>
        <v>537657.14285714284</v>
      </c>
      <c r="L4" s="154">
        <f>INDICADORES!M28</f>
        <v>647400</v>
      </c>
      <c r="M4" s="154">
        <f>INDICADORES!N28</f>
        <v>657142.85714285716</v>
      </c>
    </row>
    <row r="5" spans="1:13" s="141" customFormat="1" ht="15" x14ac:dyDescent="0.25"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</row>
    <row r="6" spans="1:13" s="141" customFormat="1" ht="15" x14ac:dyDescent="0.25">
      <c r="A6" s="226"/>
      <c r="B6" s="226"/>
      <c r="C6" s="145"/>
      <c r="D6" s="140"/>
      <c r="E6" s="140"/>
      <c r="F6" s="140"/>
      <c r="G6" s="140"/>
      <c r="H6" s="140"/>
      <c r="I6" s="140"/>
      <c r="J6" s="140"/>
      <c r="K6" s="140"/>
      <c r="L6" s="140"/>
      <c r="M6" s="140"/>
    </row>
    <row r="7" spans="1:13" s="141" customFormat="1" ht="15" x14ac:dyDescent="0.25">
      <c r="A7" s="227"/>
      <c r="B7" s="227"/>
      <c r="C7" s="146"/>
      <c r="D7" s="140"/>
      <c r="E7" s="140"/>
      <c r="F7" s="140"/>
      <c r="G7" s="140"/>
      <c r="H7" s="140"/>
      <c r="I7" s="140"/>
      <c r="J7" s="140"/>
      <c r="K7" s="140"/>
      <c r="L7" s="140"/>
      <c r="M7" s="140"/>
    </row>
    <row r="8" spans="1:13" s="141" customFormat="1" ht="15" x14ac:dyDescent="0.25">
      <c r="A8" s="228" t="s">
        <v>37</v>
      </c>
      <c r="B8" s="228"/>
      <c r="C8" s="147">
        <f>INDICADORES!D9</f>
        <v>0.34</v>
      </c>
      <c r="D8" s="140"/>
      <c r="E8" s="140"/>
      <c r="F8" s="140"/>
      <c r="G8" s="140"/>
      <c r="H8" s="140"/>
      <c r="I8" s="140"/>
      <c r="J8" s="140"/>
      <c r="K8" s="140"/>
      <c r="L8" s="140"/>
      <c r="M8" s="140"/>
    </row>
    <row r="9" spans="1:13" s="141" customFormat="1" ht="15.6" x14ac:dyDescent="0.3">
      <c r="A9" s="143"/>
      <c r="B9" s="143"/>
      <c r="C9" s="142"/>
      <c r="D9" s="155"/>
      <c r="E9" s="142"/>
      <c r="F9" s="142"/>
      <c r="G9" s="142"/>
      <c r="H9" s="140"/>
      <c r="I9" s="140"/>
      <c r="J9" s="140"/>
      <c r="K9" s="140"/>
      <c r="L9" s="140"/>
      <c r="M9" s="140"/>
    </row>
    <row r="10" spans="1:13" s="1" customFormat="1" ht="15.75" customHeight="1" x14ac:dyDescent="0.25">
      <c r="A10" s="229" t="s">
        <v>52</v>
      </c>
      <c r="B10" s="223" t="s">
        <v>57</v>
      </c>
      <c r="C10" s="223" t="s">
        <v>254</v>
      </c>
      <c r="D10" s="225" t="s">
        <v>253</v>
      </c>
    </row>
    <row r="11" spans="1:13" s="1" customFormat="1" ht="15" x14ac:dyDescent="0.25">
      <c r="A11" s="230"/>
      <c r="B11" s="224"/>
      <c r="C11" s="224" t="s">
        <v>55</v>
      </c>
      <c r="D11" s="224"/>
    </row>
    <row r="12" spans="1:13" s="1" customFormat="1" ht="15" x14ac:dyDescent="0.25">
      <c r="A12" s="148">
        <v>0</v>
      </c>
      <c r="B12" s="149">
        <f>C4</f>
        <v>-350000</v>
      </c>
      <c r="C12" s="149">
        <f>B12</f>
        <v>-350000</v>
      </c>
      <c r="D12" s="33">
        <f>C12</f>
        <v>-350000</v>
      </c>
      <c r="E12" s="33"/>
    </row>
    <row r="13" spans="1:13" s="1" customFormat="1" ht="15" x14ac:dyDescent="0.25">
      <c r="A13" s="148">
        <v>1</v>
      </c>
      <c r="B13" s="149">
        <f>D4</f>
        <v>181800</v>
      </c>
      <c r="C13" s="149">
        <f>PV($C$8,A13,,-B13)</f>
        <v>135671.64179104476</v>
      </c>
      <c r="D13" s="33">
        <f>D12+C13</f>
        <v>-214328.35820895524</v>
      </c>
      <c r="E13" s="33"/>
    </row>
    <row r="14" spans="1:13" s="1" customFormat="1" ht="15" x14ac:dyDescent="0.25">
      <c r="A14" s="148">
        <v>2</v>
      </c>
      <c r="B14" s="149">
        <f>E4</f>
        <v>231800</v>
      </c>
      <c r="C14" s="149">
        <f t="shared" ref="C14:C22" si="0">PV($C$8,A14,,-B14)</f>
        <v>129093.33927378034</v>
      </c>
      <c r="D14" s="33">
        <f t="shared" ref="D14:D22" si="1">D13+C14</f>
        <v>-85235.0189351749</v>
      </c>
      <c r="E14" s="33"/>
    </row>
    <row r="15" spans="1:13" s="1" customFormat="1" ht="15" x14ac:dyDescent="0.25">
      <c r="A15" s="148">
        <v>3</v>
      </c>
      <c r="B15" s="149">
        <f>F4</f>
        <v>331800</v>
      </c>
      <c r="C15" s="149">
        <f t="shared" si="0"/>
        <v>137899.27617426342</v>
      </c>
      <c r="D15" s="33">
        <f t="shared" si="1"/>
        <v>52664.257239088518</v>
      </c>
      <c r="E15" s="33"/>
    </row>
    <row r="16" spans="1:13" s="1" customFormat="1" ht="15" x14ac:dyDescent="0.25">
      <c r="A16" s="148">
        <v>4</v>
      </c>
      <c r="B16" s="149">
        <f>G4</f>
        <v>298685.71428571426</v>
      </c>
      <c r="C16" s="149">
        <f t="shared" si="0"/>
        <v>92639.298542533361</v>
      </c>
      <c r="D16" s="33">
        <f t="shared" si="1"/>
        <v>145303.55578162189</v>
      </c>
      <c r="E16" s="33"/>
    </row>
    <row r="17" spans="1:7" s="1" customFormat="1" ht="15" x14ac:dyDescent="0.25">
      <c r="A17" s="148">
        <v>5</v>
      </c>
      <c r="B17" s="149">
        <f>H4</f>
        <v>408428.57142857142</v>
      </c>
      <c r="C17" s="149">
        <f t="shared" si="0"/>
        <v>94534.890070323323</v>
      </c>
      <c r="D17" s="33">
        <f t="shared" si="1"/>
        <v>239838.4458519452</v>
      </c>
      <c r="E17" s="33"/>
    </row>
    <row r="18" spans="1:7" s="1" customFormat="1" ht="15" x14ac:dyDescent="0.25">
      <c r="A18" s="148">
        <v>6</v>
      </c>
      <c r="B18" s="149">
        <f>I4</f>
        <v>518171.42857142852</v>
      </c>
      <c r="C18" s="149">
        <f t="shared" si="0"/>
        <v>89504.459147879868</v>
      </c>
      <c r="D18" s="33">
        <f t="shared" si="1"/>
        <v>329342.90499982506</v>
      </c>
      <c r="E18" s="33"/>
    </row>
    <row r="19" spans="1:7" s="1" customFormat="1" ht="15" x14ac:dyDescent="0.25">
      <c r="A19" s="148">
        <v>7</v>
      </c>
      <c r="B19" s="149">
        <f>J4</f>
        <v>527914.28571428568</v>
      </c>
      <c r="C19" s="149">
        <f t="shared" si="0"/>
        <v>68050.265805760151</v>
      </c>
      <c r="D19" s="33">
        <f t="shared" si="1"/>
        <v>397393.17080558522</v>
      </c>
      <c r="E19" s="33"/>
    </row>
    <row r="20" spans="1:7" s="1" customFormat="1" ht="15" x14ac:dyDescent="0.25">
      <c r="A20" s="148">
        <v>8</v>
      </c>
      <c r="B20" s="149">
        <f>K4</f>
        <v>537657.14285714284</v>
      </c>
      <c r="C20" s="149">
        <f t="shared" si="0"/>
        <v>51721.014263509307</v>
      </c>
      <c r="D20" s="33">
        <f t="shared" si="1"/>
        <v>449114.18506909453</v>
      </c>
      <c r="E20" s="33"/>
    </row>
    <row r="21" spans="1:7" s="1" customFormat="1" ht="15" x14ac:dyDescent="0.25">
      <c r="A21" s="148">
        <v>9</v>
      </c>
      <c r="B21" s="149">
        <f>L4</f>
        <v>647400</v>
      </c>
      <c r="C21" s="149">
        <f t="shared" si="0"/>
        <v>46476.082053736151</v>
      </c>
      <c r="D21" s="33">
        <f t="shared" si="1"/>
        <v>495590.26712283067</v>
      </c>
      <c r="E21" s="33"/>
    </row>
    <row r="22" spans="1:7" s="1" customFormat="1" ht="15" x14ac:dyDescent="0.25">
      <c r="A22" s="150">
        <v>10</v>
      </c>
      <c r="B22" s="151">
        <f>M4</f>
        <v>657142.85714285716</v>
      </c>
      <c r="C22" s="149">
        <f t="shared" si="0"/>
        <v>35205.604680026699</v>
      </c>
      <c r="D22" s="156">
        <f t="shared" si="1"/>
        <v>530795.87180285738</v>
      </c>
      <c r="E22" s="33"/>
    </row>
    <row r="23" spans="1:7" s="1" customFormat="1" ht="15" x14ac:dyDescent="0.25">
      <c r="C23" s="152"/>
      <c r="D23" s="152"/>
      <c r="E23" s="152"/>
      <c r="F23" s="152"/>
      <c r="G23" s="152"/>
    </row>
    <row r="24" spans="1:7" s="1" customFormat="1" ht="15" x14ac:dyDescent="0.25">
      <c r="C24" s="153" t="s">
        <v>255</v>
      </c>
      <c r="D24" s="194">
        <v>2</v>
      </c>
      <c r="E24" s="152"/>
      <c r="F24" s="152"/>
      <c r="G24" s="152"/>
    </row>
  </sheetData>
  <mergeCells count="7">
    <mergeCell ref="C10:C11"/>
    <mergeCell ref="D10:D11"/>
    <mergeCell ref="A6:B6"/>
    <mergeCell ref="A7:B7"/>
    <mergeCell ref="A8:B8"/>
    <mergeCell ref="A10:A11"/>
    <mergeCell ref="B10:B1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3</vt:i4>
      </vt:variant>
    </vt:vector>
  </HeadingPairs>
  <TitlesOfParts>
    <vt:vector size="14" baseType="lpstr">
      <vt:lpstr>GERENCIADOR</vt:lpstr>
      <vt:lpstr>MP</vt:lpstr>
      <vt:lpstr>DRE</vt:lpstr>
      <vt:lpstr>DRE LUCRO REAL INDUSTRIA</vt:lpstr>
      <vt:lpstr>LUCRO PRESUMIDO INDUSTRIA</vt:lpstr>
      <vt:lpstr>LUCRO REAL SERVIÇOS</vt:lpstr>
      <vt:lpstr>FLUXO DE CAIXA</vt:lpstr>
      <vt:lpstr>INDICADORES</vt:lpstr>
      <vt:lpstr>P. BACK</vt:lpstr>
      <vt:lpstr>P. BACK (2)</vt:lpstr>
      <vt:lpstr>Plan2</vt:lpstr>
      <vt:lpstr>'P. BACK (2)'!juro</vt:lpstr>
      <vt:lpstr>juro</vt:lpstr>
      <vt:lpstr>TMA</vt:lpstr>
    </vt:vector>
  </TitlesOfParts>
  <Company>PUCPR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PUCPR</dc:creator>
  <cp:lastModifiedBy>Gustavo</cp:lastModifiedBy>
  <cp:lastPrinted>2013-10-08T20:00:55Z</cp:lastPrinted>
  <dcterms:created xsi:type="dcterms:W3CDTF">2004-09-13T10:07:16Z</dcterms:created>
  <dcterms:modified xsi:type="dcterms:W3CDTF">2022-05-24T21:30:16Z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808220dc-19ed-438b-bc2d-40446d619783</vt:lpwstr>
  </property>
</Properties>
</file>