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13_ncr:1_{5D68A5FC-3813-4670-9B04-8B9643E87FD1}" xr6:coauthVersionLast="46" xr6:coauthVersionMax="46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B.P." sheetId="3" r:id="rId1"/>
    <sheet name="D.R.E." sheetId="6" r:id="rId2"/>
    <sheet name="SIT.FINANC.-AVxAH (B.P.)" sheetId="4" r:id="rId3"/>
    <sheet name="RENTABILIDADE-AVxAH (D.R.E.)" sheetId="11" r:id="rId4"/>
    <sheet name="SITUAÇÃO FIN." sheetId="5" r:id="rId5"/>
    <sheet name="RENTABILIDADE" sheetId="8" r:id="rId6"/>
    <sheet name="RENTABILIDADE AO (DU PONT)" sheetId="9" r:id="rId7"/>
    <sheet name="RENTABILIDADE CP (DU PONT)" sheetId="10" r:id="rId8"/>
  </sheets>
  <definedNames>
    <definedName name="_xlnm.Print_Area" localSheetId="5">RENTABILIDADE!$A$1:$E$40</definedName>
    <definedName name="_xlnm.Print_Area" localSheetId="6">'RENTABILIDADE AO (DU PONT)'!$A$1:$I$31</definedName>
    <definedName name="_xlnm.Print_Area" localSheetId="7">'RENTABILIDADE CP (DU PONT)'!$A$1:$I$42</definedName>
    <definedName name="_xlnm.Print_Area" localSheetId="3">'RENTABILIDADE-AVxAH (D.R.E.)'!$A$1:$K$42</definedName>
    <definedName name="_xlnm.Print_Area" localSheetId="2">'SIT.FINANC.-AVxAH (B.P.)'!$A$1:$K$73</definedName>
    <definedName name="_xlnm.Print_Area" localSheetId="4">'SITUAÇÃO FIN.'!$A$1:$E$56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D5" i="6"/>
  <c r="I3" i="10"/>
  <c r="H3" i="10"/>
  <c r="I3" i="9"/>
  <c r="H3" i="9"/>
  <c r="D4" i="8"/>
  <c r="C4" i="8"/>
  <c r="D4" i="5"/>
  <c r="C4" i="5"/>
  <c r="F36" i="11"/>
  <c r="F35" i="11"/>
  <c r="F34" i="11" s="1"/>
  <c r="F33" i="11"/>
  <c r="F32" i="11"/>
  <c r="F29" i="11"/>
  <c r="F28" i="11"/>
  <c r="F27" i="11"/>
  <c r="F26" i="11"/>
  <c r="K26" i="11" s="1"/>
  <c r="F25" i="11"/>
  <c r="F22" i="11"/>
  <c r="F21" i="11"/>
  <c r="F18" i="11"/>
  <c r="F16" i="11"/>
  <c r="F15" i="11"/>
  <c r="K15" i="11" s="1"/>
  <c r="F14" i="11"/>
  <c r="F13" i="11"/>
  <c r="F12" i="11"/>
  <c r="F11" i="11"/>
  <c r="K11" i="11" s="1"/>
  <c r="F10" i="11"/>
  <c r="F9" i="11"/>
  <c r="E36" i="11"/>
  <c r="K36" i="11" s="1"/>
  <c r="E35" i="11"/>
  <c r="E34" i="11" s="1"/>
  <c r="E33" i="11"/>
  <c r="E32" i="11"/>
  <c r="E29" i="11"/>
  <c r="E28" i="11"/>
  <c r="E27" i="11"/>
  <c r="K27" i="11" s="1"/>
  <c r="E26" i="11"/>
  <c r="E25" i="11"/>
  <c r="E22" i="11"/>
  <c r="E21" i="11"/>
  <c r="E18" i="11"/>
  <c r="E16" i="11"/>
  <c r="E15" i="11"/>
  <c r="E14" i="11"/>
  <c r="E13" i="11"/>
  <c r="K13" i="11" s="1"/>
  <c r="E12" i="11"/>
  <c r="E11" i="11"/>
  <c r="E10" i="11"/>
  <c r="E9" i="11"/>
  <c r="A37" i="11"/>
  <c r="B36" i="11"/>
  <c r="B35" i="11"/>
  <c r="A34" i="11"/>
  <c r="B33" i="11"/>
  <c r="B32" i="11"/>
  <c r="A31" i="11"/>
  <c r="A30" i="11"/>
  <c r="B26" i="11"/>
  <c r="B27" i="11"/>
  <c r="B28" i="11"/>
  <c r="B29" i="11"/>
  <c r="B25" i="11"/>
  <c r="A24" i="11"/>
  <c r="A23" i="11"/>
  <c r="B22" i="11"/>
  <c r="B21" i="11"/>
  <c r="A20" i="11"/>
  <c r="A19" i="11"/>
  <c r="B18" i="11"/>
  <c r="A17" i="11"/>
  <c r="B10" i="11"/>
  <c r="B11" i="11"/>
  <c r="B12" i="11"/>
  <c r="B13" i="11"/>
  <c r="B14" i="11"/>
  <c r="B15" i="11"/>
  <c r="B16" i="11"/>
  <c r="B9" i="11"/>
  <c r="A8" i="11"/>
  <c r="F6" i="11"/>
  <c r="E6" i="11"/>
  <c r="F21" i="4"/>
  <c r="F22" i="4"/>
  <c r="F23" i="4"/>
  <c r="F12" i="4"/>
  <c r="F13" i="4"/>
  <c r="F14" i="4"/>
  <c r="F15" i="4"/>
  <c r="F16" i="4"/>
  <c r="F17" i="4"/>
  <c r="F18" i="4"/>
  <c r="F19" i="4"/>
  <c r="F20" i="4"/>
  <c r="F10" i="4"/>
  <c r="F26" i="4"/>
  <c r="F28" i="4"/>
  <c r="F29" i="4"/>
  <c r="F30" i="4"/>
  <c r="F31" i="4"/>
  <c r="F32" i="4"/>
  <c r="F33" i="4"/>
  <c r="F39" i="4"/>
  <c r="F40" i="4"/>
  <c r="F41" i="4"/>
  <c r="F42" i="4"/>
  <c r="F43" i="4"/>
  <c r="F44" i="4"/>
  <c r="F45" i="4"/>
  <c r="F37" i="4"/>
  <c r="F49" i="4"/>
  <c r="F50" i="4"/>
  <c r="F51" i="4"/>
  <c r="F52" i="4"/>
  <c r="F53" i="4"/>
  <c r="F54" i="4"/>
  <c r="F55" i="4"/>
  <c r="F56" i="4"/>
  <c r="F58" i="4"/>
  <c r="F61" i="4"/>
  <c r="F62" i="4"/>
  <c r="F63" i="4"/>
  <c r="K63" i="4" s="1"/>
  <c r="F64" i="4"/>
  <c r="F65" i="4"/>
  <c r="F68" i="4"/>
  <c r="F69" i="4"/>
  <c r="F67" i="4" s="1"/>
  <c r="D19" i="5" s="1"/>
  <c r="E69" i="4"/>
  <c r="E67" i="4" s="1"/>
  <c r="E68" i="4"/>
  <c r="E65" i="4"/>
  <c r="E64" i="4"/>
  <c r="E60" i="4" s="1"/>
  <c r="E63" i="4"/>
  <c r="E62" i="4"/>
  <c r="E61" i="4"/>
  <c r="E58" i="4"/>
  <c r="E56" i="4"/>
  <c r="E55" i="4"/>
  <c r="E54" i="4"/>
  <c r="E53" i="4"/>
  <c r="E52" i="4"/>
  <c r="E51" i="4"/>
  <c r="E50" i="4"/>
  <c r="E49" i="4"/>
  <c r="E45" i="4"/>
  <c r="E44" i="4"/>
  <c r="E43" i="4"/>
  <c r="E42" i="4"/>
  <c r="E38" i="4" s="1"/>
  <c r="K38" i="4" s="1"/>
  <c r="E41" i="4"/>
  <c r="E40" i="4"/>
  <c r="E39" i="4"/>
  <c r="E37" i="4"/>
  <c r="K37" i="4" s="1"/>
  <c r="E33" i="4"/>
  <c r="E32" i="4"/>
  <c r="E31" i="4"/>
  <c r="E30" i="4"/>
  <c r="K30" i="4" s="1"/>
  <c r="E29" i="4"/>
  <c r="E28" i="4"/>
  <c r="E27" i="4" s="1"/>
  <c r="E26" i="4"/>
  <c r="K26" i="4" s="1"/>
  <c r="E23" i="4"/>
  <c r="E22" i="4"/>
  <c r="E21" i="4"/>
  <c r="E20" i="4"/>
  <c r="K20" i="4" s="1"/>
  <c r="E19" i="4"/>
  <c r="E18" i="4"/>
  <c r="E17" i="4"/>
  <c r="E16" i="4"/>
  <c r="K16" i="4" s="1"/>
  <c r="E15" i="4"/>
  <c r="E14" i="4"/>
  <c r="E13" i="4"/>
  <c r="E12" i="4"/>
  <c r="E11" i="4" s="1"/>
  <c r="E10" i="4"/>
  <c r="E3" i="6"/>
  <c r="D3" i="6"/>
  <c r="F6" i="4"/>
  <c r="E6" i="4"/>
  <c r="M14" i="3"/>
  <c r="F57" i="4" s="1"/>
  <c r="M5" i="3"/>
  <c r="M4" i="3" s="1"/>
  <c r="M17" i="3"/>
  <c r="D9" i="5" s="1"/>
  <c r="M24" i="3"/>
  <c r="L14" i="3"/>
  <c r="E57" i="4" s="1"/>
  <c r="L5" i="3"/>
  <c r="L4" i="3" s="1"/>
  <c r="L17" i="3"/>
  <c r="L24" i="3"/>
  <c r="F34" i="3"/>
  <c r="E34" i="3"/>
  <c r="F7" i="3"/>
  <c r="F5" i="3" s="1"/>
  <c r="F4" i="3" s="1"/>
  <c r="F23" i="3"/>
  <c r="F21" i="3" s="1"/>
  <c r="F32" i="3"/>
  <c r="F31" i="3" s="1"/>
  <c r="E7" i="3"/>
  <c r="E5" i="3"/>
  <c r="E23" i="3"/>
  <c r="E21" i="3" s="1"/>
  <c r="E32" i="3"/>
  <c r="E5" i="6"/>
  <c r="E31" i="6"/>
  <c r="E14" i="6"/>
  <c r="E17" i="6"/>
  <c r="E21" i="6"/>
  <c r="E28" i="6"/>
  <c r="D31" i="6"/>
  <c r="D17" i="6"/>
  <c r="D21" i="6"/>
  <c r="D28" i="6"/>
  <c r="E17" i="11"/>
  <c r="K17" i="11" s="1"/>
  <c r="E20" i="11"/>
  <c r="E31" i="11"/>
  <c r="F17" i="11"/>
  <c r="F20" i="11"/>
  <c r="F31" i="11"/>
  <c r="F11" i="4"/>
  <c r="F9" i="4" s="1"/>
  <c r="F38" i="4"/>
  <c r="E36" i="4"/>
  <c r="E35" i="4" s="1"/>
  <c r="K35" i="4" s="1"/>
  <c r="F36" i="4"/>
  <c r="F35" i="4"/>
  <c r="K33" i="11"/>
  <c r="K32" i="11"/>
  <c r="K29" i="11"/>
  <c r="K25" i="11"/>
  <c r="K22" i="11"/>
  <c r="K21" i="11"/>
  <c r="K18" i="11"/>
  <c r="K12" i="11"/>
  <c r="K10" i="11"/>
  <c r="I6" i="11"/>
  <c r="H6" i="11"/>
  <c r="C69" i="4"/>
  <c r="C68" i="4"/>
  <c r="B67" i="4"/>
  <c r="C65" i="4"/>
  <c r="C64" i="4"/>
  <c r="C63" i="4"/>
  <c r="C62" i="4"/>
  <c r="C61" i="4"/>
  <c r="B60" i="4"/>
  <c r="C58" i="4"/>
  <c r="C57" i="4"/>
  <c r="C56" i="4"/>
  <c r="C55" i="4"/>
  <c r="C54" i="4"/>
  <c r="C53" i="4"/>
  <c r="C52" i="4"/>
  <c r="C51" i="4"/>
  <c r="C50" i="4"/>
  <c r="C49" i="4"/>
  <c r="B48" i="4"/>
  <c r="A47" i="4"/>
  <c r="D45" i="4"/>
  <c r="D44" i="4"/>
  <c r="D43" i="4"/>
  <c r="D42" i="4"/>
  <c r="D41" i="4"/>
  <c r="D40" i="4"/>
  <c r="D39" i="4"/>
  <c r="D37" i="4"/>
  <c r="C38" i="4"/>
  <c r="C36" i="4"/>
  <c r="B35" i="4"/>
  <c r="C33" i="4"/>
  <c r="D32" i="4"/>
  <c r="D31" i="4"/>
  <c r="D30" i="4"/>
  <c r="D29" i="4"/>
  <c r="D28" i="4"/>
  <c r="C27" i="4"/>
  <c r="C26" i="4"/>
  <c r="A8" i="4"/>
  <c r="B9" i="4"/>
  <c r="B25" i="4"/>
  <c r="C23" i="4"/>
  <c r="C22" i="4"/>
  <c r="C21" i="4"/>
  <c r="D20" i="4"/>
  <c r="D19" i="4"/>
  <c r="D18" i="4"/>
  <c r="D17" i="4"/>
  <c r="D16" i="4"/>
  <c r="D15" i="4"/>
  <c r="D14" i="4"/>
  <c r="D13" i="4"/>
  <c r="D12" i="4"/>
  <c r="C11" i="4"/>
  <c r="C10" i="4"/>
  <c r="K68" i="4"/>
  <c r="K64" i="4"/>
  <c r="K62" i="4"/>
  <c r="K61" i="4"/>
  <c r="K56" i="4"/>
  <c r="K55" i="4"/>
  <c r="K54" i="4"/>
  <c r="K53" i="4"/>
  <c r="K52" i="4"/>
  <c r="K51" i="4"/>
  <c r="K50" i="4"/>
  <c r="K49" i="4"/>
  <c r="K45" i="4"/>
  <c r="K44" i="4"/>
  <c r="K43" i="4"/>
  <c r="K42" i="4"/>
  <c r="K41" i="4"/>
  <c r="K40" i="4"/>
  <c r="K39" i="4"/>
  <c r="K33" i="4"/>
  <c r="K32" i="4"/>
  <c r="K31" i="4"/>
  <c r="K29" i="4"/>
  <c r="K28" i="4"/>
  <c r="K23" i="4"/>
  <c r="K22" i="4"/>
  <c r="K21" i="4"/>
  <c r="K19" i="4"/>
  <c r="K18" i="4"/>
  <c r="K17" i="4"/>
  <c r="K15" i="4"/>
  <c r="K14" i="4"/>
  <c r="K13" i="4"/>
  <c r="K10" i="4"/>
  <c r="I6" i="4"/>
  <c r="H6" i="4"/>
  <c r="C9" i="5"/>
  <c r="K34" i="11" l="1"/>
  <c r="K35" i="11"/>
  <c r="E24" i="11"/>
  <c r="F24" i="11"/>
  <c r="K28" i="11"/>
  <c r="D16" i="6"/>
  <c r="D20" i="6" s="1"/>
  <c r="D27" i="6" s="1"/>
  <c r="D34" i="6" s="1"/>
  <c r="F8" i="11"/>
  <c r="F19" i="11" s="1"/>
  <c r="E16" i="6"/>
  <c r="E20" i="6" s="1"/>
  <c r="E27" i="6" s="1"/>
  <c r="D43" i="5" s="1"/>
  <c r="E8" i="11"/>
  <c r="K9" i="11"/>
  <c r="K11" i="4"/>
  <c r="E9" i="4"/>
  <c r="F48" i="4"/>
  <c r="K12" i="4"/>
  <c r="K36" i="4"/>
  <c r="F60" i="4"/>
  <c r="F27" i="4"/>
  <c r="E25" i="4"/>
  <c r="K31" i="11"/>
  <c r="K20" i="11"/>
  <c r="E31" i="3"/>
  <c r="E4" i="3"/>
  <c r="K9" i="4"/>
  <c r="F25" i="4"/>
  <c r="K25" i="4" s="1"/>
  <c r="K27" i="4"/>
  <c r="C19" i="5"/>
  <c r="K67" i="4"/>
  <c r="C22" i="5"/>
  <c r="I9" i="10"/>
  <c r="I8" i="9"/>
  <c r="E48" i="4"/>
  <c r="C28" i="5" s="1"/>
  <c r="K57" i="4"/>
  <c r="E8" i="4"/>
  <c r="K24" i="11" l="1"/>
  <c r="E34" i="6"/>
  <c r="D46" i="5"/>
  <c r="I35" i="11"/>
  <c r="I6" i="10"/>
  <c r="I18" i="11"/>
  <c r="I17" i="11" s="1"/>
  <c r="I25" i="11"/>
  <c r="I6" i="9"/>
  <c r="I17" i="9" s="1"/>
  <c r="I10" i="11"/>
  <c r="I33" i="11"/>
  <c r="I31" i="11" s="1"/>
  <c r="I27" i="11"/>
  <c r="I29" i="11"/>
  <c r="I9" i="11"/>
  <c r="I26" i="11"/>
  <c r="F23" i="11"/>
  <c r="D9" i="8" s="1"/>
  <c r="I11" i="11"/>
  <c r="I16" i="11"/>
  <c r="I21" i="11"/>
  <c r="I28" i="11"/>
  <c r="I15" i="11"/>
  <c r="I32" i="11"/>
  <c r="I22" i="11"/>
  <c r="I12" i="11"/>
  <c r="I13" i="11"/>
  <c r="I14" i="11"/>
  <c r="K8" i="11"/>
  <c r="I36" i="11"/>
  <c r="C43" i="5"/>
  <c r="E19" i="11"/>
  <c r="C46" i="5"/>
  <c r="D22" i="5"/>
  <c r="K60" i="4"/>
  <c r="F47" i="4"/>
  <c r="D37" i="5"/>
  <c r="D13" i="5"/>
  <c r="D31" i="5"/>
  <c r="D34" i="5"/>
  <c r="H12" i="4"/>
  <c r="H20" i="4"/>
  <c r="H39" i="4"/>
  <c r="H33" i="4"/>
  <c r="H13" i="4"/>
  <c r="H40" i="4"/>
  <c r="H26" i="4"/>
  <c r="H14" i="4"/>
  <c r="H21" i="4"/>
  <c r="H41" i="4"/>
  <c r="H28" i="4"/>
  <c r="H15" i="4"/>
  <c r="H22" i="4"/>
  <c r="H42" i="4"/>
  <c r="H29" i="4"/>
  <c r="H45" i="4"/>
  <c r="H16" i="4"/>
  <c r="H23" i="4"/>
  <c r="H43" i="4"/>
  <c r="H30" i="4"/>
  <c r="H17" i="4"/>
  <c r="H44" i="4"/>
  <c r="H31" i="4"/>
  <c r="H18" i="4"/>
  <c r="H37" i="4"/>
  <c r="H36" i="4" s="1"/>
  <c r="H32" i="4"/>
  <c r="H10" i="4"/>
  <c r="H19" i="4"/>
  <c r="C13" i="5"/>
  <c r="C37" i="5"/>
  <c r="C16" i="5"/>
  <c r="K48" i="4"/>
  <c r="C34" i="5"/>
  <c r="E47" i="4"/>
  <c r="C31" i="5"/>
  <c r="F8" i="4"/>
  <c r="I10" i="10" s="1"/>
  <c r="D28" i="5"/>
  <c r="D18" i="8" l="1"/>
  <c r="I8" i="11"/>
  <c r="I24" i="11"/>
  <c r="I20" i="11"/>
  <c r="I23" i="11" s="1"/>
  <c r="F30" i="11"/>
  <c r="D24" i="8" s="1"/>
  <c r="I34" i="11"/>
  <c r="H9" i="11"/>
  <c r="H29" i="11"/>
  <c r="H12" i="11"/>
  <c r="H35" i="11"/>
  <c r="H6" i="10"/>
  <c r="H26" i="11"/>
  <c r="H28" i="11"/>
  <c r="E23" i="11"/>
  <c r="H36" i="11"/>
  <c r="H14" i="11"/>
  <c r="H18" i="11"/>
  <c r="H17" i="11" s="1"/>
  <c r="K19" i="11"/>
  <c r="H32" i="11"/>
  <c r="H16" i="11"/>
  <c r="H10" i="11"/>
  <c r="H11" i="11"/>
  <c r="H6" i="9"/>
  <c r="H33" i="11"/>
  <c r="H15" i="11"/>
  <c r="H27" i="11"/>
  <c r="H21" i="11"/>
  <c r="H22" i="11"/>
  <c r="H13" i="11"/>
  <c r="H25" i="11"/>
  <c r="I51" i="4"/>
  <c r="I56" i="4"/>
  <c r="I65" i="4"/>
  <c r="I49" i="4"/>
  <c r="I68" i="4"/>
  <c r="I50" i="4"/>
  <c r="I58" i="4"/>
  <c r="I53" i="4"/>
  <c r="I62" i="4"/>
  <c r="I64" i="4"/>
  <c r="I61" i="4"/>
  <c r="I69" i="4"/>
  <c r="I67" i="4" s="1"/>
  <c r="I55" i="4"/>
  <c r="I52" i="4"/>
  <c r="I63" i="4"/>
  <c r="I57" i="4"/>
  <c r="I54" i="4"/>
  <c r="I18" i="10"/>
  <c r="I27" i="10"/>
  <c r="H11" i="4"/>
  <c r="H9" i="4" s="1"/>
  <c r="I16" i="4"/>
  <c r="I23" i="4"/>
  <c r="I42" i="4"/>
  <c r="D16" i="5"/>
  <c r="I17" i="4"/>
  <c r="I33" i="4"/>
  <c r="I43" i="4"/>
  <c r="K8" i="4"/>
  <c r="I18" i="4"/>
  <c r="I26" i="4"/>
  <c r="I44" i="4"/>
  <c r="I10" i="4"/>
  <c r="I19" i="4"/>
  <c r="I28" i="4"/>
  <c r="I27" i="4" s="1"/>
  <c r="I37" i="4"/>
  <c r="I36" i="4" s="1"/>
  <c r="I45" i="4"/>
  <c r="I12" i="4"/>
  <c r="I20" i="4"/>
  <c r="I29" i="4"/>
  <c r="I13" i="4"/>
  <c r="I30" i="4"/>
  <c r="I39" i="4"/>
  <c r="I14" i="4"/>
  <c r="I21" i="4"/>
  <c r="I31" i="4"/>
  <c r="I40" i="4"/>
  <c r="I15" i="4"/>
  <c r="I22" i="4"/>
  <c r="I32" i="4"/>
  <c r="I41" i="4"/>
  <c r="H51" i="4"/>
  <c r="H69" i="4"/>
  <c r="H52" i="4"/>
  <c r="H61" i="4"/>
  <c r="H53" i="4"/>
  <c r="H62" i="4"/>
  <c r="H54" i="4"/>
  <c r="H63" i="4"/>
  <c r="H55" i="4"/>
  <c r="H64" i="4"/>
  <c r="H56" i="4"/>
  <c r="H65" i="4"/>
  <c r="K47" i="4"/>
  <c r="H49" i="4"/>
  <c r="H50" i="4"/>
  <c r="H58" i="4"/>
  <c r="H68" i="4"/>
  <c r="H57" i="4"/>
  <c r="H27" i="4"/>
  <c r="H25" i="4" s="1"/>
  <c r="H38" i="4"/>
  <c r="H35" i="4" s="1"/>
  <c r="I30" i="11" l="1"/>
  <c r="I37" i="11" s="1"/>
  <c r="I7" i="9"/>
  <c r="I13" i="9" s="1"/>
  <c r="F37" i="11"/>
  <c r="D30" i="8" s="1"/>
  <c r="D12" i="8"/>
  <c r="H31" i="11"/>
  <c r="H20" i="11"/>
  <c r="H23" i="11" s="1"/>
  <c r="H24" i="11"/>
  <c r="C18" i="8"/>
  <c r="C9" i="8"/>
  <c r="E30" i="11"/>
  <c r="K23" i="11"/>
  <c r="H34" i="11"/>
  <c r="H8" i="11"/>
  <c r="I48" i="4"/>
  <c r="I60" i="4"/>
  <c r="I38" i="4"/>
  <c r="I25" i="4"/>
  <c r="H8" i="4"/>
  <c r="I11" i="4"/>
  <c r="H67" i="4"/>
  <c r="I35" i="4"/>
  <c r="H48" i="4"/>
  <c r="I9" i="4"/>
  <c r="I8" i="4" s="1"/>
  <c r="H60" i="4"/>
  <c r="I21" i="9" l="1"/>
  <c r="D27" i="8"/>
  <c r="I7" i="10"/>
  <c r="I32" i="10" s="1"/>
  <c r="D15" i="8"/>
  <c r="H30" i="11"/>
  <c r="H37" i="11" s="1"/>
  <c r="C12" i="8"/>
  <c r="K30" i="11"/>
  <c r="E37" i="11"/>
  <c r="H7" i="9"/>
  <c r="H13" i="9" s="1"/>
  <c r="I47" i="4"/>
  <c r="I22" i="10"/>
  <c r="H47" i="4"/>
  <c r="I14" i="10" l="1"/>
  <c r="K37" i="11"/>
  <c r="H7" i="10"/>
  <c r="H14" i="10" s="1"/>
  <c r="C15" i="8"/>
</calcChain>
</file>

<file path=xl/sharedStrings.xml><?xml version="1.0" encoding="utf-8"?>
<sst xmlns="http://schemas.openxmlformats.org/spreadsheetml/2006/main" count="362" uniqueCount="172">
  <si>
    <t>Disponibilidade</t>
  </si>
  <si>
    <t>Estoques</t>
  </si>
  <si>
    <t>Aplicações financeiras</t>
  </si>
  <si>
    <t>Imobilizado</t>
  </si>
  <si>
    <t>Depósitos judiciais</t>
  </si>
  <si>
    <t>Fornecedores</t>
  </si>
  <si>
    <t>Patrimônio Líquido</t>
  </si>
  <si>
    <t>Análise Vertical</t>
  </si>
  <si>
    <t xml:space="preserve"> </t>
  </si>
  <si>
    <t>ATIVO TOTAL</t>
  </si>
  <si>
    <t>PASSIVO TOTAL</t>
  </si>
  <si>
    <t>RECEITA OPERACIONAL LÍQUIDA</t>
  </si>
  <si>
    <t>Contas a Receber</t>
  </si>
  <si>
    <t>Outros Créditos</t>
  </si>
  <si>
    <t>Adiantamentos</t>
  </si>
  <si>
    <t>Despesas Antecipadas</t>
  </si>
  <si>
    <t>Créditos a Recuperar</t>
  </si>
  <si>
    <t>Contas em Cobrança Judicial</t>
  </si>
  <si>
    <t>Investimentos</t>
  </si>
  <si>
    <t>Terrenos e Construções</t>
  </si>
  <si>
    <t>Móveis e Utensílios</t>
  </si>
  <si>
    <t>Veículos</t>
  </si>
  <si>
    <t>Equipamentos de Informática</t>
  </si>
  <si>
    <t>Liquidez geral</t>
  </si>
  <si>
    <t>Liquidez corrente</t>
  </si>
  <si>
    <t>Índices de Solvência</t>
  </si>
  <si>
    <t>vezes</t>
  </si>
  <si>
    <t>AC + RLP / PC +ELP</t>
  </si>
  <si>
    <t>AC / PC</t>
  </si>
  <si>
    <t>Liquidez seca</t>
  </si>
  <si>
    <t>AC - EST - DES  / PC</t>
  </si>
  <si>
    <t>(-) Provisão p/Créd. Liquid. Duvidosa</t>
  </si>
  <si>
    <t>(-) Depreciações</t>
  </si>
  <si>
    <t>Fornecedores - Serviços</t>
  </si>
  <si>
    <t>Empréstimos e Financiamentos</t>
  </si>
  <si>
    <t>(-) Encargos Financeiros a Transcorrer</t>
  </si>
  <si>
    <t>Obrigações com Terceiros</t>
  </si>
  <si>
    <t>Obrigações Sociais</t>
  </si>
  <si>
    <t>Obrigações Tributárias</t>
  </si>
  <si>
    <t>Adiantamentos de Clientes</t>
  </si>
  <si>
    <t>Provisões de Férias e Encargos</t>
  </si>
  <si>
    <t>Parcelamento FGTS</t>
  </si>
  <si>
    <t>Provisões p/Contingências</t>
  </si>
  <si>
    <t>Superávit Acumulado</t>
  </si>
  <si>
    <t>Déficit do Exercício</t>
  </si>
  <si>
    <t>Outras Contas a Pagar</t>
  </si>
  <si>
    <t>Programa de Recup. Fiscal</t>
  </si>
  <si>
    <t>Interpretação Isolada</t>
  </si>
  <si>
    <t>Liquidez imediata</t>
  </si>
  <si>
    <t>DISPON / PC</t>
  </si>
  <si>
    <t>Índices de Estrutura Patrimonial</t>
  </si>
  <si>
    <t>%</t>
  </si>
  <si>
    <t>PC + ELP / PL</t>
  </si>
  <si>
    <t>Composição do endividamento</t>
  </si>
  <si>
    <t>Capital de terceiros / Capital próprio</t>
  </si>
  <si>
    <t>PC / PC + ELP</t>
  </si>
  <si>
    <t>Endividamento Geral</t>
  </si>
  <si>
    <t>PC + ELP  / AT</t>
  </si>
  <si>
    <t>Imobilização do capital próprio</t>
  </si>
  <si>
    <t>AP / PL</t>
  </si>
  <si>
    <t>Imobilização dos recursos permanentes</t>
  </si>
  <si>
    <t>AP / ELP +PL</t>
  </si>
  <si>
    <t>Índices de Cobertura</t>
  </si>
  <si>
    <t>dos encargos financeiros</t>
  </si>
  <si>
    <t>LO + RF +OR / DF</t>
  </si>
  <si>
    <t>dos compromissos fixos</t>
  </si>
  <si>
    <t>LO + DL + RF + OR / DF + DL</t>
  </si>
  <si>
    <t>Avaliação Geral</t>
  </si>
  <si>
    <t>RECEITAS OPERACIONAIS BRUTAS</t>
  </si>
  <si>
    <t>(-) Deduções da Receita Operacional</t>
  </si>
  <si>
    <t>(-) Custos dos Serviços</t>
  </si>
  <si>
    <t>RESULTADO BRUTO</t>
  </si>
  <si>
    <t>(-) Despesas Gerais</t>
  </si>
  <si>
    <t>Despesas Administrativas</t>
  </si>
  <si>
    <t>Provisão p/Créd. Liquid. Duvidosa</t>
  </si>
  <si>
    <t>Outras Despesas Operacionais</t>
  </si>
  <si>
    <t>Despesas Conserv. Mantenedoras</t>
  </si>
  <si>
    <t>RESULTADO OPERACIONAL</t>
  </si>
  <si>
    <t>(-) Resultado Financeiro</t>
  </si>
  <si>
    <t>Despesas Financeiras</t>
  </si>
  <si>
    <t>(-) Receitas Financeiras</t>
  </si>
  <si>
    <t>(-) Resultado não Operacional</t>
  </si>
  <si>
    <t>Despesas não Operacionais</t>
  </si>
  <si>
    <t>(-) Receitas não Operacionais</t>
  </si>
  <si>
    <t>RESULTADO DO EXERCÍCIO</t>
  </si>
  <si>
    <t>Provisão p/Contingências</t>
  </si>
  <si>
    <t>Variações</t>
  </si>
  <si>
    <t>R$</t>
  </si>
  <si>
    <t>ATIVO CIRCULANTE</t>
  </si>
  <si>
    <t>ATIVO REALIZÁVEL A LONGO PRAZO</t>
  </si>
  <si>
    <t>ATIVO PERMANENTE</t>
  </si>
  <si>
    <t>PASSIVO CIRCULANTE</t>
  </si>
  <si>
    <t>PASSIVO EXIGÍVEL A LONGO PRAZO</t>
  </si>
  <si>
    <t>PATRIMÔNIO LÍQUIDO</t>
  </si>
  <si>
    <t>Lucratividade das Vendas</t>
  </si>
  <si>
    <t>Margem bruta</t>
  </si>
  <si>
    <t>LB / ROL</t>
  </si>
  <si>
    <t>Margem operacional</t>
  </si>
  <si>
    <t>LO / ROL</t>
  </si>
  <si>
    <t>Margem liquida</t>
  </si>
  <si>
    <t>LL / ROL</t>
  </si>
  <si>
    <t>Mark-up global</t>
  </si>
  <si>
    <t>LB / CV</t>
  </si>
  <si>
    <t>Taxas de Retorno</t>
  </si>
  <si>
    <t>s/o ativo operacional</t>
  </si>
  <si>
    <t>LO / Sm AO</t>
  </si>
  <si>
    <t>s/o investimento total</t>
  </si>
  <si>
    <t>LL / Sm AT</t>
  </si>
  <si>
    <t>s/o capital próprio</t>
  </si>
  <si>
    <t>Interpretação</t>
  </si>
  <si>
    <t>Dados básicos</t>
  </si>
  <si>
    <t>Fórmula Du Pont</t>
  </si>
  <si>
    <t>Receita Operacional Líquida</t>
  </si>
  <si>
    <t>ROL</t>
  </si>
  <si>
    <t>Lucro Operacional</t>
  </si>
  <si>
    <t>LO</t>
  </si>
  <si>
    <t>Saldo Médio do Ativo Operacional</t>
  </si>
  <si>
    <t>Sm AO</t>
  </si>
  <si>
    <t>Margem Operacional</t>
  </si>
  <si>
    <t>X</t>
  </si>
  <si>
    <t>Giro do Ativo Operacional (vezes)</t>
  </si>
  <si>
    <t>=</t>
  </si>
  <si>
    <t>Retorno sobre o</t>
  </si>
  <si>
    <t>Ativo Operacional</t>
  </si>
  <si>
    <t>Lucro Líquido</t>
  </si>
  <si>
    <t>LL</t>
  </si>
  <si>
    <t>LL / Sm PL</t>
  </si>
  <si>
    <t>Saldos médios:</t>
  </si>
  <si>
    <t>Ativo Total</t>
  </si>
  <si>
    <t>Sm PL</t>
  </si>
  <si>
    <t>Sm AT</t>
  </si>
  <si>
    <t>Fórmula Du Pont modificada</t>
  </si>
  <si>
    <t>Margem Líquida</t>
  </si>
  <si>
    <t>Giro do Investimento Total (vezes)</t>
  </si>
  <si>
    <t>Investimento Total</t>
  </si>
  <si>
    <t>/</t>
  </si>
  <si>
    <t>Proporção do Capital Próprio</t>
  </si>
  <si>
    <t>sobre o Ativo Total (vezes)</t>
  </si>
  <si>
    <t>Capital Próprio</t>
  </si>
  <si>
    <t>Contas a Receber - Tipo 1</t>
  </si>
  <si>
    <t>Contas a Receber - Tipo 2</t>
  </si>
  <si>
    <t>Contas a Receber - Tipo 3</t>
  </si>
  <si>
    <t>Contas a Receber - Tipo 4</t>
  </si>
  <si>
    <t>Contas a Receber - Tipo 5</t>
  </si>
  <si>
    <t>Contas a Receber - Tipo 6</t>
  </si>
  <si>
    <t>Contas a Receber - Tipo 7</t>
  </si>
  <si>
    <t>Contas a Receber - Tipo 8</t>
  </si>
  <si>
    <t>Investimento 1</t>
  </si>
  <si>
    <t>Fornecedores - Materiais</t>
  </si>
  <si>
    <t>Ano 1</t>
  </si>
  <si>
    <t>Ano 2</t>
  </si>
  <si>
    <t>( E ) / ( F )</t>
  </si>
  <si>
    <t>Descontos</t>
  </si>
  <si>
    <t>Receita 1</t>
  </si>
  <si>
    <t>Receita 2</t>
  </si>
  <si>
    <t>Receita 3</t>
  </si>
  <si>
    <t>Receita 4</t>
  </si>
  <si>
    <t>Receita 5</t>
  </si>
  <si>
    <t>Receita 6</t>
  </si>
  <si>
    <t>Receita 7</t>
  </si>
  <si>
    <t>Receita 8</t>
  </si>
  <si>
    <t>Custos dos Serviços Prestados 1</t>
  </si>
  <si>
    <t>Cusots dos Serviços Prestados 2</t>
  </si>
  <si>
    <t>Equipamentos Especiais</t>
  </si>
  <si>
    <t>Máquinas e Outros Equipamentos</t>
  </si>
  <si>
    <t>Avaliação da Situação Financeira da Empresa</t>
  </si>
  <si>
    <t>BALANÇOS PATRIMONIAIS DA EMPRESA</t>
  </si>
  <si>
    <t>DEMONSTRAÇÕES DO RESULTADO DO EXERCÍCIO DA EMPRESA</t>
  </si>
  <si>
    <t>Índices</t>
  </si>
  <si>
    <t>Avaliação da Rentabilidade da Empresa</t>
  </si>
  <si>
    <t>Formação da Taxa de Retorno sobre o Ativo Operacional da Empresa</t>
  </si>
  <si>
    <t>Formação da Taxa de Retorno sobre o Capital Próprio da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</si>
</sst>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00_);_(* \(#,##0.000\);_(* &quot;-&quot;??_);_(@_)"/>
    <numFmt numFmtId="166" formatCode="_(* #,##0.0_);_(* \(#,##0.0\);_(* &quot;-&quot;??_);_(@_)"/>
    <numFmt numFmtId="167" formatCode="0.0000"/>
    <numFmt numFmtId="168" formatCode="0.00_);[Red]\(0.00\)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7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 applyBorder="1"/>
    <xf numFmtId="2" fontId="2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0" fillId="0" borderId="0" xfId="0" applyBorder="1"/>
    <xf numFmtId="38" fontId="2" fillId="0" borderId="0" xfId="0" applyNumberFormat="1" applyFont="1" applyBorder="1"/>
    <xf numFmtId="0" fontId="3" fillId="0" borderId="0" xfId="0" applyFont="1" applyBorder="1"/>
    <xf numFmtId="38" fontId="3" fillId="0" borderId="0" xfId="0" applyNumberFormat="1" applyFont="1" applyBorder="1"/>
    <xf numFmtId="0" fontId="4" fillId="0" borderId="0" xfId="0" applyFont="1" applyBorder="1"/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0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38" fontId="0" fillId="0" borderId="0" xfId="0" applyNumberFormat="1" applyBorder="1"/>
    <xf numFmtId="164" fontId="0" fillId="0" borderId="0" xfId="0" applyNumberFormat="1" applyBorder="1"/>
    <xf numFmtId="9" fontId="0" fillId="0" borderId="0" xfId="1" applyFont="1" applyBorder="1"/>
    <xf numFmtId="164" fontId="0" fillId="0" borderId="0" xfId="2" applyFont="1" applyBorder="1"/>
    <xf numFmtId="38" fontId="5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quotePrefix="1" applyFont="1" applyBorder="1" applyAlignment="1">
      <alignment horizontal="left"/>
    </xf>
    <xf numFmtId="0" fontId="6" fillId="0" borderId="7" xfId="0" applyFont="1" applyBorder="1"/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6" xfId="0" quotePrefix="1" applyFont="1" applyBorder="1" applyAlignment="1">
      <alignment horizontal="left"/>
    </xf>
    <xf numFmtId="0" fontId="6" fillId="0" borderId="6" xfId="0" applyFont="1" applyBorder="1"/>
    <xf numFmtId="0" fontId="6" fillId="0" borderId="0" xfId="0" applyFont="1" applyBorder="1"/>
    <xf numFmtId="0" fontId="6" fillId="0" borderId="7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quotePrefix="1" applyFont="1" applyBorder="1" applyAlignment="1">
      <alignment horizontal="left"/>
    </xf>
    <xf numFmtId="2" fontId="6" fillId="0" borderId="0" xfId="0" applyNumberFormat="1" applyFont="1" applyBorder="1"/>
    <xf numFmtId="2" fontId="6" fillId="0" borderId="7" xfId="0" applyNumberFormat="1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3" xfId="0" applyFont="1" applyBorder="1" applyAlignment="1">
      <alignment horizontal="center"/>
    </xf>
    <xf numFmtId="2" fontId="6" fillId="0" borderId="6" xfId="0" applyNumberFormat="1" applyFont="1" applyBorder="1"/>
    <xf numFmtId="2" fontId="6" fillId="0" borderId="7" xfId="0" quotePrefix="1" applyNumberFormat="1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0" xfId="0" applyFont="1" applyBorder="1"/>
    <xf numFmtId="0" fontId="6" fillId="0" borderId="9" xfId="0" applyFont="1" applyBorder="1" applyAlignment="1">
      <alignment horizontal="left"/>
    </xf>
    <xf numFmtId="0" fontId="6" fillId="0" borderId="4" xfId="0" applyFont="1" applyBorder="1"/>
    <xf numFmtId="164" fontId="6" fillId="0" borderId="6" xfId="2" applyFont="1" applyBorder="1"/>
    <xf numFmtId="164" fontId="6" fillId="0" borderId="7" xfId="2" applyFont="1" applyBorder="1"/>
    <xf numFmtId="0" fontId="6" fillId="0" borderId="10" xfId="0" quotePrefix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64" fontId="6" fillId="0" borderId="0" xfId="2" applyFont="1" applyBorder="1"/>
    <xf numFmtId="165" fontId="6" fillId="0" borderId="0" xfId="0" applyNumberFormat="1" applyFont="1"/>
    <xf numFmtId="0" fontId="7" fillId="0" borderId="6" xfId="0" applyFont="1" applyBorder="1" applyAlignment="1">
      <alignment horizontal="center"/>
    </xf>
    <xf numFmtId="38" fontId="6" fillId="0" borderId="0" xfId="0" applyNumberFormat="1" applyFont="1"/>
    <xf numFmtId="164" fontId="6" fillId="0" borderId="0" xfId="2" applyFont="1"/>
    <xf numFmtId="0" fontId="7" fillId="0" borderId="6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38" fontId="6" fillId="0" borderId="0" xfId="0" applyNumberFormat="1" applyFont="1" applyBorder="1"/>
    <xf numFmtId="2" fontId="6" fillId="0" borderId="10" xfId="0" applyNumberFormat="1" applyFont="1" applyBorder="1"/>
    <xf numFmtId="2" fontId="6" fillId="0" borderId="9" xfId="0" applyNumberFormat="1" applyFont="1" applyBorder="1"/>
    <xf numFmtId="0" fontId="7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6" xfId="0" applyFont="1" applyBorder="1"/>
    <xf numFmtId="0" fontId="6" fillId="0" borderId="0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left"/>
    </xf>
    <xf numFmtId="0" fontId="6" fillId="0" borderId="10" xfId="0" quotePrefix="1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38" fontId="9" fillId="0" borderId="0" xfId="0" applyNumberFormat="1" applyFont="1" applyBorder="1"/>
    <xf numFmtId="40" fontId="9" fillId="0" borderId="0" xfId="0" applyNumberFormat="1" applyFont="1" applyBorder="1"/>
    <xf numFmtId="164" fontId="4" fillId="0" borderId="0" xfId="2" applyFont="1" applyBorder="1"/>
    <xf numFmtId="38" fontId="10" fillId="0" borderId="0" xfId="0" applyNumberFormat="1" applyFont="1" applyBorder="1"/>
    <xf numFmtId="40" fontId="10" fillId="0" borderId="0" xfId="0" applyNumberFormat="1" applyFont="1" applyBorder="1"/>
    <xf numFmtId="38" fontId="4" fillId="0" borderId="0" xfId="0" applyNumberFormat="1" applyFont="1" applyBorder="1"/>
    <xf numFmtId="10" fontId="6" fillId="0" borderId="0" xfId="0" applyNumberFormat="1" applyFont="1" applyBorder="1"/>
    <xf numFmtId="164" fontId="4" fillId="0" borderId="0" xfId="0" applyNumberFormat="1" applyFont="1" applyBorder="1"/>
    <xf numFmtId="40" fontId="4" fillId="0" borderId="0" xfId="0" applyNumberFormat="1" applyFont="1" applyBorder="1"/>
    <xf numFmtId="0" fontId="6" fillId="0" borderId="7" xfId="0" quotePrefix="1" applyNumberFormat="1" applyFont="1" applyBorder="1" applyAlignment="1">
      <alignment horizontal="left" vertical="top" wrapText="1"/>
    </xf>
    <xf numFmtId="0" fontId="6" fillId="0" borderId="7" xfId="0" applyNumberFormat="1" applyFont="1" applyBorder="1" applyAlignment="1">
      <alignment horizontal="justify" vertical="top" wrapText="1"/>
    </xf>
    <xf numFmtId="0" fontId="6" fillId="0" borderId="1" xfId="0" quotePrefix="1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justify" vertical="top" wrapText="1"/>
    </xf>
    <xf numFmtId="0" fontId="11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3" xfId="0" applyNumberFormat="1" applyFont="1" applyBorder="1" applyAlignment="1">
      <alignment horizontal="justify" vertical="top" wrapText="1"/>
    </xf>
    <xf numFmtId="0" fontId="4" fillId="0" borderId="6" xfId="0" applyFont="1" applyBorder="1"/>
    <xf numFmtId="0" fontId="6" fillId="0" borderId="4" xfId="0" quotePrefix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166" fontId="6" fillId="0" borderId="0" xfId="2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168" fontId="6" fillId="0" borderId="0" xfId="2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168" fontId="6" fillId="0" borderId="6" xfId="2" applyNumberFormat="1" applyFont="1" applyBorder="1" applyAlignment="1">
      <alignment horizontal="center"/>
    </xf>
    <xf numFmtId="168" fontId="6" fillId="0" borderId="7" xfId="2" applyNumberFormat="1" applyFont="1" applyBorder="1" applyAlignment="1">
      <alignment horizontal="center"/>
    </xf>
    <xf numFmtId="40" fontId="6" fillId="0" borderId="0" xfId="2" applyNumberFormat="1" applyFont="1" applyBorder="1"/>
    <xf numFmtId="0" fontId="4" fillId="0" borderId="10" xfId="0" applyFont="1" applyBorder="1" applyAlignment="1">
      <alignment horizontal="center"/>
    </xf>
    <xf numFmtId="2" fontId="6" fillId="0" borderId="4" xfId="0" applyNumberFormat="1" applyFont="1" applyBorder="1"/>
    <xf numFmtId="2" fontId="6" fillId="0" borderId="3" xfId="0" applyNumberFormat="1" applyFont="1" applyBorder="1"/>
    <xf numFmtId="0" fontId="6" fillId="0" borderId="3" xfId="0" quotePrefix="1" applyFont="1" applyBorder="1" applyAlignment="1">
      <alignment horizontal="left"/>
    </xf>
    <xf numFmtId="38" fontId="6" fillId="0" borderId="0" xfId="0" applyNumberFormat="1" applyFont="1" applyBorder="1" applyAlignment="1">
      <alignment horizontal="center"/>
    </xf>
    <xf numFmtId="38" fontId="6" fillId="0" borderId="7" xfId="0" applyNumberFormat="1" applyFont="1" applyBorder="1" applyAlignment="1">
      <alignment horizontal="center"/>
    </xf>
    <xf numFmtId="164" fontId="6" fillId="0" borderId="0" xfId="2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10" fontId="6" fillId="0" borderId="7" xfId="1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6" fillId="0" borderId="7" xfId="0" applyNumberFormat="1" applyFont="1" applyBorder="1" applyAlignment="1">
      <alignment horizontal="center"/>
    </xf>
    <xf numFmtId="10" fontId="6" fillId="0" borderId="0" xfId="2" applyNumberFormat="1" applyFont="1" applyBorder="1" applyAlignment="1">
      <alignment horizontal="center"/>
    </xf>
    <xf numFmtId="10" fontId="6" fillId="0" borderId="7" xfId="2" applyNumberFormat="1" applyFont="1" applyBorder="1" applyAlignment="1">
      <alignment horizontal="center"/>
    </xf>
    <xf numFmtId="167" fontId="6" fillId="0" borderId="7" xfId="0" applyNumberFormat="1" applyFont="1" applyBorder="1" applyAlignment="1">
      <alignment horizontal="center"/>
    </xf>
    <xf numFmtId="40" fontId="6" fillId="0" borderId="7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1" xfId="0" quotePrefix="1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justify" vertical="top" wrapText="1"/>
    </xf>
    <xf numFmtId="0" fontId="6" fillId="0" borderId="7" xfId="0" quotePrefix="1" applyNumberFormat="1" applyFont="1" applyBorder="1" applyAlignment="1">
      <alignment horizontal="left" vertical="top" wrapText="1"/>
    </xf>
    <xf numFmtId="0" fontId="6" fillId="0" borderId="7" xfId="0" applyNumberFormat="1" applyFont="1" applyBorder="1" applyAlignment="1">
      <alignment horizontal="justify" vertical="top" wrapText="1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6" xfId="0" quotePrefix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1" xfId="0" applyNumberFormat="1" applyFont="1" applyBorder="1" applyAlignment="1">
      <alignment horizontal="justify" vertical="top" wrapText="1"/>
    </xf>
    <xf numFmtId="0" fontId="6" fillId="0" borderId="9" xfId="0" quotePrefix="1" applyNumberFormat="1" applyFont="1" applyBorder="1" applyAlignment="1">
      <alignment horizontal="left" vertical="top" wrapText="1"/>
    </xf>
    <xf numFmtId="0" fontId="8" fillId="0" borderId="0" xfId="0" quotePrefix="1" applyFont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0</xdr:row>
          <xdr:rowOff>60960</xdr:rowOff>
        </xdr:from>
        <xdr:to>
          <xdr:col>18</xdr:col>
          <xdr:colOff>541020</xdr:colOff>
          <xdr:row>37</xdr:row>
          <xdr:rowOff>60960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137160</xdr:colOff>
          <xdr:row>2</xdr:row>
          <xdr:rowOff>30480</xdr:rowOff>
        </xdr:from>
        <xdr:to>
          <xdr:col>20</xdr:col>
          <xdr:colOff>144780</xdr:colOff>
          <xdr:row>41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7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showGridLines="0" topLeftCell="A19" workbookViewId="0">
      <selection activeCell="E6" sqref="E6"/>
    </sheetView>
  </sheetViews>
  <sheetFormatPr defaultColWidth="9.109375" defaultRowHeight="13.2" x14ac:dyDescent="0.25"/>
  <cols>
    <col min="1" max="3" width="1.6640625" style="4" customWidth="1"/>
    <col min="4" max="4" width="27.6640625" style="4" customWidth="1"/>
    <col min="5" max="6" width="9.6640625" style="4" customWidth="1"/>
    <col min="7" max="7" width="3.88671875" style="4" customWidth="1"/>
    <col min="8" max="10" width="1.6640625" style="4" customWidth="1"/>
    <col min="11" max="11" width="27.6640625" style="4" customWidth="1"/>
    <col min="12" max="16384" width="9.109375" style="4"/>
  </cols>
  <sheetData>
    <row r="1" spans="1:13" x14ac:dyDescent="0.25">
      <c r="A1" s="118" t="s">
        <v>166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3" spans="1:13" x14ac:dyDescent="0.25">
      <c r="E3" s="10" t="s">
        <v>149</v>
      </c>
      <c r="F3" s="10" t="s">
        <v>150</v>
      </c>
      <c r="L3" s="10" t="s">
        <v>149</v>
      </c>
      <c r="M3" s="10" t="s">
        <v>150</v>
      </c>
    </row>
    <row r="4" spans="1:13" x14ac:dyDescent="0.25">
      <c r="A4" s="3" t="s">
        <v>9</v>
      </c>
      <c r="B4" s="3"/>
      <c r="C4" s="3"/>
      <c r="D4" s="3"/>
      <c r="E4" s="7">
        <f>E5+E21+E31</f>
        <v>5680615.4399999995</v>
      </c>
      <c r="F4" s="7">
        <f>F5+F21+F31</f>
        <v>5225415.76</v>
      </c>
      <c r="H4" s="3" t="s">
        <v>10</v>
      </c>
      <c r="I4" s="3"/>
      <c r="J4" s="3"/>
      <c r="K4" s="3"/>
      <c r="L4" s="7">
        <f>L5+L17+L24</f>
        <v>5680615.3799999999</v>
      </c>
      <c r="M4" s="7">
        <f>M5+M17+M24</f>
        <v>5225415.76</v>
      </c>
    </row>
    <row r="5" spans="1:13" x14ac:dyDescent="0.25">
      <c r="A5" s="6" t="s">
        <v>8</v>
      </c>
      <c r="B5" s="6" t="s">
        <v>88</v>
      </c>
      <c r="C5" s="6"/>
      <c r="D5" s="1"/>
      <c r="E5" s="7">
        <f>E6+E7+E17+E18+E19</f>
        <v>1654649.4599999997</v>
      </c>
      <c r="F5" s="7">
        <f>F6+F7+F17+F18+F19</f>
        <v>1368859.74</v>
      </c>
      <c r="H5" s="6" t="s">
        <v>8</v>
      </c>
      <c r="I5" s="6" t="s">
        <v>91</v>
      </c>
      <c r="J5" s="6"/>
      <c r="K5" s="1"/>
      <c r="L5" s="7">
        <f>SUM(L6:L15)</f>
        <v>4351155.84</v>
      </c>
      <c r="M5" s="7">
        <f>SUM(M6:M15)</f>
        <v>4150238.05</v>
      </c>
    </row>
    <row r="6" spans="1:13" x14ac:dyDescent="0.25">
      <c r="A6" s="1"/>
      <c r="B6" s="1"/>
      <c r="C6" s="1" t="s">
        <v>0</v>
      </c>
      <c r="E6" s="5">
        <v>76930.14</v>
      </c>
      <c r="F6" s="5">
        <v>44541.56</v>
      </c>
      <c r="H6" s="1"/>
      <c r="I6" s="1"/>
      <c r="J6" s="13" t="s">
        <v>148</v>
      </c>
      <c r="L6" s="5">
        <v>590201.21</v>
      </c>
      <c r="M6" s="5">
        <v>737028.58</v>
      </c>
    </row>
    <row r="7" spans="1:13" x14ac:dyDescent="0.25">
      <c r="A7" s="1"/>
      <c r="B7" s="1"/>
      <c r="C7" s="1" t="s">
        <v>12</v>
      </c>
      <c r="E7" s="5">
        <f>SUM(E8:E16)</f>
        <v>1188716.3199999998</v>
      </c>
      <c r="F7" s="5">
        <f>SUM(F8:F16)</f>
        <v>1000933.3200000002</v>
      </c>
      <c r="H7" s="1"/>
      <c r="I7" s="1"/>
      <c r="J7" s="13" t="s">
        <v>33</v>
      </c>
      <c r="L7" s="5">
        <v>5810.89</v>
      </c>
      <c r="M7" s="5">
        <v>29483.66</v>
      </c>
    </row>
    <row r="8" spans="1:13" x14ac:dyDescent="0.25">
      <c r="A8" s="1"/>
      <c r="B8" s="1"/>
      <c r="C8" s="1"/>
      <c r="D8" s="1" t="s">
        <v>139</v>
      </c>
      <c r="E8" s="5">
        <v>148672.44</v>
      </c>
      <c r="F8" s="5">
        <v>136928.49</v>
      </c>
      <c r="H8" s="1"/>
      <c r="I8" s="1"/>
      <c r="J8" s="1" t="s">
        <v>34</v>
      </c>
      <c r="L8" s="5">
        <v>883247.56</v>
      </c>
      <c r="M8" s="5">
        <v>1336264.51</v>
      </c>
    </row>
    <row r="9" spans="1:13" x14ac:dyDescent="0.25">
      <c r="A9" s="1"/>
      <c r="B9" s="1"/>
      <c r="C9" s="1"/>
      <c r="D9" s="1" t="s">
        <v>140</v>
      </c>
      <c r="E9" s="5">
        <v>635889.73</v>
      </c>
      <c r="F9" s="5">
        <v>545170.53</v>
      </c>
      <c r="H9" s="1"/>
      <c r="I9" s="1"/>
      <c r="J9" s="1" t="s">
        <v>35</v>
      </c>
      <c r="L9" s="5">
        <v>-65395</v>
      </c>
      <c r="M9" s="5">
        <v>-183157.9</v>
      </c>
    </row>
    <row r="10" spans="1:13" x14ac:dyDescent="0.25">
      <c r="A10" s="1"/>
      <c r="B10" s="1"/>
      <c r="C10" s="1"/>
      <c r="D10" s="1" t="s">
        <v>141</v>
      </c>
      <c r="E10" s="5">
        <v>92</v>
      </c>
      <c r="F10" s="5">
        <v>0</v>
      </c>
      <c r="H10" s="1"/>
      <c r="I10" s="1"/>
      <c r="J10" s="13" t="s">
        <v>36</v>
      </c>
      <c r="L10" s="5">
        <v>952741.74</v>
      </c>
      <c r="M10" s="5">
        <v>1242370.3600000001</v>
      </c>
    </row>
    <row r="11" spans="1:13" x14ac:dyDescent="0.25">
      <c r="A11" s="1"/>
      <c r="B11" s="1"/>
      <c r="C11" s="1"/>
      <c r="D11" s="1" t="s">
        <v>142</v>
      </c>
      <c r="E11" s="5">
        <v>215853.02</v>
      </c>
      <c r="F11" s="5">
        <v>199992.57</v>
      </c>
      <c r="H11" s="1"/>
      <c r="I11" s="1"/>
      <c r="J11" s="13" t="s">
        <v>37</v>
      </c>
      <c r="L11" s="5">
        <v>855727.01</v>
      </c>
      <c r="M11" s="5">
        <v>391683.13</v>
      </c>
    </row>
    <row r="12" spans="1:13" x14ac:dyDescent="0.25">
      <c r="A12" s="1"/>
      <c r="B12" s="1"/>
      <c r="C12" s="1"/>
      <c r="D12" s="1" t="s">
        <v>143</v>
      </c>
      <c r="E12" s="5">
        <v>215151.53</v>
      </c>
      <c r="F12" s="5">
        <v>138862.14000000001</v>
      </c>
      <c r="H12" s="1"/>
      <c r="I12" s="1"/>
      <c r="J12" s="13" t="s">
        <v>38</v>
      </c>
      <c r="L12" s="5">
        <v>769895.27</v>
      </c>
      <c r="M12" s="5">
        <v>215217.67</v>
      </c>
    </row>
    <row r="13" spans="1:13" x14ac:dyDescent="0.25">
      <c r="A13" s="1"/>
      <c r="B13" s="1"/>
      <c r="C13" s="1"/>
      <c r="D13" s="1" t="s">
        <v>144</v>
      </c>
      <c r="E13" s="5">
        <v>110373.15</v>
      </c>
      <c r="F13" s="5">
        <v>36031.29</v>
      </c>
      <c r="H13" s="1"/>
      <c r="I13" s="1"/>
      <c r="J13" s="12" t="s">
        <v>39</v>
      </c>
      <c r="L13" s="5">
        <v>5367.7</v>
      </c>
      <c r="M13" s="5">
        <v>0</v>
      </c>
    </row>
    <row r="14" spans="1:13" x14ac:dyDescent="0.25">
      <c r="A14" s="1"/>
      <c r="B14" s="1"/>
      <c r="C14" s="1"/>
      <c r="D14" s="1" t="s">
        <v>145</v>
      </c>
      <c r="E14" s="5">
        <v>6066</v>
      </c>
      <c r="F14" s="5">
        <v>18995.849999999999</v>
      </c>
      <c r="H14" s="1"/>
      <c r="I14" s="1"/>
      <c r="J14" s="1" t="s">
        <v>40</v>
      </c>
      <c r="L14" s="5">
        <f>324372.79+29186.67</f>
        <v>353559.45999999996</v>
      </c>
      <c r="M14" s="5">
        <f>312020.3+28081.95</f>
        <v>340102.25</v>
      </c>
    </row>
    <row r="15" spans="1:13" x14ac:dyDescent="0.25">
      <c r="A15" s="1"/>
      <c r="B15" s="1"/>
      <c r="C15" s="1"/>
      <c r="D15" s="1" t="s">
        <v>13</v>
      </c>
      <c r="E15" s="5">
        <v>27215.06</v>
      </c>
      <c r="F15" s="5">
        <v>45173.79</v>
      </c>
      <c r="H15" s="1"/>
      <c r="I15" s="1"/>
      <c r="J15" s="13" t="s">
        <v>45</v>
      </c>
      <c r="L15" s="5">
        <v>0</v>
      </c>
      <c r="M15" s="5">
        <v>41245.79</v>
      </c>
    </row>
    <row r="16" spans="1:13" x14ac:dyDescent="0.25">
      <c r="A16" s="1"/>
      <c r="B16" s="1"/>
      <c r="C16" s="1"/>
      <c r="D16" s="1" t="s">
        <v>31</v>
      </c>
      <c r="E16" s="5">
        <v>-170596.61</v>
      </c>
      <c r="F16" s="5">
        <v>-120221.34</v>
      </c>
      <c r="H16" s="1"/>
      <c r="I16" s="1"/>
      <c r="J16" s="1"/>
      <c r="K16" s="1"/>
      <c r="L16" s="5"/>
      <c r="M16" s="5"/>
    </row>
    <row r="17" spans="1:13" x14ac:dyDescent="0.25">
      <c r="A17" s="1"/>
      <c r="B17" s="1"/>
      <c r="C17" s="1" t="s">
        <v>1</v>
      </c>
      <c r="D17" s="1"/>
      <c r="E17" s="5">
        <v>279049</v>
      </c>
      <c r="F17" s="5">
        <v>267474.84000000003</v>
      </c>
      <c r="I17" s="9" t="s">
        <v>92</v>
      </c>
      <c r="J17" s="9"/>
      <c r="K17" s="1"/>
      <c r="L17" s="7">
        <f>SUM(L18:L22)</f>
        <v>1064143.47</v>
      </c>
      <c r="M17" s="7">
        <f>SUM(M18:M22)</f>
        <v>2397366.46</v>
      </c>
    </row>
    <row r="18" spans="1:13" x14ac:dyDescent="0.25">
      <c r="A18" s="1"/>
      <c r="B18" s="1"/>
      <c r="C18" s="1" t="s">
        <v>14</v>
      </c>
      <c r="D18" s="1"/>
      <c r="E18" s="5">
        <v>77990</v>
      </c>
      <c r="F18" s="5">
        <v>35818.39</v>
      </c>
      <c r="H18" s="1"/>
      <c r="I18" s="1"/>
      <c r="J18" s="1" t="s">
        <v>5</v>
      </c>
      <c r="L18" s="5">
        <v>84615.99</v>
      </c>
      <c r="M18" s="5">
        <v>95754.87</v>
      </c>
    </row>
    <row r="19" spans="1:13" x14ac:dyDescent="0.25">
      <c r="A19" s="1"/>
      <c r="B19" s="1"/>
      <c r="C19" s="1" t="s">
        <v>15</v>
      </c>
      <c r="D19" s="1"/>
      <c r="E19" s="5">
        <v>31964</v>
      </c>
      <c r="F19" s="5">
        <v>20091.63</v>
      </c>
      <c r="H19" s="1"/>
      <c r="I19" s="1"/>
      <c r="J19" s="1" t="s">
        <v>34</v>
      </c>
      <c r="L19" s="5">
        <v>461925.5</v>
      </c>
      <c r="M19" s="5">
        <v>463626.75</v>
      </c>
    </row>
    <row r="20" spans="1:13" x14ac:dyDescent="0.25">
      <c r="A20" s="1"/>
      <c r="B20" s="1"/>
      <c r="C20" s="1"/>
      <c r="D20" s="1"/>
      <c r="E20" s="1"/>
      <c r="F20" s="1"/>
      <c r="H20" s="1"/>
      <c r="I20" s="1"/>
      <c r="J20" s="1" t="s">
        <v>41</v>
      </c>
      <c r="L20" s="5">
        <v>148173.98000000001</v>
      </c>
      <c r="M20" s="5">
        <v>167389.37</v>
      </c>
    </row>
    <row r="21" spans="1:13" x14ac:dyDescent="0.25">
      <c r="A21" s="1"/>
      <c r="B21" s="9" t="s">
        <v>89</v>
      </c>
      <c r="C21" s="9"/>
      <c r="D21" s="1"/>
      <c r="E21" s="7">
        <f>E22+E23+E29</f>
        <v>197192.11999999988</v>
      </c>
      <c r="F21" s="7">
        <f>F22+F23+F29</f>
        <v>201124.94000000024</v>
      </c>
      <c r="H21" s="1"/>
      <c r="I21" s="1"/>
      <c r="J21" s="1" t="s">
        <v>42</v>
      </c>
      <c r="L21" s="5">
        <v>369428</v>
      </c>
      <c r="M21" s="5">
        <v>317481.2</v>
      </c>
    </row>
    <row r="22" spans="1:13" x14ac:dyDescent="0.25">
      <c r="A22" s="1"/>
      <c r="B22" s="1"/>
      <c r="C22" s="1" t="s">
        <v>2</v>
      </c>
      <c r="E22" s="5">
        <v>300</v>
      </c>
      <c r="F22" s="5">
        <v>4636.3900000000003</v>
      </c>
      <c r="H22" s="1"/>
      <c r="I22" s="1"/>
      <c r="J22" s="13" t="s">
        <v>46</v>
      </c>
      <c r="L22" s="5">
        <v>0</v>
      </c>
      <c r="M22" s="5">
        <v>1353114.27</v>
      </c>
    </row>
    <row r="23" spans="1:13" x14ac:dyDescent="0.25">
      <c r="A23" s="1"/>
      <c r="B23" s="1"/>
      <c r="C23" s="1" t="s">
        <v>12</v>
      </c>
      <c r="E23" s="5">
        <f>SUM(E24:E28)</f>
        <v>120060.72999999986</v>
      </c>
      <c r="F23" s="5">
        <f>SUM(F24:F28)</f>
        <v>112850.01000000024</v>
      </c>
      <c r="H23" s="1"/>
      <c r="I23" s="1"/>
      <c r="J23" s="1"/>
      <c r="K23" s="1"/>
      <c r="L23" s="5"/>
      <c r="M23" s="5"/>
    </row>
    <row r="24" spans="1:13" x14ac:dyDescent="0.25">
      <c r="A24" s="1"/>
      <c r="B24" s="1"/>
      <c r="C24" s="1"/>
      <c r="D24" s="1" t="s">
        <v>146</v>
      </c>
      <c r="E24" s="5">
        <v>121088.56</v>
      </c>
      <c r="F24" s="5">
        <v>121088.56</v>
      </c>
      <c r="I24" s="6" t="s">
        <v>93</v>
      </c>
      <c r="J24" s="6"/>
      <c r="K24" s="1"/>
      <c r="L24" s="7">
        <f>SUM(L25:L26)</f>
        <v>265316.07</v>
      </c>
      <c r="M24" s="7">
        <f>SUM(M25:M26)</f>
        <v>-1322188.75</v>
      </c>
    </row>
    <row r="25" spans="1:13" x14ac:dyDescent="0.25">
      <c r="A25" s="1"/>
      <c r="B25" s="1"/>
      <c r="C25" s="1"/>
      <c r="D25" s="1" t="s">
        <v>16</v>
      </c>
      <c r="E25" s="5">
        <v>50867.32</v>
      </c>
      <c r="F25" s="5">
        <v>50867.32</v>
      </c>
      <c r="H25" s="1"/>
      <c r="I25" s="1"/>
      <c r="J25" s="1" t="s">
        <v>43</v>
      </c>
      <c r="L25" s="5">
        <v>265316.07</v>
      </c>
      <c r="M25" s="5">
        <v>265316.07</v>
      </c>
    </row>
    <row r="26" spans="1:13" x14ac:dyDescent="0.25">
      <c r="A26" s="1"/>
      <c r="B26" s="1"/>
      <c r="C26" s="1"/>
      <c r="D26" s="1" t="s">
        <v>17</v>
      </c>
      <c r="E26" s="5">
        <v>717904.59</v>
      </c>
      <c r="F26" s="5">
        <v>758841.93</v>
      </c>
      <c r="H26" s="1"/>
      <c r="I26" s="1"/>
      <c r="J26" s="1" t="s">
        <v>44</v>
      </c>
      <c r="L26" s="5">
        <v>0</v>
      </c>
      <c r="M26" s="5">
        <v>-1587504.82</v>
      </c>
    </row>
    <row r="27" spans="1:13" x14ac:dyDescent="0.25">
      <c r="A27" s="1"/>
      <c r="B27" s="1"/>
      <c r="C27" s="1"/>
      <c r="D27" s="1" t="s">
        <v>13</v>
      </c>
      <c r="E27" s="5">
        <v>192276.41</v>
      </c>
      <c r="F27" s="5">
        <v>210615.89</v>
      </c>
    </row>
    <row r="28" spans="1:13" x14ac:dyDescent="0.25">
      <c r="A28" s="1"/>
      <c r="B28" s="1"/>
      <c r="C28" s="1"/>
      <c r="D28" s="1" t="s">
        <v>31</v>
      </c>
      <c r="E28" s="5">
        <v>-962076.15</v>
      </c>
      <c r="F28" s="5">
        <v>-1028563.69</v>
      </c>
    </row>
    <row r="29" spans="1:13" x14ac:dyDescent="0.25">
      <c r="A29" s="1"/>
      <c r="B29" s="1"/>
      <c r="C29" s="1" t="s">
        <v>4</v>
      </c>
      <c r="E29" s="5">
        <v>76831.39</v>
      </c>
      <c r="F29" s="5">
        <v>83638.539999999994</v>
      </c>
    </row>
    <row r="30" spans="1:13" x14ac:dyDescent="0.25">
      <c r="A30" s="1"/>
      <c r="B30" s="1"/>
      <c r="C30" s="1"/>
      <c r="D30" s="1"/>
      <c r="E30" s="1"/>
      <c r="F30" s="1"/>
    </row>
    <row r="31" spans="1:13" x14ac:dyDescent="0.25">
      <c r="A31" s="1"/>
      <c r="B31" s="3" t="s">
        <v>90</v>
      </c>
      <c r="C31" s="9"/>
      <c r="D31" s="1"/>
      <c r="E31" s="7">
        <f>E32+E34</f>
        <v>3828773.8600000003</v>
      </c>
      <c r="F31" s="7">
        <f>F32+F34</f>
        <v>3655431.0799999991</v>
      </c>
    </row>
    <row r="32" spans="1:13" x14ac:dyDescent="0.25">
      <c r="A32" s="1"/>
      <c r="B32" s="1"/>
      <c r="C32" s="1" t="s">
        <v>18</v>
      </c>
      <c r="E32" s="5">
        <f>E33</f>
        <v>2300</v>
      </c>
      <c r="F32" s="5">
        <f>F33</f>
        <v>7610.55</v>
      </c>
    </row>
    <row r="33" spans="1:6" x14ac:dyDescent="0.25">
      <c r="A33" s="1"/>
      <c r="B33" s="1"/>
      <c r="C33" s="1"/>
      <c r="D33" s="1" t="s">
        <v>147</v>
      </c>
      <c r="E33" s="5">
        <v>2300</v>
      </c>
      <c r="F33" s="5">
        <v>7610.55</v>
      </c>
    </row>
    <row r="34" spans="1:6" x14ac:dyDescent="0.25">
      <c r="A34" s="1"/>
      <c r="B34" s="1"/>
      <c r="C34" s="85" t="s">
        <v>3</v>
      </c>
      <c r="D34" s="85"/>
      <c r="E34" s="5">
        <f>SUM(E35:E41)</f>
        <v>3826473.8600000003</v>
      </c>
      <c r="F34" s="5">
        <f>SUM(F35:F41)</f>
        <v>3647820.5299999993</v>
      </c>
    </row>
    <row r="35" spans="1:6" x14ac:dyDescent="0.25">
      <c r="A35" s="1"/>
      <c r="B35" s="1"/>
      <c r="C35" s="85"/>
      <c r="D35" s="85" t="s">
        <v>19</v>
      </c>
      <c r="E35" s="5">
        <v>4106846.47</v>
      </c>
      <c r="F35" s="5">
        <v>4135726.59</v>
      </c>
    </row>
    <row r="36" spans="1:6" x14ac:dyDescent="0.25">
      <c r="A36" s="1"/>
      <c r="B36" s="1"/>
      <c r="C36" s="85"/>
      <c r="D36" s="85" t="s">
        <v>163</v>
      </c>
      <c r="E36" s="5">
        <v>1561033.86</v>
      </c>
      <c r="F36" s="5">
        <v>1594855.51</v>
      </c>
    </row>
    <row r="37" spans="1:6" x14ac:dyDescent="0.25">
      <c r="A37" s="1"/>
      <c r="B37" s="1"/>
      <c r="C37" s="85"/>
      <c r="D37" s="85" t="s">
        <v>20</v>
      </c>
      <c r="E37" s="5">
        <v>484331.54</v>
      </c>
      <c r="F37" s="5">
        <v>508849.29</v>
      </c>
    </row>
    <row r="38" spans="1:6" x14ac:dyDescent="0.25">
      <c r="A38" s="1"/>
      <c r="B38" s="1"/>
      <c r="C38" s="85"/>
      <c r="D38" s="85" t="s">
        <v>21</v>
      </c>
      <c r="E38" s="5">
        <v>17300</v>
      </c>
      <c r="F38" s="5">
        <v>16200</v>
      </c>
    </row>
    <row r="39" spans="1:6" x14ac:dyDescent="0.25">
      <c r="A39" s="1"/>
      <c r="B39" s="1"/>
      <c r="C39" s="85"/>
      <c r="D39" s="85" t="s">
        <v>164</v>
      </c>
      <c r="E39" s="5">
        <v>447389</v>
      </c>
      <c r="F39" s="5">
        <v>486256</v>
      </c>
    </row>
    <row r="40" spans="1:6" x14ac:dyDescent="0.25">
      <c r="A40" s="1"/>
      <c r="B40" s="1"/>
      <c r="C40" s="85"/>
      <c r="D40" s="85" t="s">
        <v>22</v>
      </c>
      <c r="E40" s="5">
        <v>267971.15000000002</v>
      </c>
      <c r="F40" s="5">
        <v>320204.18</v>
      </c>
    </row>
    <row r="41" spans="1:6" x14ac:dyDescent="0.25">
      <c r="A41" s="1"/>
      <c r="B41" s="1"/>
      <c r="C41" s="1"/>
      <c r="D41" s="13" t="s">
        <v>32</v>
      </c>
      <c r="E41" s="5">
        <v>-3058398.16</v>
      </c>
      <c r="F41" s="1">
        <v>-3414271.04</v>
      </c>
    </row>
    <row r="42" spans="1:6" x14ac:dyDescent="0.25">
      <c r="A42" s="1"/>
      <c r="B42" s="1"/>
      <c r="C42" s="1"/>
      <c r="D42" s="1"/>
      <c r="E42" s="1"/>
      <c r="F42" s="2"/>
    </row>
    <row r="62" s="8" customFormat="1" x14ac:dyDescent="0.25"/>
    <row r="66" spans="1:15" x14ac:dyDescent="0.25">
      <c r="A66" s="1"/>
      <c r="B66" s="1"/>
      <c r="C66" s="1"/>
      <c r="D66" s="1"/>
      <c r="E66" s="5"/>
      <c r="F66" s="5"/>
      <c r="G66" s="2"/>
      <c r="H66" s="5"/>
      <c r="I66" s="5"/>
      <c r="J66" s="5"/>
      <c r="K66" s="5"/>
      <c r="L66" s="11"/>
      <c r="M66" s="11"/>
      <c r="N66" s="5"/>
      <c r="O66" s="1"/>
    </row>
    <row r="67" spans="1:15" x14ac:dyDescent="0.25">
      <c r="E67" s="14" t="s">
        <v>8</v>
      </c>
      <c r="F67" s="17" t="s">
        <v>8</v>
      </c>
    </row>
    <row r="68" spans="1:15" x14ac:dyDescent="0.25">
      <c r="E68" s="16" t="s">
        <v>8</v>
      </c>
      <c r="F68" s="16" t="s">
        <v>8</v>
      </c>
    </row>
    <row r="69" spans="1:15" x14ac:dyDescent="0.25">
      <c r="F69" s="15" t="s">
        <v>8</v>
      </c>
    </row>
    <row r="70" spans="1:15" x14ac:dyDescent="0.25">
      <c r="E70" s="14" t="s">
        <v>8</v>
      </c>
    </row>
    <row r="104" ht="9.75" customHeight="1" x14ac:dyDescent="0.25"/>
    <row r="105" ht="9.75" customHeight="1" x14ac:dyDescent="0.25"/>
    <row r="106" ht="9.75" customHeight="1" x14ac:dyDescent="0.25"/>
    <row r="107" ht="9.75" customHeight="1" x14ac:dyDescent="0.25"/>
    <row r="108" ht="9.75" customHeight="1" x14ac:dyDescent="0.25"/>
    <row r="109" ht="9.75" customHeight="1" x14ac:dyDescent="0.25"/>
    <row r="110" ht="9.75" customHeight="1" x14ac:dyDescent="0.25"/>
    <row r="111" ht="9.75" customHeight="1" x14ac:dyDescent="0.25"/>
    <row r="112" ht="9.75" customHeight="1" x14ac:dyDescent="0.25"/>
    <row r="113" spans="1:6" s="8" customFormat="1" ht="9.75" customHeight="1" x14ac:dyDescent="0.25">
      <c r="A113" s="4"/>
      <c r="B113" s="4"/>
      <c r="C113" s="4"/>
      <c r="D113" s="4"/>
      <c r="E113" s="4"/>
      <c r="F113" s="4"/>
    </row>
    <row r="114" spans="1:6" ht="9.75" customHeight="1" x14ac:dyDescent="0.25">
      <c r="A114" s="8"/>
      <c r="B114" s="8"/>
      <c r="C114" s="8"/>
      <c r="D114" s="8"/>
      <c r="E114" s="8"/>
      <c r="F114" s="8"/>
    </row>
    <row r="115" spans="1:6" ht="9.75" customHeight="1" x14ac:dyDescent="0.25"/>
    <row r="116" spans="1:6" ht="9.75" customHeight="1" x14ac:dyDescent="0.25"/>
    <row r="117" spans="1:6" ht="9.75" customHeight="1" x14ac:dyDescent="0.25"/>
    <row r="118" spans="1:6" ht="9.75" customHeight="1" x14ac:dyDescent="0.25"/>
    <row r="119" spans="1:6" ht="9.75" customHeight="1" x14ac:dyDescent="0.25"/>
    <row r="120" spans="1:6" ht="9.75" customHeight="1" x14ac:dyDescent="0.25"/>
    <row r="121" spans="1:6" ht="9.75" customHeight="1" x14ac:dyDescent="0.25"/>
    <row r="122" spans="1:6" ht="9.75" customHeight="1" x14ac:dyDescent="0.25"/>
    <row r="123" spans="1:6" ht="9.75" customHeight="1" x14ac:dyDescent="0.25"/>
    <row r="124" spans="1:6" ht="9.75" customHeight="1" x14ac:dyDescent="0.25"/>
    <row r="125" spans="1:6" ht="9.75" customHeight="1" x14ac:dyDescent="0.25"/>
    <row r="126" spans="1:6" ht="9.75" customHeight="1" x14ac:dyDescent="0.25"/>
    <row r="127" spans="1:6" s="8" customFormat="1" ht="9.75" customHeight="1" x14ac:dyDescent="0.25">
      <c r="A127" s="4"/>
      <c r="B127" s="4"/>
      <c r="C127" s="4"/>
      <c r="D127" s="4"/>
      <c r="E127" s="4"/>
      <c r="F127" s="4"/>
    </row>
    <row r="128" spans="1:6" ht="9.75" customHeight="1" x14ac:dyDescent="0.25">
      <c r="A128" s="8"/>
      <c r="B128" s="8"/>
      <c r="C128" s="8"/>
      <c r="D128" s="8"/>
      <c r="E128" s="8"/>
      <c r="F128" s="8"/>
    </row>
    <row r="129" spans="1:6" s="8" customFormat="1" ht="9.75" customHeight="1" x14ac:dyDescent="0.25">
      <c r="A129" s="4"/>
      <c r="B129" s="4"/>
      <c r="C129" s="4"/>
      <c r="D129" s="4"/>
      <c r="E129" s="4"/>
      <c r="F129" s="4"/>
    </row>
    <row r="130" spans="1:6" ht="9.75" customHeight="1" x14ac:dyDescent="0.25">
      <c r="A130" s="8"/>
      <c r="B130" s="8"/>
      <c r="C130" s="8"/>
      <c r="D130" s="8"/>
      <c r="E130" s="8"/>
      <c r="F130" s="8"/>
    </row>
    <row r="131" spans="1:6" s="8" customFormat="1" ht="9.75" customHeight="1" x14ac:dyDescent="0.25">
      <c r="A131" s="4"/>
      <c r="B131" s="4"/>
      <c r="C131" s="4"/>
      <c r="D131" s="4"/>
      <c r="E131" s="4"/>
      <c r="F131" s="4"/>
    </row>
    <row r="132" spans="1:6" ht="9.75" customHeight="1" x14ac:dyDescent="0.25">
      <c r="A132" s="8"/>
      <c r="B132" s="8"/>
      <c r="C132" s="8"/>
      <c r="D132" s="8"/>
      <c r="E132" s="8"/>
      <c r="F132" s="8"/>
    </row>
    <row r="133" spans="1:6" ht="9.75" customHeight="1" x14ac:dyDescent="0.25"/>
    <row r="134" spans="1:6" s="8" customFormat="1" ht="9.75" customHeight="1" x14ac:dyDescent="0.25">
      <c r="A134" s="4"/>
      <c r="B134" s="4"/>
      <c r="C134" s="4"/>
      <c r="D134" s="4"/>
      <c r="E134" s="4"/>
      <c r="F134" s="4"/>
    </row>
    <row r="135" spans="1:6" ht="9.75" customHeight="1" x14ac:dyDescent="0.25">
      <c r="A135" s="8"/>
      <c r="B135" s="8"/>
      <c r="C135" s="8"/>
      <c r="D135" s="8"/>
      <c r="E135" s="8"/>
      <c r="F135" s="8"/>
    </row>
    <row r="136" spans="1:6" s="8" customFormat="1" ht="9.75" customHeight="1" x14ac:dyDescent="0.25">
      <c r="A136" s="4"/>
      <c r="B136" s="4"/>
      <c r="C136" s="4"/>
      <c r="D136" s="4"/>
      <c r="E136" s="4"/>
      <c r="F136" s="4"/>
    </row>
    <row r="137" spans="1:6" ht="9.75" customHeight="1" x14ac:dyDescent="0.25">
      <c r="A137" s="8"/>
      <c r="B137" s="8"/>
      <c r="C137" s="8"/>
      <c r="D137" s="8"/>
      <c r="E137" s="8"/>
      <c r="F137" s="8"/>
    </row>
    <row r="138" spans="1:6" ht="9.75" customHeight="1" x14ac:dyDescent="0.25"/>
    <row r="139" spans="1:6" ht="9.75" customHeight="1" x14ac:dyDescent="0.25"/>
    <row r="140" spans="1:6" ht="9.75" customHeight="1" x14ac:dyDescent="0.25"/>
    <row r="141" spans="1:6" ht="9.75" customHeight="1" x14ac:dyDescent="0.25"/>
    <row r="142" spans="1:6" ht="9.75" customHeight="1" x14ac:dyDescent="0.25"/>
    <row r="143" spans="1:6" ht="9.75" customHeight="1" x14ac:dyDescent="0.25"/>
    <row r="144" spans="1:6" ht="9.75" customHeight="1" x14ac:dyDescent="0.25"/>
    <row r="145" spans="1:6" ht="9.75" customHeight="1" x14ac:dyDescent="0.25"/>
    <row r="146" spans="1:6" ht="9.75" customHeight="1" x14ac:dyDescent="0.25"/>
    <row r="147" spans="1:6" s="6" customFormat="1" ht="9.75" customHeight="1" x14ac:dyDescent="0.25">
      <c r="A147" s="4"/>
      <c r="B147" s="4"/>
      <c r="C147" s="4"/>
      <c r="D147" s="4"/>
      <c r="E147" s="4"/>
      <c r="F147" s="4"/>
    </row>
    <row r="148" spans="1:6" x14ac:dyDescent="0.25">
      <c r="A148" s="6"/>
      <c r="B148" s="6"/>
      <c r="C148" s="6"/>
      <c r="D148" s="6"/>
      <c r="E148" s="6"/>
      <c r="F148" s="6"/>
    </row>
  </sheetData>
  <mergeCells count="1">
    <mergeCell ref="A1:M1"/>
  </mergeCells>
  <phoneticPr fontId="11" type="noConversion"/>
  <pageMargins left="0.78740157499999996" right="0.78740157499999996" top="0.984251969" bottom="0.984251969" header="0.49212598499999999" footer="0.49212598499999999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showGridLines="0" zoomScale="85" zoomScaleNormal="85" workbookViewId="0">
      <selection activeCell="C34" sqref="C34"/>
    </sheetView>
  </sheetViews>
  <sheetFormatPr defaultColWidth="9.109375" defaultRowHeight="13.2" x14ac:dyDescent="0.25"/>
  <cols>
    <col min="1" max="1" width="1.6640625" style="4" customWidth="1"/>
    <col min="2" max="2" width="5.109375" style="4" customWidth="1"/>
    <col min="3" max="3" width="37.44140625" style="4" customWidth="1"/>
    <col min="4" max="5" width="9.6640625" style="4" customWidth="1"/>
    <col min="6" max="7" width="9.109375" style="4"/>
    <col min="8" max="8" width="9.6640625" style="4" bestFit="1" customWidth="1"/>
    <col min="9" max="16384" width="9.109375" style="4"/>
  </cols>
  <sheetData>
    <row r="1" spans="1:8" x14ac:dyDescent="0.25">
      <c r="A1" s="118" t="s">
        <v>167</v>
      </c>
      <c r="B1" s="118"/>
      <c r="C1" s="118"/>
      <c r="D1" s="118"/>
      <c r="E1" s="118"/>
    </row>
    <row r="2" spans="1:8" x14ac:dyDescent="0.25">
      <c r="A2" s="19"/>
      <c r="B2" s="19"/>
      <c r="C2" s="19"/>
      <c r="D2" s="19"/>
      <c r="E2" s="19"/>
    </row>
    <row r="3" spans="1:8" x14ac:dyDescent="0.25">
      <c r="D3" s="10" t="str">
        <f>'B.P.'!E3</f>
        <v>Ano 1</v>
      </c>
      <c r="E3" s="10" t="str">
        <f>'B.P.'!F3</f>
        <v>Ano 2</v>
      </c>
    </row>
    <row r="4" spans="1:8" x14ac:dyDescent="0.25">
      <c r="D4" s="10" t="s">
        <v>87</v>
      </c>
      <c r="E4" s="10" t="s">
        <v>87</v>
      </c>
    </row>
    <row r="5" spans="1:8" x14ac:dyDescent="0.25">
      <c r="A5" s="3" t="s">
        <v>68</v>
      </c>
      <c r="B5" s="3"/>
      <c r="C5" s="3"/>
      <c r="D5" s="7">
        <f>SUM(D6:D13)</f>
        <v>1500000</v>
      </c>
      <c r="E5" s="7">
        <f>SUM(E6:E13)</f>
        <v>5850000</v>
      </c>
      <c r="F5" s="7" t="s">
        <v>8</v>
      </c>
      <c r="G5" s="14" t="s">
        <v>8</v>
      </c>
      <c r="H5" s="14" t="s">
        <v>8</v>
      </c>
    </row>
    <row r="6" spans="1:8" x14ac:dyDescent="0.25">
      <c r="A6" s="6" t="s">
        <v>8</v>
      </c>
      <c r="B6" s="1" t="s">
        <v>153</v>
      </c>
      <c r="C6" s="1"/>
      <c r="D6" s="5">
        <v>100000</v>
      </c>
      <c r="E6" s="5">
        <v>350000</v>
      </c>
    </row>
    <row r="7" spans="1:8" x14ac:dyDescent="0.25">
      <c r="A7" s="1"/>
      <c r="B7" s="1" t="s">
        <v>154</v>
      </c>
      <c r="D7" s="5">
        <v>100000</v>
      </c>
      <c r="E7" s="5">
        <v>400000</v>
      </c>
    </row>
    <row r="8" spans="1:8" x14ac:dyDescent="0.25">
      <c r="A8" s="1"/>
      <c r="B8" s="1" t="s">
        <v>155</v>
      </c>
      <c r="D8" s="5">
        <v>150000</v>
      </c>
      <c r="E8" s="5">
        <v>600000</v>
      </c>
    </row>
    <row r="9" spans="1:8" x14ac:dyDescent="0.25">
      <c r="A9" s="1"/>
      <c r="B9" s="1" t="s">
        <v>156</v>
      </c>
      <c r="D9" s="5">
        <v>150000</v>
      </c>
      <c r="E9" s="5">
        <v>800000</v>
      </c>
    </row>
    <row r="10" spans="1:8" x14ac:dyDescent="0.25">
      <c r="A10" s="1"/>
      <c r="B10" s="1" t="s">
        <v>157</v>
      </c>
      <c r="D10" s="5">
        <v>200000</v>
      </c>
      <c r="E10" s="5">
        <v>850000</v>
      </c>
    </row>
    <row r="11" spans="1:8" x14ac:dyDescent="0.25">
      <c r="A11" s="1"/>
      <c r="B11" s="1" t="s">
        <v>158</v>
      </c>
      <c r="D11" s="5">
        <v>200000</v>
      </c>
      <c r="E11" s="5">
        <v>1000000</v>
      </c>
    </row>
    <row r="12" spans="1:8" x14ac:dyDescent="0.25">
      <c r="A12" s="1"/>
      <c r="B12" s="1" t="s">
        <v>159</v>
      </c>
      <c r="D12" s="5">
        <v>300000</v>
      </c>
      <c r="E12" s="5">
        <v>900000</v>
      </c>
    </row>
    <row r="13" spans="1:8" x14ac:dyDescent="0.25">
      <c r="A13" s="1"/>
      <c r="B13" s="1" t="s">
        <v>160</v>
      </c>
      <c r="D13" s="5">
        <v>300000</v>
      </c>
      <c r="E13" s="18">
        <v>950000</v>
      </c>
    </row>
    <row r="14" spans="1:8" x14ac:dyDescent="0.25">
      <c r="A14" s="6" t="s">
        <v>69</v>
      </c>
      <c r="D14" s="7">
        <f>D15</f>
        <v>100000</v>
      </c>
      <c r="E14" s="7">
        <f>E15</f>
        <v>300000</v>
      </c>
    </row>
    <row r="15" spans="1:8" x14ac:dyDescent="0.25">
      <c r="A15" s="1"/>
      <c r="B15" s="1" t="s">
        <v>152</v>
      </c>
      <c r="D15" s="5">
        <v>100000</v>
      </c>
      <c r="E15" s="5">
        <v>300000</v>
      </c>
    </row>
    <row r="16" spans="1:8" x14ac:dyDescent="0.25">
      <c r="A16" s="6" t="s">
        <v>11</v>
      </c>
      <c r="D16" s="7">
        <f>D5-D14</f>
        <v>1400000</v>
      </c>
      <c r="E16" s="7">
        <f>E5-E14</f>
        <v>5550000</v>
      </c>
    </row>
    <row r="17" spans="1:5" x14ac:dyDescent="0.25">
      <c r="A17" s="9" t="s">
        <v>70</v>
      </c>
      <c r="D17" s="7">
        <f>SUM(D18:D19)</f>
        <v>100000</v>
      </c>
      <c r="E17" s="7">
        <f>SUM(E18:E19)</f>
        <v>240000</v>
      </c>
    </row>
    <row r="18" spans="1:5" x14ac:dyDescent="0.25">
      <c r="A18" s="1"/>
      <c r="B18" s="1" t="s">
        <v>161</v>
      </c>
      <c r="C18" s="1"/>
      <c r="D18" s="5">
        <v>50000</v>
      </c>
      <c r="E18" s="5">
        <v>120000</v>
      </c>
    </row>
    <row r="19" spans="1:5" x14ac:dyDescent="0.25">
      <c r="A19" s="1"/>
      <c r="B19" s="13" t="s">
        <v>162</v>
      </c>
      <c r="C19" s="1"/>
      <c r="D19" s="5">
        <v>50000</v>
      </c>
      <c r="E19" s="5">
        <v>120000</v>
      </c>
    </row>
    <row r="20" spans="1:5" x14ac:dyDescent="0.25">
      <c r="A20" s="9" t="s">
        <v>71</v>
      </c>
      <c r="C20" s="1"/>
      <c r="D20" s="7">
        <f>D16-D17</f>
        <v>1300000</v>
      </c>
      <c r="E20" s="7">
        <f>E16-E17</f>
        <v>5310000</v>
      </c>
    </row>
    <row r="21" spans="1:5" x14ac:dyDescent="0.25">
      <c r="A21" s="6" t="s">
        <v>72</v>
      </c>
      <c r="B21" s="1"/>
      <c r="C21" s="1"/>
      <c r="D21" s="7">
        <f>SUM(D22:D26)</f>
        <v>300000</v>
      </c>
      <c r="E21" s="7">
        <f>SUM(E22:E26)</f>
        <v>478000</v>
      </c>
    </row>
    <row r="22" spans="1:5" x14ac:dyDescent="0.25">
      <c r="B22" s="12" t="s">
        <v>73</v>
      </c>
      <c r="C22" s="1"/>
      <c r="D22" s="5">
        <v>200000</v>
      </c>
      <c r="E22" s="5">
        <v>400000</v>
      </c>
    </row>
    <row r="23" spans="1:5" x14ac:dyDescent="0.25">
      <c r="A23" s="1"/>
      <c r="B23" s="1" t="s">
        <v>74</v>
      </c>
      <c r="D23" s="5">
        <v>5000</v>
      </c>
      <c r="E23" s="5">
        <v>5000</v>
      </c>
    </row>
    <row r="24" spans="1:5" x14ac:dyDescent="0.25">
      <c r="A24" s="1"/>
      <c r="B24" s="13" t="s">
        <v>85</v>
      </c>
      <c r="D24" s="5">
        <v>80000</v>
      </c>
      <c r="E24" s="5">
        <v>40000</v>
      </c>
    </row>
    <row r="25" spans="1:5" x14ac:dyDescent="0.25">
      <c r="A25" s="1"/>
      <c r="B25" s="1" t="s">
        <v>75</v>
      </c>
      <c r="D25" s="5">
        <v>5000</v>
      </c>
      <c r="E25" s="5">
        <v>8000</v>
      </c>
    </row>
    <row r="26" spans="1:5" x14ac:dyDescent="0.25">
      <c r="A26" s="1"/>
      <c r="B26" s="1" t="s">
        <v>76</v>
      </c>
      <c r="D26" s="5">
        <v>10000</v>
      </c>
      <c r="E26" s="5">
        <v>25000</v>
      </c>
    </row>
    <row r="27" spans="1:5" x14ac:dyDescent="0.25">
      <c r="A27" s="9" t="s">
        <v>77</v>
      </c>
      <c r="D27" s="7">
        <f>D20-D21</f>
        <v>1000000</v>
      </c>
      <c r="E27" s="7">
        <f>E20-E21</f>
        <v>4832000</v>
      </c>
    </row>
    <row r="28" spans="1:5" x14ac:dyDescent="0.25">
      <c r="A28" s="1" t="s">
        <v>78</v>
      </c>
      <c r="D28" s="7">
        <f>SUM(D29:D30)</f>
        <v>18000</v>
      </c>
      <c r="E28" s="7">
        <f>SUM(E29:E30)</f>
        <v>45000</v>
      </c>
    </row>
    <row r="29" spans="1:5" x14ac:dyDescent="0.25">
      <c r="A29" s="1"/>
      <c r="B29" s="1" t="s">
        <v>79</v>
      </c>
      <c r="D29" s="5">
        <v>20000</v>
      </c>
      <c r="E29" s="5">
        <v>50000</v>
      </c>
    </row>
    <row r="30" spans="1:5" x14ac:dyDescent="0.25">
      <c r="B30" s="13" t="s">
        <v>80</v>
      </c>
      <c r="D30" s="5">
        <v>-2000</v>
      </c>
      <c r="E30" s="5">
        <v>-5000</v>
      </c>
    </row>
    <row r="31" spans="1:5" x14ac:dyDescent="0.25">
      <c r="A31" s="13" t="s">
        <v>81</v>
      </c>
      <c r="D31" s="7">
        <f>SUM(D32:D33)</f>
        <v>-200</v>
      </c>
      <c r="E31" s="7">
        <f>SUM(E32:E33)</f>
        <v>-1000</v>
      </c>
    </row>
    <row r="32" spans="1:5" x14ac:dyDescent="0.25">
      <c r="A32" s="1"/>
      <c r="B32" s="1" t="s">
        <v>82</v>
      </c>
      <c r="C32" s="1"/>
      <c r="D32" s="5">
        <v>1000</v>
      </c>
      <c r="E32" s="5">
        <v>3000</v>
      </c>
    </row>
    <row r="33" spans="1:5" x14ac:dyDescent="0.25">
      <c r="B33" s="85" t="s">
        <v>83</v>
      </c>
      <c r="D33" s="5">
        <v>-1200</v>
      </c>
      <c r="E33" s="5">
        <v>-4000</v>
      </c>
    </row>
    <row r="34" spans="1:5" x14ac:dyDescent="0.25">
      <c r="A34" s="9" t="s">
        <v>84</v>
      </c>
      <c r="D34" s="7">
        <f>D27-D28-D31</f>
        <v>982200</v>
      </c>
      <c r="E34" s="7">
        <f>E27-E28-E31</f>
        <v>4788000</v>
      </c>
    </row>
    <row r="52" spans="1:5" s="8" customFormat="1" x14ac:dyDescent="0.25"/>
    <row r="56" spans="1:5" x14ac:dyDescent="0.25">
      <c r="A56" s="1"/>
      <c r="B56" s="1"/>
      <c r="C56" s="1"/>
      <c r="D56" s="5"/>
      <c r="E56" s="5"/>
    </row>
    <row r="57" spans="1:5" x14ac:dyDescent="0.25">
      <c r="D57" s="14" t="s">
        <v>8</v>
      </c>
      <c r="E57" s="17" t="s">
        <v>8</v>
      </c>
    </row>
    <row r="58" spans="1:5" x14ac:dyDescent="0.25">
      <c r="D58" s="16" t="s">
        <v>8</v>
      </c>
      <c r="E58" s="16" t="s">
        <v>8</v>
      </c>
    </row>
    <row r="59" spans="1:5" x14ac:dyDescent="0.25">
      <c r="E59" s="15" t="s">
        <v>8</v>
      </c>
    </row>
    <row r="60" spans="1:5" x14ac:dyDescent="0.25">
      <c r="D60" s="14" t="s">
        <v>8</v>
      </c>
    </row>
    <row r="94" ht="9.75" customHeight="1" x14ac:dyDescent="0.25"/>
    <row r="95" ht="9.75" customHeight="1" x14ac:dyDescent="0.25"/>
    <row r="96" ht="9.75" customHeight="1" x14ac:dyDescent="0.25"/>
    <row r="97" spans="1:5" ht="9.75" customHeight="1" x14ac:dyDescent="0.25"/>
    <row r="98" spans="1:5" ht="9.75" customHeight="1" x14ac:dyDescent="0.25"/>
    <row r="99" spans="1:5" ht="9.75" customHeight="1" x14ac:dyDescent="0.25"/>
    <row r="100" spans="1:5" ht="9.75" customHeight="1" x14ac:dyDescent="0.25"/>
    <row r="101" spans="1:5" ht="9.75" customHeight="1" x14ac:dyDescent="0.25"/>
    <row r="102" spans="1:5" ht="9.75" customHeight="1" x14ac:dyDescent="0.25"/>
    <row r="103" spans="1:5" s="8" customFormat="1" ht="9.75" customHeight="1" x14ac:dyDescent="0.25">
      <c r="A103" s="4"/>
      <c r="B103" s="4"/>
      <c r="C103" s="4"/>
      <c r="D103" s="4"/>
      <c r="E103" s="4"/>
    </row>
    <row r="104" spans="1:5" ht="9.75" customHeight="1" x14ac:dyDescent="0.25">
      <c r="A104" s="8"/>
      <c r="B104" s="8"/>
      <c r="C104" s="8"/>
      <c r="D104" s="8"/>
      <c r="E104" s="8"/>
    </row>
    <row r="105" spans="1:5" ht="9.75" customHeight="1" x14ac:dyDescent="0.25"/>
    <row r="106" spans="1:5" ht="9.75" customHeight="1" x14ac:dyDescent="0.25"/>
    <row r="107" spans="1:5" ht="9.75" customHeight="1" x14ac:dyDescent="0.25"/>
    <row r="108" spans="1:5" ht="9.75" customHeight="1" x14ac:dyDescent="0.25"/>
    <row r="109" spans="1:5" ht="9.75" customHeight="1" x14ac:dyDescent="0.25"/>
    <row r="110" spans="1:5" ht="9.75" customHeight="1" x14ac:dyDescent="0.25"/>
    <row r="111" spans="1:5" ht="9.75" customHeight="1" x14ac:dyDescent="0.25"/>
    <row r="112" spans="1:5" ht="9.75" customHeight="1" x14ac:dyDescent="0.25"/>
    <row r="113" spans="1:5" ht="9.75" customHeight="1" x14ac:dyDescent="0.25"/>
    <row r="114" spans="1:5" ht="9.75" customHeight="1" x14ac:dyDescent="0.25"/>
    <row r="115" spans="1:5" ht="9.75" customHeight="1" x14ac:dyDescent="0.25"/>
    <row r="116" spans="1:5" ht="9.75" customHeight="1" x14ac:dyDescent="0.25"/>
    <row r="117" spans="1:5" s="8" customFormat="1" ht="9.75" customHeight="1" x14ac:dyDescent="0.25">
      <c r="A117" s="4"/>
      <c r="B117" s="4"/>
      <c r="C117" s="4"/>
      <c r="D117" s="4"/>
      <c r="E117" s="4"/>
    </row>
    <row r="118" spans="1:5" ht="9.75" customHeight="1" x14ac:dyDescent="0.25">
      <c r="A118" s="8"/>
      <c r="B118" s="8"/>
      <c r="C118" s="8"/>
      <c r="D118" s="8"/>
      <c r="E118" s="8"/>
    </row>
    <row r="119" spans="1:5" s="8" customFormat="1" ht="9.75" customHeight="1" x14ac:dyDescent="0.25">
      <c r="A119" s="4"/>
      <c r="B119" s="4"/>
      <c r="C119" s="4"/>
      <c r="D119" s="4"/>
      <c r="E119" s="4"/>
    </row>
    <row r="120" spans="1:5" ht="9.75" customHeight="1" x14ac:dyDescent="0.25">
      <c r="A120" s="8"/>
      <c r="B120" s="8"/>
      <c r="C120" s="8"/>
      <c r="D120" s="8"/>
      <c r="E120" s="8"/>
    </row>
    <row r="121" spans="1:5" s="8" customFormat="1" ht="9.75" customHeight="1" x14ac:dyDescent="0.25">
      <c r="A121" s="4"/>
      <c r="B121" s="4"/>
      <c r="C121" s="4"/>
      <c r="D121" s="4"/>
      <c r="E121" s="4"/>
    </row>
    <row r="122" spans="1:5" ht="9.75" customHeight="1" x14ac:dyDescent="0.25">
      <c r="A122" s="8"/>
      <c r="B122" s="8"/>
      <c r="C122" s="8"/>
      <c r="D122" s="8"/>
      <c r="E122" s="8"/>
    </row>
    <row r="123" spans="1:5" ht="9.75" customHeight="1" x14ac:dyDescent="0.25"/>
    <row r="124" spans="1:5" s="8" customFormat="1" ht="9.75" customHeight="1" x14ac:dyDescent="0.25">
      <c r="A124" s="4"/>
      <c r="B124" s="4"/>
      <c r="C124" s="4"/>
      <c r="D124" s="4"/>
      <c r="E124" s="4"/>
    </row>
    <row r="125" spans="1:5" ht="9.75" customHeight="1" x14ac:dyDescent="0.25">
      <c r="A125" s="8"/>
      <c r="B125" s="8"/>
      <c r="C125" s="8"/>
      <c r="D125" s="8"/>
      <c r="E125" s="8"/>
    </row>
    <row r="126" spans="1:5" s="8" customFormat="1" ht="9.75" customHeight="1" x14ac:dyDescent="0.25">
      <c r="A126" s="4"/>
      <c r="B126" s="4"/>
      <c r="C126" s="4"/>
      <c r="D126" s="4"/>
      <c r="E126" s="4"/>
    </row>
    <row r="127" spans="1:5" ht="9.75" customHeight="1" x14ac:dyDescent="0.25">
      <c r="A127" s="8"/>
      <c r="B127" s="8"/>
      <c r="C127" s="8"/>
      <c r="D127" s="8"/>
      <c r="E127" s="8"/>
    </row>
    <row r="128" spans="1:5" ht="9.75" customHeight="1" x14ac:dyDescent="0.25"/>
    <row r="129" spans="1:5" ht="9.75" customHeight="1" x14ac:dyDescent="0.25"/>
    <row r="130" spans="1:5" ht="9.75" customHeight="1" x14ac:dyDescent="0.25"/>
    <row r="131" spans="1:5" ht="9.75" customHeight="1" x14ac:dyDescent="0.25"/>
    <row r="132" spans="1:5" ht="9.75" customHeight="1" x14ac:dyDescent="0.25"/>
    <row r="133" spans="1:5" ht="9.75" customHeight="1" x14ac:dyDescent="0.25"/>
    <row r="134" spans="1:5" ht="9.75" customHeight="1" x14ac:dyDescent="0.25"/>
    <row r="135" spans="1:5" ht="9.75" customHeight="1" x14ac:dyDescent="0.25"/>
    <row r="136" spans="1:5" ht="9.75" customHeight="1" x14ac:dyDescent="0.25"/>
    <row r="137" spans="1:5" s="6" customFormat="1" ht="9.75" customHeight="1" x14ac:dyDescent="0.25">
      <c r="A137" s="4"/>
      <c r="B137" s="4"/>
      <c r="C137" s="4"/>
      <c r="D137" s="4"/>
      <c r="E137" s="4"/>
    </row>
    <row r="138" spans="1:5" x14ac:dyDescent="0.25">
      <c r="A138" s="6"/>
      <c r="B138" s="6"/>
      <c r="C138" s="6"/>
      <c r="D138" s="6"/>
      <c r="E138" s="6"/>
    </row>
  </sheetData>
  <mergeCells count="1">
    <mergeCell ref="A1:E1"/>
  </mergeCells>
  <phoneticPr fontId="1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S75"/>
  <sheetViews>
    <sheetView showGridLines="0" topLeftCell="A49" workbookViewId="0">
      <selection activeCell="K11" sqref="K11"/>
    </sheetView>
  </sheetViews>
  <sheetFormatPr defaultColWidth="9.109375" defaultRowHeight="13.2" x14ac:dyDescent="0.25"/>
  <cols>
    <col min="1" max="2" width="1.109375" style="34" customWidth="1"/>
    <col min="3" max="3" width="2" style="34" customWidth="1"/>
    <col min="4" max="4" width="34.6640625" style="34" customWidth="1"/>
    <col min="5" max="6" width="10.6640625" style="34" customWidth="1"/>
    <col min="7" max="7" width="2.6640625" style="34" customWidth="1"/>
    <col min="8" max="9" width="8.6640625" style="34" customWidth="1"/>
    <col min="10" max="10" width="2.6640625" style="34" customWidth="1"/>
    <col min="11" max="11" width="9.6640625" style="34" customWidth="1"/>
    <col min="12" max="12" width="9.6640625" style="34" bestFit="1" customWidth="1"/>
    <col min="13" max="16384" width="9.109375" style="34"/>
  </cols>
  <sheetData>
    <row r="3" spans="1:12" ht="15.6" x14ac:dyDescent="0.3">
      <c r="A3" s="120" t="s">
        <v>166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</row>
    <row r="4" spans="1:1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2" x14ac:dyDescent="0.25">
      <c r="H5" s="118" t="s">
        <v>7</v>
      </c>
      <c r="I5" s="118"/>
      <c r="K5" s="70" t="s">
        <v>86</v>
      </c>
    </row>
    <row r="6" spans="1:12" x14ac:dyDescent="0.25">
      <c r="E6" s="19" t="str">
        <f>'B.P.'!E3</f>
        <v>Ano 1</v>
      </c>
      <c r="F6" s="19" t="str">
        <f>'B.P.'!F3</f>
        <v>Ano 2</v>
      </c>
      <c r="G6" s="59"/>
      <c r="H6" s="19" t="str">
        <f>E6</f>
        <v>Ano 1</v>
      </c>
      <c r="I6" s="19" t="str">
        <f>F6</f>
        <v>Ano 2</v>
      </c>
      <c r="J6" s="59"/>
      <c r="K6" s="19" t="s">
        <v>151</v>
      </c>
    </row>
    <row r="7" spans="1:12" x14ac:dyDescent="0.25">
      <c r="E7" s="19" t="s">
        <v>87</v>
      </c>
      <c r="F7" s="19" t="s">
        <v>87</v>
      </c>
      <c r="G7" s="59"/>
      <c r="H7" s="19" t="s">
        <v>51</v>
      </c>
      <c r="I7" s="19" t="s">
        <v>51</v>
      </c>
      <c r="J7" s="59"/>
      <c r="K7" s="19" t="s">
        <v>51</v>
      </c>
    </row>
    <row r="8" spans="1:12" x14ac:dyDescent="0.25">
      <c r="A8" s="71" t="str">
        <f>'B.P.'!A4</f>
        <v>ATIVO TOTAL</v>
      </c>
      <c r="B8" s="71"/>
      <c r="C8" s="71"/>
      <c r="D8" s="71"/>
      <c r="E8" s="72">
        <f>E9+E25+E35</f>
        <v>5680615.4399999995</v>
      </c>
      <c r="F8" s="72">
        <f>F9+F25+F35</f>
        <v>5225415.76</v>
      </c>
      <c r="G8" s="71"/>
      <c r="H8" s="73">
        <f>H9+H25+H35</f>
        <v>100.00000000000003</v>
      </c>
      <c r="I8" s="73">
        <f>I9+I25+I35</f>
        <v>99.999999999999986</v>
      </c>
      <c r="J8" s="71"/>
      <c r="K8" s="74">
        <f t="shared" ref="K8:K23" si="0">((F8/E8)-1)*100</f>
        <v>-8.013210624938905</v>
      </c>
      <c r="L8" s="34" t="s">
        <v>8</v>
      </c>
    </row>
    <row r="9" spans="1:12" x14ac:dyDescent="0.25">
      <c r="A9" s="8" t="s">
        <v>8</v>
      </c>
      <c r="B9" s="8" t="str">
        <f>'B.P.'!B5</f>
        <v>ATIVO CIRCULANTE</v>
      </c>
      <c r="C9" s="8"/>
      <c r="E9" s="75">
        <f>E10+E11+E21+E22+E23</f>
        <v>1654649.4599999997</v>
      </c>
      <c r="F9" s="75">
        <f>F10+F11+F21+F22+F23</f>
        <v>1368859.74</v>
      </c>
      <c r="H9" s="76">
        <f>H10+H11+H21+H22+H23</f>
        <v>29.127996384842419</v>
      </c>
      <c r="I9" s="76">
        <f>I10+I11+I21+I22+I23</f>
        <v>26.196188071358364</v>
      </c>
      <c r="K9" s="53">
        <f t="shared" si="0"/>
        <v>-17.271919334503629</v>
      </c>
    </row>
    <row r="10" spans="1:12" x14ac:dyDescent="0.25">
      <c r="C10" s="34" t="str">
        <f>'B.P.'!C6</f>
        <v>Disponibilidade</v>
      </c>
      <c r="E10" s="60">
        <f>'B.P.'!E6</f>
        <v>76930.14</v>
      </c>
      <c r="F10" s="60">
        <f>'B.P.'!F6</f>
        <v>44541.56</v>
      </c>
      <c r="H10" s="53">
        <f>(E10/E8)*100</f>
        <v>1.3542571366175775</v>
      </c>
      <c r="I10" s="53">
        <f>(F10/F8)*100</f>
        <v>0.85240222110096742</v>
      </c>
      <c r="K10" s="53">
        <f t="shared" si="0"/>
        <v>-42.101288259712</v>
      </c>
      <c r="L10" s="34" t="s">
        <v>8</v>
      </c>
    </row>
    <row r="11" spans="1:12" x14ac:dyDescent="0.25">
      <c r="C11" s="34" t="str">
        <f>'B.P.'!C7</f>
        <v>Contas a Receber</v>
      </c>
      <c r="E11" s="60">
        <f>SUM(E12:E20)</f>
        <v>1188716.3199999998</v>
      </c>
      <c r="F11" s="60">
        <f>SUM(F12:F20)</f>
        <v>1000933.3200000002</v>
      </c>
      <c r="H11" s="53">
        <f>SUM(H12:H20)</f>
        <v>20.925836866718093</v>
      </c>
      <c r="I11" s="53">
        <f>SUM(I12:I20)</f>
        <v>19.155094368988546</v>
      </c>
      <c r="K11" s="53">
        <f t="shared" si="0"/>
        <v>-15.797124750503944</v>
      </c>
    </row>
    <row r="12" spans="1:12" x14ac:dyDescent="0.25">
      <c r="D12" s="34" t="str">
        <f>'B.P.'!D8</f>
        <v>Contas a Receber - Tipo 1</v>
      </c>
      <c r="E12" s="60">
        <f>'B.P.'!E8</f>
        <v>148672.44</v>
      </c>
      <c r="F12" s="60">
        <f>'B.P.'!F8</f>
        <v>136928.49</v>
      </c>
      <c r="H12" s="53">
        <f>(E12/E8)*100</f>
        <v>2.6171889572584766</v>
      </c>
      <c r="I12" s="53">
        <f>(F12/F8)*100</f>
        <v>2.6204324457428436</v>
      </c>
      <c r="K12" s="53">
        <f t="shared" si="0"/>
        <v>-7.8992111786152286</v>
      </c>
    </row>
    <row r="13" spans="1:12" x14ac:dyDescent="0.25">
      <c r="D13" s="34" t="str">
        <f>'B.P.'!D9</f>
        <v>Contas a Receber - Tipo 2</v>
      </c>
      <c r="E13" s="60">
        <f>'B.P.'!E9</f>
        <v>635889.73</v>
      </c>
      <c r="F13" s="60">
        <f>'B.P.'!F9</f>
        <v>545170.53</v>
      </c>
      <c r="H13" s="53">
        <f>(E13/E8)*100</f>
        <v>11.194028828679169</v>
      </c>
      <c r="I13" s="53">
        <f>(F13/F8)*100</f>
        <v>10.433055569916986</v>
      </c>
      <c r="K13" s="53">
        <f t="shared" si="0"/>
        <v>-14.266498689953677</v>
      </c>
    </row>
    <row r="14" spans="1:12" x14ac:dyDescent="0.25">
      <c r="D14" s="34" t="str">
        <f>'B.P.'!D10</f>
        <v>Contas a Receber - Tipo 3</v>
      </c>
      <c r="E14" s="60">
        <f>'B.P.'!E10</f>
        <v>92</v>
      </c>
      <c r="F14" s="60">
        <f>'B.P.'!F10</f>
        <v>0</v>
      </c>
      <c r="H14" s="53">
        <f>(E14/E8)*100</f>
        <v>1.6195428289720664E-3</v>
      </c>
      <c r="I14" s="53">
        <f>(F14/F8)*100</f>
        <v>0</v>
      </c>
      <c r="K14" s="53">
        <f t="shared" si="0"/>
        <v>-100</v>
      </c>
    </row>
    <row r="15" spans="1:12" x14ac:dyDescent="0.25">
      <c r="D15" s="34" t="str">
        <f>'B.P.'!D11</f>
        <v>Contas a Receber - Tipo 4</v>
      </c>
      <c r="E15" s="60">
        <f>'B.P.'!E11</f>
        <v>215853.02</v>
      </c>
      <c r="F15" s="60">
        <f>'B.P.'!F11</f>
        <v>199992.57</v>
      </c>
      <c r="H15" s="53">
        <f>(E15/E8)*100</f>
        <v>3.7998175070974352</v>
      </c>
      <c r="I15" s="53">
        <f>(F15/F8)*100</f>
        <v>3.8273044516557282</v>
      </c>
      <c r="K15" s="53">
        <f t="shared" si="0"/>
        <v>-7.3478008322514938</v>
      </c>
    </row>
    <row r="16" spans="1:12" x14ac:dyDescent="0.25">
      <c r="D16" s="34" t="str">
        <f>'B.P.'!D12</f>
        <v>Contas a Receber - Tipo 5</v>
      </c>
      <c r="E16" s="60">
        <f>'B.P.'!E12</f>
        <v>215151.53</v>
      </c>
      <c r="F16" s="60">
        <f>'B.P.'!F12</f>
        <v>138862.14000000001</v>
      </c>
      <c r="H16" s="53">
        <f>(E16/E8)*100</f>
        <v>3.787468669063788</v>
      </c>
      <c r="I16" s="53">
        <f>(F16/F8)*100</f>
        <v>2.6574371567325774</v>
      </c>
      <c r="K16" s="53">
        <f t="shared" si="0"/>
        <v>-35.458446426107216</v>
      </c>
    </row>
    <row r="17" spans="2:13" x14ac:dyDescent="0.25">
      <c r="D17" s="34" t="str">
        <f>'B.P.'!D13</f>
        <v>Contas a Receber - Tipo 6</v>
      </c>
      <c r="E17" s="60">
        <f>'B.P.'!E13</f>
        <v>110373.15</v>
      </c>
      <c r="F17" s="60">
        <f>'B.P.'!F13</f>
        <v>36031.29</v>
      </c>
      <c r="H17" s="53">
        <f>(E17/E8)*100</f>
        <v>1.9429787347125895</v>
      </c>
      <c r="I17" s="53">
        <f>(F17/F8)*100</f>
        <v>0.68953919946075259</v>
      </c>
      <c r="K17" s="53">
        <f t="shared" si="0"/>
        <v>-67.355022485088085</v>
      </c>
    </row>
    <row r="18" spans="2:13" x14ac:dyDescent="0.25">
      <c r="D18" s="34" t="str">
        <f>'B.P.'!D14</f>
        <v>Contas a Receber - Tipo 7</v>
      </c>
      <c r="E18" s="60">
        <f>'B.P.'!E14</f>
        <v>6066</v>
      </c>
      <c r="F18" s="60">
        <f>'B.P.'!F14</f>
        <v>18995.849999999999</v>
      </c>
      <c r="H18" s="53">
        <f>(E18/E8)*100</f>
        <v>0.10678420435374517</v>
      </c>
      <c r="I18" s="53">
        <f>(F18/F8)*100</f>
        <v>0.36352801140554603</v>
      </c>
      <c r="K18" s="53">
        <f t="shared" si="0"/>
        <v>213.15281899109789</v>
      </c>
    </row>
    <row r="19" spans="2:13" x14ac:dyDescent="0.25">
      <c r="D19" s="34" t="str">
        <f>'B.P.'!D15</f>
        <v>Outros Créditos</v>
      </c>
      <c r="E19" s="60">
        <f>'B.P.'!E15</f>
        <v>27215.06</v>
      </c>
      <c r="F19" s="60">
        <f>'B.P.'!F15</f>
        <v>45173.79</v>
      </c>
      <c r="H19" s="53">
        <f>(E19/E8)*100</f>
        <v>0.47908647025048406</v>
      </c>
      <c r="I19" s="53">
        <f>(F19/F8)*100</f>
        <v>0.86450135405110817</v>
      </c>
      <c r="K19" s="53">
        <f t="shared" si="0"/>
        <v>65.988206529766984</v>
      </c>
    </row>
    <row r="20" spans="2:13" x14ac:dyDescent="0.25">
      <c r="D20" s="34" t="str">
        <f>'B.P.'!D16</f>
        <v>(-) Provisão p/Créd. Liquid. Duvidosa</v>
      </c>
      <c r="E20" s="60">
        <f>'B.P.'!E16</f>
        <v>-170596.61</v>
      </c>
      <c r="F20" s="60">
        <f>'B.P.'!F16</f>
        <v>-120221.34</v>
      </c>
      <c r="H20" s="53">
        <f>(E20/E8)*100</f>
        <v>-3.0031360475265689</v>
      </c>
      <c r="I20" s="53">
        <f>(F20/F8)*100</f>
        <v>-2.3007038199769965</v>
      </c>
      <c r="K20" s="53">
        <f t="shared" si="0"/>
        <v>-29.528881025244281</v>
      </c>
    </row>
    <row r="21" spans="2:13" x14ac:dyDescent="0.25">
      <c r="C21" s="34" t="str">
        <f>'B.P.'!C17</f>
        <v>Estoques</v>
      </c>
      <c r="E21" s="60">
        <f>'B.P.'!E17</f>
        <v>279049</v>
      </c>
      <c r="F21" s="60">
        <f>'B.P.'!F17</f>
        <v>267474.84000000003</v>
      </c>
      <c r="H21" s="53">
        <f>(E21/E8)*100</f>
        <v>4.9123022487155019</v>
      </c>
      <c r="I21" s="53">
        <f>(F21/F8)*100</f>
        <v>5.1187283899492053</v>
      </c>
      <c r="K21" s="53">
        <f t="shared" si="0"/>
        <v>-4.1477159925317642</v>
      </c>
    </row>
    <row r="22" spans="2:13" x14ac:dyDescent="0.25">
      <c r="C22" s="34" t="str">
        <f>'B.P.'!C18</f>
        <v>Adiantamentos</v>
      </c>
      <c r="E22" s="60">
        <f>'B.P.'!E18</f>
        <v>77990</v>
      </c>
      <c r="F22" s="60">
        <f>'B.P.'!F18</f>
        <v>35818.39</v>
      </c>
      <c r="H22" s="53">
        <f>(E22/E8)*100</f>
        <v>1.372914622081864</v>
      </c>
      <c r="I22" s="53">
        <f>(F22/F8)*100</f>
        <v>0.68546488251109039</v>
      </c>
      <c r="K22" s="53">
        <f t="shared" si="0"/>
        <v>-54.073099115271184</v>
      </c>
    </row>
    <row r="23" spans="2:13" x14ac:dyDescent="0.25">
      <c r="C23" s="34" t="str">
        <f>'B.P.'!C19</f>
        <v>Despesas Antecipadas</v>
      </c>
      <c r="E23" s="60">
        <f>'B.P.'!E19</f>
        <v>31964</v>
      </c>
      <c r="F23" s="60">
        <f>'B.P.'!F19</f>
        <v>20091.63</v>
      </c>
      <c r="H23" s="53">
        <f>(E23/E8)*100</f>
        <v>0.56268551070938189</v>
      </c>
      <c r="I23" s="53">
        <f>(F23/F8)*100</f>
        <v>0.38449820880855617</v>
      </c>
      <c r="K23" s="53">
        <f t="shared" si="0"/>
        <v>-37.142942059817294</v>
      </c>
    </row>
    <row r="24" spans="2:13" x14ac:dyDescent="0.25">
      <c r="H24" s="38"/>
      <c r="I24" s="38"/>
    </row>
    <row r="25" spans="2:13" x14ac:dyDescent="0.25">
      <c r="B25" s="70" t="str">
        <f>'B.P.'!B21</f>
        <v>ATIVO REALIZÁVEL A LONGO PRAZO</v>
      </c>
      <c r="C25" s="70"/>
      <c r="E25" s="75">
        <f>E26+E27+E33</f>
        <v>197192.11999999988</v>
      </c>
      <c r="F25" s="75">
        <f>F26+F27+F33</f>
        <v>201124.94000000024</v>
      </c>
      <c r="H25" s="76">
        <f>H26+H27+H33</f>
        <v>3.4713161290847747</v>
      </c>
      <c r="I25" s="76">
        <f>I26+I27+I33</f>
        <v>3.8489748804217681</v>
      </c>
      <c r="K25" s="53">
        <f t="shared" ref="K25:K33" si="1">((F25/E25)-1)*100</f>
        <v>1.9944103243072497</v>
      </c>
    </row>
    <row r="26" spans="2:13" x14ac:dyDescent="0.25">
      <c r="C26" s="34" t="str">
        <f>'B.P.'!C22</f>
        <v>Aplicações financeiras</v>
      </c>
      <c r="E26" s="60">
        <f>'B.P.'!E22</f>
        <v>300</v>
      </c>
      <c r="F26" s="60">
        <f>'B.P.'!F22</f>
        <v>4636.3900000000003</v>
      </c>
      <c r="H26" s="53">
        <f>(E26/E8)*100</f>
        <v>5.2811179205610867E-3</v>
      </c>
      <c r="I26" s="53">
        <f>(F26/F8)*100</f>
        <v>8.8727676666248659E-2</v>
      </c>
      <c r="K26" s="53">
        <f t="shared" si="1"/>
        <v>1445.4633333333334</v>
      </c>
    </row>
    <row r="27" spans="2:13" x14ac:dyDescent="0.25">
      <c r="C27" s="34" t="str">
        <f>'B.P.'!C23</f>
        <v>Contas a Receber</v>
      </c>
      <c r="E27" s="60">
        <f>SUM(E28:E32)</f>
        <v>120060.72999999986</v>
      </c>
      <c r="F27" s="60">
        <f>SUM(F28:F32)</f>
        <v>112850.01000000024</v>
      </c>
      <c r="H27" s="53">
        <f>SUM(H28:H32)</f>
        <v>2.1135162425288208</v>
      </c>
      <c r="I27" s="53">
        <f>SUM(I28:I32)</f>
        <v>2.1596369587249882</v>
      </c>
      <c r="K27" s="53">
        <f t="shared" si="1"/>
        <v>-6.0058938505534893</v>
      </c>
    </row>
    <row r="28" spans="2:13" x14ac:dyDescent="0.25">
      <c r="D28" s="34" t="str">
        <f>'B.P.'!D24</f>
        <v>Contas a Receber - Tipo 8</v>
      </c>
      <c r="E28" s="60">
        <f>'B.P.'!E24</f>
        <v>121088.56</v>
      </c>
      <c r="F28" s="60">
        <f>'B.P.'!F24</f>
        <v>121088.56</v>
      </c>
      <c r="H28" s="53">
        <f>(E28/E8)*100</f>
        <v>2.1316098806364545</v>
      </c>
      <c r="I28" s="53">
        <f>(F28/F8)*100</f>
        <v>2.3173000113583306</v>
      </c>
      <c r="K28" s="53">
        <f t="shared" si="1"/>
        <v>0</v>
      </c>
    </row>
    <row r="29" spans="2:13" x14ac:dyDescent="0.25">
      <c r="D29" s="34" t="str">
        <f>'B.P.'!D25</f>
        <v>Créditos a Recuperar</v>
      </c>
      <c r="E29" s="60">
        <f>'B.P.'!E25</f>
        <v>50867.32</v>
      </c>
      <c r="F29" s="60">
        <f>'B.P.'!F25</f>
        <v>50867.32</v>
      </c>
      <c r="H29" s="53">
        <f>(E29/E8)*100</f>
        <v>0.89545438407638467</v>
      </c>
      <c r="I29" s="53">
        <f>(F29/F8)*100</f>
        <v>0.97345976542926804</v>
      </c>
      <c r="K29" s="53">
        <f t="shared" si="1"/>
        <v>0</v>
      </c>
    </row>
    <row r="30" spans="2:13" x14ac:dyDescent="0.25">
      <c r="D30" s="34" t="str">
        <f>'B.P.'!D26</f>
        <v>Contas em Cobrança Judicial</v>
      </c>
      <c r="E30" s="60">
        <f>'B.P.'!E26</f>
        <v>717904.59</v>
      </c>
      <c r="F30" s="60">
        <f>'B.P.'!F26</f>
        <v>758841.93</v>
      </c>
      <c r="H30" s="53">
        <f>(E30/E8)*100</f>
        <v>12.637795985006864</v>
      </c>
      <c r="I30" s="53">
        <f>(F30/F8)*100</f>
        <v>14.522134981274679</v>
      </c>
      <c r="K30" s="53">
        <f t="shared" si="1"/>
        <v>5.7023371308992488</v>
      </c>
      <c r="M30" s="53"/>
    </row>
    <row r="31" spans="2:13" x14ac:dyDescent="0.25">
      <c r="D31" s="34" t="str">
        <f>'B.P.'!D27</f>
        <v>Outros Créditos</v>
      </c>
      <c r="E31" s="60">
        <f>'B.P.'!E27</f>
        <v>192276.41</v>
      </c>
      <c r="F31" s="60">
        <f>'B.P.'!F27</f>
        <v>210615.89</v>
      </c>
      <c r="H31" s="53">
        <f>(E31/E8)*100</f>
        <v>3.3847813151738362</v>
      </c>
      <c r="I31" s="53">
        <f>(F31/F8)*100</f>
        <v>4.0306054039229222</v>
      </c>
      <c r="K31" s="53">
        <f t="shared" si="1"/>
        <v>9.5380811405829888</v>
      </c>
      <c r="M31" s="53"/>
    </row>
    <row r="32" spans="2:13" x14ac:dyDescent="0.25">
      <c r="D32" s="34" t="str">
        <f>'B.P.'!D28</f>
        <v>(-) Provisão p/Créd. Liquid. Duvidosa</v>
      </c>
      <c r="E32" s="60">
        <f>'B.P.'!E28</f>
        <v>-962076.15</v>
      </c>
      <c r="F32" s="60">
        <f>'B.P.'!F28</f>
        <v>-1028563.69</v>
      </c>
      <c r="H32" s="53">
        <f>(E32/E8)*100</f>
        <v>-16.93612532236472</v>
      </c>
      <c r="I32" s="53">
        <f>(F32/F8)*100</f>
        <v>-19.683863203260213</v>
      </c>
      <c r="K32" s="53">
        <f t="shared" si="1"/>
        <v>6.9108396461132537</v>
      </c>
    </row>
    <row r="33" spans="1:11" x14ac:dyDescent="0.25">
      <c r="C33" s="34" t="str">
        <f>'B.P.'!C29</f>
        <v>Depósitos judiciais</v>
      </c>
      <c r="E33" s="60">
        <f>'B.P.'!E29</f>
        <v>76831.39</v>
      </c>
      <c r="F33" s="60">
        <f>'B.P.'!F29</f>
        <v>83638.539999999994</v>
      </c>
      <c r="H33" s="53">
        <f>(E33/E8)*100</f>
        <v>1.352518768635393</v>
      </c>
      <c r="I33" s="53">
        <f>(F33/F8)*100</f>
        <v>1.6006102450305311</v>
      </c>
      <c r="K33" s="53">
        <f t="shared" si="1"/>
        <v>8.8598553273603322</v>
      </c>
    </row>
    <row r="34" spans="1:11" x14ac:dyDescent="0.25">
      <c r="H34" s="38" t="s">
        <v>8</v>
      </c>
      <c r="I34" s="38"/>
    </row>
    <row r="35" spans="1:11" x14ac:dyDescent="0.25">
      <c r="B35" s="70" t="str">
        <f>'B.P.'!B31</f>
        <v>ATIVO PERMANENTE</v>
      </c>
      <c r="C35" s="70"/>
      <c r="E35" s="75">
        <f>E36+E38</f>
        <v>3828773.8600000003</v>
      </c>
      <c r="F35" s="75">
        <f>F36+F38</f>
        <v>3655431.0799999991</v>
      </c>
      <c r="H35" s="76">
        <f>H36+H38</f>
        <v>67.400687486072826</v>
      </c>
      <c r="I35" s="76">
        <f>I36+I38</f>
        <v>69.954837048219858</v>
      </c>
      <c r="K35" s="53">
        <f t="shared" ref="K35:K45" si="2">((F35/E35)-1)*100</f>
        <v>-4.5273705457235085</v>
      </c>
    </row>
    <row r="36" spans="1:11" x14ac:dyDescent="0.25">
      <c r="C36" s="34" t="str">
        <f>'B.P.'!C32</f>
        <v>Investimentos</v>
      </c>
      <c r="E36" s="60">
        <f>E37</f>
        <v>2300</v>
      </c>
      <c r="F36" s="60">
        <f>F37</f>
        <v>7610.55</v>
      </c>
      <c r="H36" s="53">
        <f>H37</f>
        <v>4.0488570724301669E-2</v>
      </c>
      <c r="I36" s="53">
        <f>I37</f>
        <v>0.14564487017966968</v>
      </c>
      <c r="K36" s="53">
        <f t="shared" si="2"/>
        <v>230.89347826086959</v>
      </c>
    </row>
    <row r="37" spans="1:11" x14ac:dyDescent="0.25">
      <c r="D37" s="34" t="str">
        <f>'B.P.'!D33</f>
        <v>Investimento 1</v>
      </c>
      <c r="E37" s="60">
        <f>'B.P.'!E33</f>
        <v>2300</v>
      </c>
      <c r="F37" s="60">
        <f>'B.P.'!F33</f>
        <v>7610.55</v>
      </c>
      <c r="H37" s="53">
        <f>(E37/E8)*100</f>
        <v>4.0488570724301669E-2</v>
      </c>
      <c r="I37" s="53">
        <f>(F37/F8)*100</f>
        <v>0.14564487017966968</v>
      </c>
      <c r="K37" s="53">
        <f t="shared" si="2"/>
        <v>230.89347826086959</v>
      </c>
    </row>
    <row r="38" spans="1:11" x14ac:dyDescent="0.25">
      <c r="C38" s="34" t="str">
        <f>'B.P.'!C34</f>
        <v>Imobilizado</v>
      </c>
      <c r="E38" s="60">
        <f>SUM(E39:E45)</f>
        <v>3826473.8600000003</v>
      </c>
      <c r="F38" s="60">
        <f>SUM(F39:F45)</f>
        <v>3647820.5299999993</v>
      </c>
      <c r="H38" s="53">
        <f>SUM(H39:H45)</f>
        <v>67.360198915348519</v>
      </c>
      <c r="I38" s="53">
        <f>SUM(I39:I45)</f>
        <v>69.809192178040192</v>
      </c>
      <c r="K38" s="53">
        <f t="shared" si="2"/>
        <v>-4.6688762692867591</v>
      </c>
    </row>
    <row r="39" spans="1:11" x14ac:dyDescent="0.25">
      <c r="D39" s="34" t="str">
        <f>'B.P.'!D35</f>
        <v>Terrenos e Construções</v>
      </c>
      <c r="E39" s="60">
        <f>'B.P.'!E35</f>
        <v>4106846.47</v>
      </c>
      <c r="F39" s="60">
        <f>'B.P.'!F35</f>
        <v>4135726.59</v>
      </c>
      <c r="H39" s="53">
        <f>(E39/E8)*100</f>
        <v>72.295801632366803</v>
      </c>
      <c r="I39" s="53">
        <f>(F39/F8)*100</f>
        <v>79.146364231121012</v>
      </c>
      <c r="K39" s="53">
        <f t="shared" si="2"/>
        <v>0.70321888609581329</v>
      </c>
    </row>
    <row r="40" spans="1:11" x14ac:dyDescent="0.25">
      <c r="D40" s="34" t="str">
        <f>'B.P.'!D36</f>
        <v>Equipamentos Especiais</v>
      </c>
      <c r="E40" s="60">
        <f>'B.P.'!E36</f>
        <v>1561033.86</v>
      </c>
      <c r="F40" s="60">
        <f>'B.P.'!F36</f>
        <v>1594855.51</v>
      </c>
      <c r="H40" s="53">
        <f>(E40/E8)*100</f>
        <v>27.480012975495487</v>
      </c>
      <c r="I40" s="53">
        <f>(F40/F8)*100</f>
        <v>30.52112182552915</v>
      </c>
      <c r="K40" s="53">
        <f t="shared" si="2"/>
        <v>2.1666186023665102</v>
      </c>
    </row>
    <row r="41" spans="1:11" x14ac:dyDescent="0.25">
      <c r="D41" s="34" t="str">
        <f>'B.P.'!D37</f>
        <v>Móveis e Utensílios</v>
      </c>
      <c r="E41" s="60">
        <f>'B.P.'!E37</f>
        <v>484331.54</v>
      </c>
      <c r="F41" s="60">
        <f>'B.P.'!F37</f>
        <v>508849.29</v>
      </c>
      <c r="H41" s="53">
        <f>(E41/E8)*100</f>
        <v>8.5260399179564956</v>
      </c>
      <c r="I41" s="53">
        <f>(F41/F8)*100</f>
        <v>9.7379675296880102</v>
      </c>
      <c r="K41" s="53">
        <f t="shared" si="2"/>
        <v>5.0621832309330816</v>
      </c>
    </row>
    <row r="42" spans="1:11" x14ac:dyDescent="0.25">
      <c r="D42" s="34" t="str">
        <f>'B.P.'!D38</f>
        <v>Veículos</v>
      </c>
      <c r="E42" s="60">
        <f>'B.P.'!E38</f>
        <v>17300</v>
      </c>
      <c r="F42" s="60">
        <f>'B.P.'!F38</f>
        <v>16200</v>
      </c>
      <c r="H42" s="53">
        <f>(E42/E8)*100</f>
        <v>0.30454446675235597</v>
      </c>
      <c r="I42" s="53">
        <f>(F42/F8)*100</f>
        <v>0.31002317794517464</v>
      </c>
      <c r="K42" s="53">
        <f t="shared" si="2"/>
        <v>-6.3583815028901753</v>
      </c>
    </row>
    <row r="43" spans="1:11" x14ac:dyDescent="0.25">
      <c r="D43" s="34" t="str">
        <f>'B.P.'!D39</f>
        <v>Máquinas e Outros Equipamentos</v>
      </c>
      <c r="E43" s="60">
        <f>'B.P.'!E39</f>
        <v>447389</v>
      </c>
      <c r="F43" s="60">
        <f>'B.P.'!F39</f>
        <v>486256</v>
      </c>
      <c r="H43" s="53">
        <f>(E43/E8)*100</f>
        <v>7.8757135512063465</v>
      </c>
      <c r="I43" s="53">
        <f>(F43/F8)*100</f>
        <v>9.3055944700561017</v>
      </c>
      <c r="K43" s="53">
        <f t="shared" si="2"/>
        <v>8.6875180212298453</v>
      </c>
    </row>
    <row r="44" spans="1:11" x14ac:dyDescent="0.25">
      <c r="D44" s="34" t="str">
        <f>'B.P.'!D40</f>
        <v>Equipamentos de Informática</v>
      </c>
      <c r="E44" s="60">
        <f>'B.P.'!E40</f>
        <v>267971.15000000002</v>
      </c>
      <c r="F44" s="60">
        <f>'B.P.'!F40</f>
        <v>320204.18</v>
      </c>
      <c r="H44" s="53">
        <f>(E44/E8)*100</f>
        <v>4.7172908081945435</v>
      </c>
      <c r="I44" s="53">
        <f>(F44/F8)*100</f>
        <v>6.1278220663536258</v>
      </c>
      <c r="K44" s="53">
        <f t="shared" si="2"/>
        <v>19.492034870171636</v>
      </c>
    </row>
    <row r="45" spans="1:11" x14ac:dyDescent="0.25">
      <c r="D45" s="34" t="str">
        <f>'B.P.'!D41</f>
        <v>(-) Depreciações</v>
      </c>
      <c r="E45" s="60">
        <f>'B.P.'!E41</f>
        <v>-3058398.16</v>
      </c>
      <c r="F45" s="60">
        <f>'B.P.'!F41</f>
        <v>-3414271.04</v>
      </c>
      <c r="H45" s="53">
        <f>(E45/E8)*100</f>
        <v>-53.839204436623511</v>
      </c>
      <c r="I45" s="53">
        <f>(F45/F8)*100</f>
        <v>-65.339701122652869</v>
      </c>
      <c r="K45" s="53">
        <f t="shared" si="2"/>
        <v>11.635923819676886</v>
      </c>
    </row>
    <row r="46" spans="1:11" x14ac:dyDescent="0.25">
      <c r="F46" s="38"/>
    </row>
    <row r="47" spans="1:11" x14ac:dyDescent="0.25">
      <c r="A47" s="71" t="str">
        <f>'B.P.'!H4</f>
        <v>PASSIVO TOTAL</v>
      </c>
      <c r="B47" s="71"/>
      <c r="C47" s="71"/>
      <c r="D47" s="71"/>
      <c r="E47" s="77">
        <f>E48+E60+E67</f>
        <v>5680615.3799999999</v>
      </c>
      <c r="F47" s="77">
        <f>F48+F60+F67</f>
        <v>5225415.76</v>
      </c>
      <c r="G47" s="71"/>
      <c r="H47" s="73">
        <f>H48+H60+H67</f>
        <v>100.00000000000001</v>
      </c>
      <c r="I47" s="73">
        <f>I48+I60+I67</f>
        <v>100</v>
      </c>
      <c r="J47" s="71"/>
      <c r="K47" s="74">
        <f t="shared" ref="K47:K57" si="3">((F47/E47)-1)*100</f>
        <v>-8.013209653352737</v>
      </c>
    </row>
    <row r="48" spans="1:11" x14ac:dyDescent="0.25">
      <c r="A48" s="8" t="s">
        <v>8</v>
      </c>
      <c r="B48" s="71" t="str">
        <f>'B.P.'!I5</f>
        <v>PASSIVO CIRCULANTE</v>
      </c>
      <c r="C48" s="8"/>
      <c r="E48" s="75">
        <f>SUM(E49:E58)</f>
        <v>4351155.84</v>
      </c>
      <c r="F48" s="75">
        <f>SUM(F49:F58)</f>
        <v>4150238.05</v>
      </c>
      <c r="H48" s="76">
        <f>SUM(H49:H58)</f>
        <v>76.596557748291005</v>
      </c>
      <c r="I48" s="76">
        <f>SUM(I49:I58)</f>
        <v>79.424073425307682</v>
      </c>
      <c r="K48" s="53">
        <f t="shared" si="3"/>
        <v>-4.6175728332451538</v>
      </c>
    </row>
    <row r="49" spans="2:12" x14ac:dyDescent="0.25">
      <c r="C49" s="45" t="str">
        <f>'B.P.'!J6</f>
        <v>Fornecedores - Materiais</v>
      </c>
      <c r="E49" s="60">
        <f>'B.P.'!L6</f>
        <v>590201.21</v>
      </c>
      <c r="F49" s="60">
        <f>'B.P.'!M6</f>
        <v>737028.58</v>
      </c>
      <c r="H49" s="53">
        <f>(E49/E47)*100</f>
        <v>10.389740732631681</v>
      </c>
      <c r="I49" s="53">
        <f>(F49/F47)*100</f>
        <v>14.104687815309838</v>
      </c>
      <c r="K49" s="53">
        <f t="shared" si="3"/>
        <v>24.877510840752095</v>
      </c>
    </row>
    <row r="50" spans="2:12" x14ac:dyDescent="0.25">
      <c r="C50" s="45" t="str">
        <f>'B.P.'!J7</f>
        <v>Fornecedores - Serviços</v>
      </c>
      <c r="E50" s="60">
        <f>'B.P.'!L7</f>
        <v>5810.89</v>
      </c>
      <c r="F50" s="60">
        <f>'B.P.'!M7</f>
        <v>29483.66</v>
      </c>
      <c r="H50" s="53">
        <f>(E50/E47)*100</f>
        <v>0.10229331879181021</v>
      </c>
      <c r="I50" s="53">
        <f>(F50/F47)*100</f>
        <v>0.5642356772009276</v>
      </c>
      <c r="K50" s="53">
        <f t="shared" si="3"/>
        <v>407.38630399129903</v>
      </c>
    </row>
    <row r="51" spans="2:12" x14ac:dyDescent="0.25">
      <c r="C51" s="45" t="str">
        <f>'B.P.'!J8</f>
        <v>Empréstimos e Financiamentos</v>
      </c>
      <c r="E51" s="60">
        <f>'B.P.'!L8</f>
        <v>883247.56</v>
      </c>
      <c r="F51" s="60">
        <f>'B.P.'!M8</f>
        <v>1336264.51</v>
      </c>
      <c r="H51" s="53">
        <f>(E51/E47)*100</f>
        <v>15.548448555585892</v>
      </c>
      <c r="I51" s="53">
        <f>(F51/F47)*100</f>
        <v>25.57240555342911</v>
      </c>
      <c r="K51" s="53">
        <f t="shared" si="3"/>
        <v>51.289918083668404</v>
      </c>
    </row>
    <row r="52" spans="2:12" x14ac:dyDescent="0.25">
      <c r="C52" s="45" t="str">
        <f>'B.P.'!J9</f>
        <v>(-) Encargos Financeiros a Transcorrer</v>
      </c>
      <c r="E52" s="60">
        <f>'B.P.'!L9</f>
        <v>-65395</v>
      </c>
      <c r="F52" s="60">
        <f>'B.P.'!M9</f>
        <v>-183157.9</v>
      </c>
      <c r="H52" s="53">
        <f>(E52/E47)*100</f>
        <v>-1.1511957002095079</v>
      </c>
      <c r="I52" s="53">
        <f>(F52/F47)*100</f>
        <v>-3.5051354459113893</v>
      </c>
      <c r="K52" s="53">
        <f t="shared" si="3"/>
        <v>180.07936386573897</v>
      </c>
      <c r="L52" s="60" t="s">
        <v>8</v>
      </c>
    </row>
    <row r="53" spans="2:12" x14ac:dyDescent="0.25">
      <c r="C53" s="45" t="str">
        <f>'B.P.'!J10</f>
        <v>Obrigações com Terceiros</v>
      </c>
      <c r="E53" s="60">
        <f>'B.P.'!L10</f>
        <v>952741.74</v>
      </c>
      <c r="F53" s="60">
        <f>'B.P.'!M10</f>
        <v>1242370.3600000001</v>
      </c>
      <c r="H53" s="53">
        <f>(E53/E47)*100</f>
        <v>16.771805099749599</v>
      </c>
      <c r="I53" s="53">
        <f>(F53/F47)*100</f>
        <v>23.775531308153749</v>
      </c>
      <c r="K53" s="53">
        <f t="shared" si="3"/>
        <v>30.399488952798492</v>
      </c>
    </row>
    <row r="54" spans="2:12" x14ac:dyDescent="0.25">
      <c r="C54" s="45" t="str">
        <f>'B.P.'!J11</f>
        <v>Obrigações Sociais</v>
      </c>
      <c r="E54" s="60">
        <f>'B.P.'!L11</f>
        <v>855727.01</v>
      </c>
      <c r="F54" s="60">
        <f>'B.P.'!M11</f>
        <v>391683.13</v>
      </c>
      <c r="H54" s="53">
        <f>(E54/E47)*100</f>
        <v>15.063984317839877</v>
      </c>
      <c r="I54" s="53">
        <f>(F54/F47)*100</f>
        <v>7.4957314018588255</v>
      </c>
      <c r="K54" s="53">
        <f t="shared" si="3"/>
        <v>-54.228027697758428</v>
      </c>
    </row>
    <row r="55" spans="2:12" x14ac:dyDescent="0.25">
      <c r="C55" s="45" t="str">
        <f>'B.P.'!J12</f>
        <v>Obrigações Tributárias</v>
      </c>
      <c r="E55" s="60">
        <f>'B.P.'!L12</f>
        <v>769895.27</v>
      </c>
      <c r="F55" s="60">
        <f>'B.P.'!M12</f>
        <v>215217.67</v>
      </c>
      <c r="H55" s="53">
        <f>(E55/E47)*100</f>
        <v>13.553025834324309</v>
      </c>
      <c r="I55" s="53">
        <f>(F55/F47)*100</f>
        <v>4.118670740947894</v>
      </c>
      <c r="K55" s="53">
        <f t="shared" si="3"/>
        <v>-72.045851119464601</v>
      </c>
    </row>
    <row r="56" spans="2:12" x14ac:dyDescent="0.25">
      <c r="C56" s="45" t="str">
        <f>'B.P.'!J13</f>
        <v>Adiantamentos de Clientes</v>
      </c>
      <c r="E56" s="60">
        <f>'B.P.'!L13</f>
        <v>5367.7</v>
      </c>
      <c r="F56" s="60">
        <f>'B.P.'!M13</f>
        <v>0</v>
      </c>
      <c r="H56" s="53">
        <f>(E56/E47)*100</f>
        <v>9.4491523205360889E-2</v>
      </c>
      <c r="I56" s="53">
        <f>(F56/F47)*100</f>
        <v>0</v>
      </c>
      <c r="K56" s="53">
        <f t="shared" si="3"/>
        <v>-100</v>
      </c>
    </row>
    <row r="57" spans="2:12" x14ac:dyDescent="0.25">
      <c r="C57" s="45" t="str">
        <f>'B.P.'!J14</f>
        <v>Provisões de Férias e Encargos</v>
      </c>
      <c r="E57" s="60">
        <f>'B.P.'!L14</f>
        <v>353559.45999999996</v>
      </c>
      <c r="F57" s="60">
        <f>'B.P.'!M14</f>
        <v>340102.25</v>
      </c>
      <c r="H57" s="53">
        <f>(E57/E47)*100</f>
        <v>6.2239640663719777</v>
      </c>
      <c r="I57" s="53">
        <f>(F57/F47)*100</f>
        <v>6.5086160723027335</v>
      </c>
      <c r="K57" s="53">
        <f t="shared" si="3"/>
        <v>-3.8062084380375394</v>
      </c>
    </row>
    <row r="58" spans="2:12" x14ac:dyDescent="0.25">
      <c r="C58" s="45" t="str">
        <f>'B.P.'!J15</f>
        <v>Outras Contas a Pagar</v>
      </c>
      <c r="E58" s="60">
        <f>'B.P.'!L15</f>
        <v>0</v>
      </c>
      <c r="F58" s="60">
        <f>'B.P.'!M15</f>
        <v>41245.79</v>
      </c>
      <c r="H58" s="53">
        <f>(E58/E47)*100</f>
        <v>0</v>
      </c>
      <c r="I58" s="53">
        <f>(F58/F47)*100</f>
        <v>0.78933030201600651</v>
      </c>
      <c r="K58" s="53">
        <v>100</v>
      </c>
    </row>
    <row r="59" spans="2:12" x14ac:dyDescent="0.25">
      <c r="E59" s="60"/>
      <c r="F59" s="60"/>
    </row>
    <row r="60" spans="2:12" x14ac:dyDescent="0.25">
      <c r="B60" s="71" t="str">
        <f>'B.P.'!I17</f>
        <v>PASSIVO EXIGÍVEL A LONGO PRAZO</v>
      </c>
      <c r="C60" s="70"/>
      <c r="E60" s="75">
        <f>SUM(E61:E65)</f>
        <v>1064143.47</v>
      </c>
      <c r="F60" s="75">
        <f>SUM(F61:F65)</f>
        <v>2397366.46</v>
      </c>
      <c r="H60" s="76">
        <f>SUM(H61:H65)</f>
        <v>18.732890696078073</v>
      </c>
      <c r="I60" s="76">
        <f>SUM(I61:I65)</f>
        <v>45.878961026442809</v>
      </c>
      <c r="K60" s="53">
        <f>((F60/E60)-1)*100</f>
        <v>125.28601899892315</v>
      </c>
    </row>
    <row r="61" spans="2:12" x14ac:dyDescent="0.25">
      <c r="C61" s="45" t="str">
        <f>'B.P.'!J18</f>
        <v>Fornecedores</v>
      </c>
      <c r="E61" s="60">
        <f>'B.P.'!L18</f>
        <v>84615.99</v>
      </c>
      <c r="F61" s="60">
        <f>'B.P.'!M18</f>
        <v>95754.87</v>
      </c>
      <c r="H61" s="53">
        <f>(E61/E47)*100</f>
        <v>1.4895567529164422</v>
      </c>
      <c r="I61" s="53">
        <f>(F61/F47)*100</f>
        <v>1.8324832778473497</v>
      </c>
      <c r="K61" s="53">
        <f>((F61/E61)-1)*100</f>
        <v>13.164036726391771</v>
      </c>
    </row>
    <row r="62" spans="2:12" x14ac:dyDescent="0.25">
      <c r="C62" s="45" t="str">
        <f>'B.P.'!J19</f>
        <v>Empréstimos e Financiamentos</v>
      </c>
      <c r="E62" s="60">
        <f>'B.P.'!L19</f>
        <v>461925.5</v>
      </c>
      <c r="F62" s="60">
        <f>'B.P.'!M19</f>
        <v>463626.75</v>
      </c>
      <c r="H62" s="53">
        <f>(E62/E47)*100</f>
        <v>8.1316102059351181</v>
      </c>
      <c r="I62" s="53">
        <f>(F62/F47)*100</f>
        <v>8.8725332355180857</v>
      </c>
      <c r="K62" s="53">
        <f>((F62/E62)-1)*100</f>
        <v>0.3682953203492767</v>
      </c>
    </row>
    <row r="63" spans="2:12" x14ac:dyDescent="0.25">
      <c r="C63" s="45" t="str">
        <f>'B.P.'!J20</f>
        <v>Parcelamento FGTS</v>
      </c>
      <c r="E63" s="60">
        <f>'B.P.'!L20</f>
        <v>148173.98000000001</v>
      </c>
      <c r="F63" s="60">
        <f>'B.P.'!M20</f>
        <v>167389.37</v>
      </c>
      <c r="H63" s="53">
        <f>(E63/E47)*100</f>
        <v>2.6084142313468863</v>
      </c>
      <c r="I63" s="53">
        <f>(F63/F47)*100</f>
        <v>3.2033694099778196</v>
      </c>
      <c r="K63" s="53">
        <f>((F63/E63)-1)*100</f>
        <v>12.968127062524726</v>
      </c>
    </row>
    <row r="64" spans="2:12" x14ac:dyDescent="0.25">
      <c r="C64" s="45" t="str">
        <f>'B.P.'!J21</f>
        <v>Provisões p/Contingências</v>
      </c>
      <c r="E64" s="60">
        <f>'B.P.'!L21</f>
        <v>369428</v>
      </c>
      <c r="F64" s="60">
        <f>'B.P.'!M21</f>
        <v>317481.2</v>
      </c>
      <c r="H64" s="53">
        <f>(E64/E47)*100</f>
        <v>6.503309505879626</v>
      </c>
      <c r="I64" s="53">
        <f>(F64/F47)*100</f>
        <v>6.0757117630770114</v>
      </c>
      <c r="K64" s="53">
        <f>((F64/E64)-1)*100</f>
        <v>-14.061413861429017</v>
      </c>
    </row>
    <row r="65" spans="1:19" x14ac:dyDescent="0.25">
      <c r="C65" s="45" t="str">
        <f>'B.P.'!J22</f>
        <v>Programa de Recup. Fiscal</v>
      </c>
      <c r="E65" s="60">
        <f>'B.P.'!L22</f>
        <v>0</v>
      </c>
      <c r="F65" s="60">
        <f>'B.P.'!M22</f>
        <v>1353114.27</v>
      </c>
      <c r="H65" s="53">
        <f>(E65/E47)*100</f>
        <v>0</v>
      </c>
      <c r="I65" s="53">
        <f>(F65/F47)*100</f>
        <v>25.894863340022539</v>
      </c>
      <c r="K65" s="53">
        <v>100</v>
      </c>
    </row>
    <row r="66" spans="1:19" s="8" customFormat="1" x14ac:dyDescent="0.25">
      <c r="A66" s="34"/>
      <c r="B66" s="34"/>
      <c r="C66" s="34"/>
      <c r="D66" s="34"/>
      <c r="E66" s="60"/>
      <c r="F66" s="60"/>
    </row>
    <row r="67" spans="1:19" x14ac:dyDescent="0.25">
      <c r="B67" s="71" t="str">
        <f>'B.P.'!I24</f>
        <v>PATRIMÔNIO LÍQUIDO</v>
      </c>
      <c r="C67" s="8"/>
      <c r="E67" s="75">
        <f>SUM(E68:E69)</f>
        <v>265316.07</v>
      </c>
      <c r="F67" s="75">
        <f>SUM(F68:F69)</f>
        <v>-1322188.75</v>
      </c>
      <c r="H67" s="76">
        <f>SUM(H68:H69)</f>
        <v>4.6705515556309329</v>
      </c>
      <c r="I67" s="76">
        <f>SUM(I68:I69)</f>
        <v>-25.303034451750499</v>
      </c>
      <c r="K67" s="53">
        <f>((F67/E67)-1)*100</f>
        <v>-598.3447666777214</v>
      </c>
    </row>
    <row r="68" spans="1:19" x14ac:dyDescent="0.25">
      <c r="C68" s="45" t="str">
        <f>'B.P.'!J25</f>
        <v>Superávit Acumulado</v>
      </c>
      <c r="E68" s="60">
        <f>'B.P.'!L25</f>
        <v>265316.07</v>
      </c>
      <c r="F68" s="60">
        <f>'B.P.'!M25</f>
        <v>265316.07</v>
      </c>
      <c r="H68" s="53">
        <f>(E68/E47)*100</f>
        <v>4.6705515556309329</v>
      </c>
      <c r="I68" s="53">
        <f>(F68/F47)*100</f>
        <v>5.0774155050200251</v>
      </c>
      <c r="K68" s="53">
        <f>((F68/E68)-1)*100</f>
        <v>0</v>
      </c>
    </row>
    <row r="69" spans="1:19" x14ac:dyDescent="0.25">
      <c r="C69" s="45" t="str">
        <f>'B.P.'!J26</f>
        <v>Déficit do Exercício</v>
      </c>
      <c r="E69" s="60">
        <f>'B.P.'!L26</f>
        <v>0</v>
      </c>
      <c r="F69" s="60">
        <f>'B.P.'!M26</f>
        <v>-1587504.82</v>
      </c>
      <c r="H69" s="53">
        <f>(E69/E47)*100</f>
        <v>0</v>
      </c>
      <c r="I69" s="53">
        <f>(F69/F47)*100</f>
        <v>-30.380449956770523</v>
      </c>
      <c r="K69" s="53">
        <v>0</v>
      </c>
    </row>
    <row r="70" spans="1:19" x14ac:dyDescent="0.25">
      <c r="E70" s="60"/>
      <c r="F70" s="60"/>
      <c r="L70" s="38"/>
      <c r="M70" s="60"/>
      <c r="N70" s="60"/>
      <c r="O70" s="60"/>
      <c r="P70" s="60"/>
      <c r="Q70" s="78"/>
      <c r="R70" s="78"/>
      <c r="S70" s="60"/>
    </row>
    <row r="72" spans="1:19" x14ac:dyDescent="0.25">
      <c r="A72" s="121"/>
      <c r="B72" s="121"/>
      <c r="C72" s="121"/>
      <c r="D72" s="121"/>
      <c r="E72" s="121"/>
      <c r="F72" s="121"/>
      <c r="G72" s="121"/>
      <c r="H72" s="121"/>
    </row>
    <row r="73" spans="1:19" x14ac:dyDescent="0.25">
      <c r="A73" s="119"/>
      <c r="B73" s="119"/>
      <c r="C73" s="119"/>
      <c r="D73" s="119"/>
      <c r="E73" s="119"/>
      <c r="F73" s="119"/>
      <c r="G73" s="119"/>
      <c r="H73" s="119"/>
    </row>
    <row r="74" spans="1:19" x14ac:dyDescent="0.25">
      <c r="A74" s="119" t="s">
        <v>8</v>
      </c>
      <c r="B74" s="119"/>
      <c r="C74" s="119"/>
      <c r="D74" s="119"/>
      <c r="E74" s="119"/>
      <c r="F74" s="119"/>
      <c r="G74" s="119"/>
      <c r="H74" s="119"/>
    </row>
    <row r="75" spans="1:19" x14ac:dyDescent="0.25">
      <c r="A75" s="119" t="s">
        <v>8</v>
      </c>
      <c r="B75" s="119"/>
      <c r="C75" s="119"/>
      <c r="D75" s="119"/>
      <c r="E75" s="119"/>
      <c r="F75" s="119"/>
      <c r="G75" s="119"/>
      <c r="H75" s="119"/>
    </row>
  </sheetData>
  <mergeCells count="6">
    <mergeCell ref="A74:H74"/>
    <mergeCell ref="A75:H75"/>
    <mergeCell ref="H5:I5"/>
    <mergeCell ref="A3:K3"/>
    <mergeCell ref="A72:H72"/>
    <mergeCell ref="A73:H73"/>
  </mergeCells>
  <phoneticPr fontId="11" type="noConversion"/>
  <printOptions horizontalCentered="1"/>
  <pageMargins left="0.27559055118110237" right="7.874015748031496E-2" top="0.31496062992125984" bottom="0.39370078740157483" header="0.27559055118110237" footer="0.51181102362204722"/>
  <pageSetup paperSize="9" scale="8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K43"/>
  <sheetViews>
    <sheetView showGridLines="0" topLeftCell="A16" workbookViewId="0">
      <selection activeCell="K1" sqref="K1"/>
    </sheetView>
  </sheetViews>
  <sheetFormatPr defaultColWidth="9.109375" defaultRowHeight="13.2" x14ac:dyDescent="0.25"/>
  <cols>
    <col min="1" max="2" width="1.109375" style="34" customWidth="1"/>
    <col min="3" max="3" width="2" style="34" customWidth="1"/>
    <col min="4" max="4" width="34.6640625" style="34" customWidth="1"/>
    <col min="5" max="6" width="10.6640625" style="34" customWidth="1"/>
    <col min="7" max="7" width="2.6640625" style="34" customWidth="1"/>
    <col min="8" max="9" width="9.6640625" style="34" customWidth="1"/>
    <col min="10" max="10" width="2.6640625" style="34" customWidth="1"/>
    <col min="11" max="11" width="10.6640625" style="34" customWidth="1"/>
    <col min="12" max="16384" width="9.109375" style="34"/>
  </cols>
  <sheetData>
    <row r="3" spans="1:11" ht="15.6" x14ac:dyDescent="0.3">
      <c r="A3" s="120" t="s">
        <v>167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</row>
    <row r="4" spans="1:1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A5" s="19"/>
      <c r="B5" s="19"/>
      <c r="C5" s="19"/>
      <c r="D5" s="19"/>
      <c r="E5" s="19"/>
      <c r="H5" s="118" t="s">
        <v>7</v>
      </c>
      <c r="I5" s="118"/>
      <c r="K5" s="70" t="s">
        <v>86</v>
      </c>
    </row>
    <row r="6" spans="1:11" x14ac:dyDescent="0.25">
      <c r="E6" s="19" t="str">
        <f>'B.P.'!E3</f>
        <v>Ano 1</v>
      </c>
      <c r="F6" s="19" t="str">
        <f>'B.P.'!F3</f>
        <v>Ano 2</v>
      </c>
      <c r="H6" s="19" t="str">
        <f>E6</f>
        <v>Ano 1</v>
      </c>
      <c r="I6" s="19" t="str">
        <f>F6</f>
        <v>Ano 2</v>
      </c>
      <c r="J6" s="59"/>
      <c r="K6" s="19" t="s">
        <v>151</v>
      </c>
    </row>
    <row r="7" spans="1:11" x14ac:dyDescent="0.25">
      <c r="E7" s="19" t="s">
        <v>87</v>
      </c>
      <c r="F7" s="19" t="s">
        <v>87</v>
      </c>
      <c r="H7" s="19" t="s">
        <v>51</v>
      </c>
      <c r="I7" s="19" t="s">
        <v>51</v>
      </c>
      <c r="J7" s="59"/>
      <c r="K7" s="19" t="s">
        <v>51</v>
      </c>
    </row>
    <row r="8" spans="1:11" x14ac:dyDescent="0.25">
      <c r="A8" s="71" t="str">
        <f>'D.R.E.'!A5</f>
        <v>RECEITAS OPERACIONAIS BRUTAS</v>
      </c>
      <c r="B8" s="71"/>
      <c r="C8" s="71"/>
      <c r="E8" s="77">
        <f>SUM(E9:E16)</f>
        <v>1500000</v>
      </c>
      <c r="F8" s="77">
        <f>SUM(F9:F16)</f>
        <v>5850000</v>
      </c>
      <c r="H8" s="79">
        <f>SUM(H9:H16)</f>
        <v>107.14285714285714</v>
      </c>
      <c r="I8" s="79">
        <f>SUM(I9:I16)</f>
        <v>105.40540540540542</v>
      </c>
      <c r="K8" s="102">
        <f>((F8/E8)-1)*100</f>
        <v>290</v>
      </c>
    </row>
    <row r="9" spans="1:11" x14ac:dyDescent="0.25">
      <c r="A9" s="8" t="s">
        <v>8</v>
      </c>
      <c r="B9" s="34" t="str">
        <f>'D.R.E.'!B6</f>
        <v>Receita 1</v>
      </c>
      <c r="E9" s="60">
        <f>'D.R.E.'!D6</f>
        <v>100000</v>
      </c>
      <c r="F9" s="60">
        <f>'D.R.E.'!E6</f>
        <v>350000</v>
      </c>
      <c r="H9" s="53">
        <f>E9/E19*100</f>
        <v>7.1428571428571423</v>
      </c>
      <c r="I9" s="53">
        <f>F9/F19*100</f>
        <v>6.3063063063063058</v>
      </c>
      <c r="K9" s="102">
        <f>((F9/E9)-1)*100</f>
        <v>250</v>
      </c>
    </row>
    <row r="10" spans="1:11" x14ac:dyDescent="0.25">
      <c r="B10" s="34" t="str">
        <f>'D.R.E.'!B7</f>
        <v>Receita 2</v>
      </c>
      <c r="E10" s="60">
        <f>'D.R.E.'!D7</f>
        <v>100000</v>
      </c>
      <c r="F10" s="60">
        <f>'D.R.E.'!E7</f>
        <v>400000</v>
      </c>
      <c r="H10" s="53">
        <f>E10/E19*100</f>
        <v>7.1428571428571423</v>
      </c>
      <c r="I10" s="53">
        <f>F10/F19*100</f>
        <v>7.2072072072072073</v>
      </c>
      <c r="K10" s="102">
        <f t="shared" ref="K10:K37" si="0">((F10/E10)-1)*100</f>
        <v>300</v>
      </c>
    </row>
    <row r="11" spans="1:11" x14ac:dyDescent="0.25">
      <c r="B11" s="34" t="str">
        <f>'D.R.E.'!B8</f>
        <v>Receita 3</v>
      </c>
      <c r="E11" s="60">
        <f>'D.R.E.'!D8</f>
        <v>150000</v>
      </c>
      <c r="F11" s="60">
        <f>'D.R.E.'!E8</f>
        <v>600000</v>
      </c>
      <c r="H11" s="53">
        <f>E11/E19*100</f>
        <v>10.714285714285714</v>
      </c>
      <c r="I11" s="53">
        <f>F11/F19*100</f>
        <v>10.810810810810811</v>
      </c>
      <c r="K11" s="102">
        <f t="shared" si="0"/>
        <v>300</v>
      </c>
    </row>
    <row r="12" spans="1:11" x14ac:dyDescent="0.25">
      <c r="B12" s="34" t="str">
        <f>'D.R.E.'!B9</f>
        <v>Receita 4</v>
      </c>
      <c r="E12" s="60">
        <f>'D.R.E.'!D9</f>
        <v>150000</v>
      </c>
      <c r="F12" s="60">
        <f>'D.R.E.'!E9</f>
        <v>800000</v>
      </c>
      <c r="H12" s="53">
        <f>E12/E19*100</f>
        <v>10.714285714285714</v>
      </c>
      <c r="I12" s="53">
        <f>F12/F19*100</f>
        <v>14.414414414414415</v>
      </c>
      <c r="K12" s="102">
        <f t="shared" si="0"/>
        <v>433.33333333333331</v>
      </c>
    </row>
    <row r="13" spans="1:11" x14ac:dyDescent="0.25">
      <c r="B13" s="34" t="str">
        <f>'D.R.E.'!B10</f>
        <v>Receita 5</v>
      </c>
      <c r="E13" s="60">
        <f>'D.R.E.'!D10</f>
        <v>200000</v>
      </c>
      <c r="F13" s="60">
        <f>'D.R.E.'!E10</f>
        <v>850000</v>
      </c>
      <c r="H13" s="53">
        <f>E13/E19*100</f>
        <v>14.285714285714285</v>
      </c>
      <c r="I13" s="53">
        <f>F13/F19*100</f>
        <v>15.315315315315313</v>
      </c>
      <c r="K13" s="102">
        <f t="shared" si="0"/>
        <v>325</v>
      </c>
    </row>
    <row r="14" spans="1:11" x14ac:dyDescent="0.25">
      <c r="B14" s="34" t="str">
        <f>'D.R.E.'!B11</f>
        <v>Receita 6</v>
      </c>
      <c r="E14" s="60">
        <f>'D.R.E.'!D11</f>
        <v>200000</v>
      </c>
      <c r="F14" s="60">
        <f>'D.R.E.'!E11</f>
        <v>1000000</v>
      </c>
      <c r="H14" s="53">
        <f>E14/E19*100</f>
        <v>14.285714285714285</v>
      </c>
      <c r="I14" s="53">
        <f>F14/F19*100</f>
        <v>18.018018018018019</v>
      </c>
      <c r="K14" s="102">
        <v>0</v>
      </c>
    </row>
    <row r="15" spans="1:11" x14ac:dyDescent="0.25">
      <c r="B15" s="34" t="str">
        <f>'D.R.E.'!B12</f>
        <v>Receita 7</v>
      </c>
      <c r="E15" s="60">
        <f>'D.R.E.'!D12</f>
        <v>300000</v>
      </c>
      <c r="F15" s="60">
        <f>'D.R.E.'!E12</f>
        <v>900000</v>
      </c>
      <c r="H15" s="53">
        <f>E15/E19*100</f>
        <v>21.428571428571427</v>
      </c>
      <c r="I15" s="53">
        <f>F15/F19*100</f>
        <v>16.216216216216218</v>
      </c>
      <c r="K15" s="102">
        <f t="shared" si="0"/>
        <v>200</v>
      </c>
    </row>
    <row r="16" spans="1:11" x14ac:dyDescent="0.25">
      <c r="B16" s="34" t="str">
        <f>'D.R.E.'!B13</f>
        <v>Receita 8</v>
      </c>
      <c r="E16" s="60">
        <f>'D.R.E.'!D13</f>
        <v>300000</v>
      </c>
      <c r="F16" s="60">
        <f>'D.R.E.'!E13</f>
        <v>950000</v>
      </c>
      <c r="H16" s="53">
        <f>E16/E19*100</f>
        <v>21.428571428571427</v>
      </c>
      <c r="I16" s="53">
        <f>F16/F19*100</f>
        <v>17.117117117117118</v>
      </c>
      <c r="K16" s="102">
        <v>0</v>
      </c>
    </row>
    <row r="17" spans="1:11" x14ac:dyDescent="0.25">
      <c r="A17" s="8" t="str">
        <f>'D.R.E.'!A14</f>
        <v>(-) Deduções da Receita Operacional</v>
      </c>
      <c r="E17" s="77">
        <f>E18</f>
        <v>100000</v>
      </c>
      <c r="F17" s="77">
        <f>F18</f>
        <v>300000</v>
      </c>
      <c r="H17" s="79">
        <f>H18</f>
        <v>7.1428571428571423</v>
      </c>
      <c r="I17" s="79">
        <f>I18</f>
        <v>5.4054054054054053</v>
      </c>
      <c r="K17" s="102">
        <f t="shared" si="0"/>
        <v>200</v>
      </c>
    </row>
    <row r="18" spans="1:11" x14ac:dyDescent="0.25">
      <c r="B18" s="34" t="str">
        <f>'D.R.E.'!B15</f>
        <v>Descontos</v>
      </c>
      <c r="E18" s="60">
        <f>'D.R.E.'!D15</f>
        <v>100000</v>
      </c>
      <c r="F18" s="60">
        <f>'D.R.E.'!E15</f>
        <v>300000</v>
      </c>
      <c r="H18" s="53">
        <f>E18/E19*100</f>
        <v>7.1428571428571423</v>
      </c>
      <c r="I18" s="53">
        <f>F18/F19*100</f>
        <v>5.4054054054054053</v>
      </c>
      <c r="K18" s="102">
        <f t="shared" si="0"/>
        <v>200</v>
      </c>
    </row>
    <row r="19" spans="1:11" x14ac:dyDescent="0.25">
      <c r="A19" s="8" t="str">
        <f>'D.R.E.'!A16</f>
        <v>RECEITA OPERACIONAL LÍQUIDA</v>
      </c>
      <c r="E19" s="77">
        <f>E8-E17</f>
        <v>1400000</v>
      </c>
      <c r="F19" s="77">
        <f>F8-F17</f>
        <v>5550000</v>
      </c>
      <c r="H19" s="74">
        <v>100</v>
      </c>
      <c r="I19" s="74">
        <v>100</v>
      </c>
      <c r="K19" s="102">
        <f>((F19/E19)-1)*100</f>
        <v>296.42857142857144</v>
      </c>
    </row>
    <row r="20" spans="1:11" x14ac:dyDescent="0.25">
      <c r="A20" s="70" t="str">
        <f>'D.R.E.'!A17</f>
        <v>(-) Custos dos Serviços</v>
      </c>
      <c r="E20" s="77">
        <f>SUM(E21:E22)</f>
        <v>100000</v>
      </c>
      <c r="F20" s="77">
        <f>SUM(F21:F22)</f>
        <v>240000</v>
      </c>
      <c r="H20" s="79">
        <f>SUM(H21:H22)</f>
        <v>7.1428571428571423</v>
      </c>
      <c r="I20" s="79">
        <f>SUM(I21:I22)</f>
        <v>4.3243243243243246</v>
      </c>
      <c r="K20" s="102">
        <f t="shared" si="0"/>
        <v>140</v>
      </c>
    </row>
    <row r="21" spans="1:11" x14ac:dyDescent="0.25">
      <c r="B21" s="34" t="str">
        <f>'D.R.E.'!B18</f>
        <v>Custos dos Serviços Prestados 1</v>
      </c>
      <c r="E21" s="60">
        <f>'D.R.E.'!D18</f>
        <v>50000</v>
      </c>
      <c r="F21" s="60">
        <f>'D.R.E.'!E18</f>
        <v>120000</v>
      </c>
      <c r="H21" s="53">
        <f>(E21/E19)*100</f>
        <v>3.5714285714285712</v>
      </c>
      <c r="I21" s="53">
        <f>(F21/F19)*100</f>
        <v>2.1621621621621623</v>
      </c>
      <c r="K21" s="102">
        <f t="shared" si="0"/>
        <v>140</v>
      </c>
    </row>
    <row r="22" spans="1:11" x14ac:dyDescent="0.25">
      <c r="B22" s="34" t="str">
        <f>'D.R.E.'!B19</f>
        <v>Cusots dos Serviços Prestados 2</v>
      </c>
      <c r="E22" s="60">
        <f>'D.R.E.'!D19</f>
        <v>50000</v>
      </c>
      <c r="F22" s="60">
        <f>'D.R.E.'!E19</f>
        <v>120000</v>
      </c>
      <c r="H22" s="53">
        <f>(E22/E19)*100</f>
        <v>3.5714285714285712</v>
      </c>
      <c r="I22" s="53">
        <f>(F22/F19)*100</f>
        <v>2.1621621621621623</v>
      </c>
      <c r="K22" s="102">
        <f t="shared" si="0"/>
        <v>140</v>
      </c>
    </row>
    <row r="23" spans="1:11" x14ac:dyDescent="0.25">
      <c r="A23" s="70" t="str">
        <f>'D.R.E.'!A20</f>
        <v>RESULTADO BRUTO</v>
      </c>
      <c r="E23" s="77">
        <f>E19-E20</f>
        <v>1300000</v>
      </c>
      <c r="F23" s="77">
        <f>F19-F20</f>
        <v>5310000</v>
      </c>
      <c r="H23" s="74">
        <f>H19-H20</f>
        <v>92.857142857142861</v>
      </c>
      <c r="I23" s="74">
        <f>I19-I20</f>
        <v>95.675675675675677</v>
      </c>
      <c r="K23" s="102">
        <f t="shared" si="0"/>
        <v>308.46153846153845</v>
      </c>
    </row>
    <row r="24" spans="1:11" x14ac:dyDescent="0.25">
      <c r="A24" s="8" t="str">
        <f>'D.R.E.'!A21</f>
        <v>(-) Despesas Gerais</v>
      </c>
      <c r="E24" s="77">
        <f>SUM(E25:E29)</f>
        <v>300000</v>
      </c>
      <c r="F24" s="77">
        <f>SUM(F25:F29)</f>
        <v>478000</v>
      </c>
      <c r="H24" s="74">
        <f>SUM(H25:H29)</f>
        <v>21.428571428571431</v>
      </c>
      <c r="I24" s="74">
        <f>SUM(I25:I29)</f>
        <v>8.6126126126126135</v>
      </c>
      <c r="K24" s="102">
        <f t="shared" si="0"/>
        <v>59.333333333333329</v>
      </c>
    </row>
    <row r="25" spans="1:11" x14ac:dyDescent="0.25">
      <c r="B25" s="65" t="str">
        <f>'D.R.E.'!B22</f>
        <v>Despesas Administrativas</v>
      </c>
      <c r="E25" s="60">
        <f>'D.R.E.'!D22</f>
        <v>200000</v>
      </c>
      <c r="F25" s="60">
        <f>'D.R.E.'!E22</f>
        <v>400000</v>
      </c>
      <c r="H25" s="53">
        <f>E25/E19*100</f>
        <v>14.285714285714285</v>
      </c>
      <c r="I25" s="53">
        <f>F25/F19*100</f>
        <v>7.2072072072072073</v>
      </c>
      <c r="K25" s="102">
        <f t="shared" si="0"/>
        <v>100</v>
      </c>
    </row>
    <row r="26" spans="1:11" x14ac:dyDescent="0.25">
      <c r="B26" s="65" t="str">
        <f>'D.R.E.'!B23</f>
        <v>Provisão p/Créd. Liquid. Duvidosa</v>
      </c>
      <c r="E26" s="60">
        <f>'D.R.E.'!D23</f>
        <v>5000</v>
      </c>
      <c r="F26" s="60">
        <f>'D.R.E.'!E23</f>
        <v>5000</v>
      </c>
      <c r="H26" s="53">
        <f>E26/E19*100</f>
        <v>0.35714285714285715</v>
      </c>
      <c r="I26" s="53">
        <f>F26/F19*100</f>
        <v>9.0090090090090086E-2</v>
      </c>
      <c r="K26" s="102">
        <f t="shared" si="0"/>
        <v>0</v>
      </c>
    </row>
    <row r="27" spans="1:11" x14ac:dyDescent="0.25">
      <c r="B27" s="65" t="str">
        <f>'D.R.E.'!B24</f>
        <v>Provisão p/Contingências</v>
      </c>
      <c r="E27" s="60">
        <f>'D.R.E.'!D24</f>
        <v>80000</v>
      </c>
      <c r="F27" s="60">
        <f>'D.R.E.'!E24</f>
        <v>40000</v>
      </c>
      <c r="H27" s="53">
        <f>E27/E19*100</f>
        <v>5.7142857142857144</v>
      </c>
      <c r="I27" s="53">
        <f>F27/F19*100</f>
        <v>0.72072072072072069</v>
      </c>
      <c r="K27" s="102">
        <f t="shared" si="0"/>
        <v>-50</v>
      </c>
    </row>
    <row r="28" spans="1:11" x14ac:dyDescent="0.25">
      <c r="B28" s="65" t="str">
        <f>'D.R.E.'!B25</f>
        <v>Outras Despesas Operacionais</v>
      </c>
      <c r="E28" s="60">
        <f>'D.R.E.'!D25</f>
        <v>5000</v>
      </c>
      <c r="F28" s="60">
        <f>'D.R.E.'!E25</f>
        <v>8000</v>
      </c>
      <c r="H28" s="53">
        <f>E28/E19*100</f>
        <v>0.35714285714285715</v>
      </c>
      <c r="I28" s="53">
        <f>F28/F19*100</f>
        <v>0.14414414414414414</v>
      </c>
      <c r="K28" s="102">
        <f t="shared" si="0"/>
        <v>60.000000000000007</v>
      </c>
    </row>
    <row r="29" spans="1:11" x14ac:dyDescent="0.25">
      <c r="B29" s="65" t="str">
        <f>'D.R.E.'!B26</f>
        <v>Despesas Conserv. Mantenedoras</v>
      </c>
      <c r="E29" s="60">
        <f>'D.R.E.'!D26</f>
        <v>10000</v>
      </c>
      <c r="F29" s="60">
        <f>'D.R.E.'!E26</f>
        <v>25000</v>
      </c>
      <c r="H29" s="53">
        <f>E29/E19*100</f>
        <v>0.7142857142857143</v>
      </c>
      <c r="I29" s="53">
        <f>F29/F19*100</f>
        <v>0.45045045045045046</v>
      </c>
      <c r="K29" s="102">
        <f t="shared" si="0"/>
        <v>150</v>
      </c>
    </row>
    <row r="30" spans="1:11" x14ac:dyDescent="0.25">
      <c r="A30" s="70" t="str">
        <f>'D.R.E.'!A27</f>
        <v>RESULTADO OPERACIONAL</v>
      </c>
      <c r="E30" s="77">
        <f>E23-E24</f>
        <v>1000000</v>
      </c>
      <c r="F30" s="77">
        <f>F23-F24</f>
        <v>4832000</v>
      </c>
      <c r="H30" s="80">
        <f>H23-H24</f>
        <v>71.428571428571431</v>
      </c>
      <c r="I30" s="80">
        <f>I23-I24</f>
        <v>87.063063063063069</v>
      </c>
      <c r="K30" s="102">
        <f t="shared" si="0"/>
        <v>383.2</v>
      </c>
    </row>
    <row r="31" spans="1:11" x14ac:dyDescent="0.25">
      <c r="A31" s="34" t="str">
        <f>'D.R.E.'!A28</f>
        <v>(-) Resultado Financeiro</v>
      </c>
      <c r="E31" s="77">
        <f>SUM(E32:E33)</f>
        <v>18000</v>
      </c>
      <c r="F31" s="77">
        <f>SUM(F32:F33)</f>
        <v>45000</v>
      </c>
      <c r="H31" s="74">
        <f>SUM(H32:H33)</f>
        <v>1.2857142857142858</v>
      </c>
      <c r="I31" s="74">
        <f>SUM(I32:I33)</f>
        <v>0.81081081081081086</v>
      </c>
      <c r="K31" s="102">
        <f t="shared" si="0"/>
        <v>150</v>
      </c>
    </row>
    <row r="32" spans="1:11" x14ac:dyDescent="0.25">
      <c r="B32" s="34" t="str">
        <f>'D.R.E.'!B29</f>
        <v>Despesas Financeiras</v>
      </c>
      <c r="E32" s="60">
        <f>'D.R.E.'!D29</f>
        <v>20000</v>
      </c>
      <c r="F32" s="60">
        <f>'D.R.E.'!E29</f>
        <v>50000</v>
      </c>
      <c r="H32" s="53">
        <f>E32/E19*100</f>
        <v>1.4285714285714286</v>
      </c>
      <c r="I32" s="53">
        <f>F32/F19*100</f>
        <v>0.90090090090090091</v>
      </c>
      <c r="K32" s="102">
        <f t="shared" si="0"/>
        <v>150</v>
      </c>
    </row>
    <row r="33" spans="1:11" x14ac:dyDescent="0.25">
      <c r="B33" s="45" t="str">
        <f>'D.R.E.'!B30</f>
        <v>(-) Receitas Financeiras</v>
      </c>
      <c r="E33" s="60">
        <f>'D.R.E.'!D30</f>
        <v>-2000</v>
      </c>
      <c r="F33" s="60">
        <f>'D.R.E.'!E30</f>
        <v>-5000</v>
      </c>
      <c r="H33" s="53">
        <f>E33/E19*100</f>
        <v>-0.14285714285714285</v>
      </c>
      <c r="I33" s="53">
        <f>F33/F19*100</f>
        <v>-9.0090090090090086E-2</v>
      </c>
      <c r="K33" s="102">
        <f t="shared" si="0"/>
        <v>150</v>
      </c>
    </row>
    <row r="34" spans="1:11" x14ac:dyDescent="0.25">
      <c r="A34" s="45" t="str">
        <f>'D.R.E.'!A31</f>
        <v>(-) Resultado não Operacional</v>
      </c>
      <c r="E34" s="77">
        <f>SUM(E35:E36)</f>
        <v>-200</v>
      </c>
      <c r="F34" s="77">
        <f>SUM(F35:F36)</f>
        <v>-1000</v>
      </c>
      <c r="H34" s="74">
        <f>SUM(H35:H36)</f>
        <v>-1.428571428571429E-2</v>
      </c>
      <c r="I34" s="74">
        <f>SUM(I35:I36)</f>
        <v>-1.8018018018018014E-2</v>
      </c>
      <c r="K34" s="102">
        <f t="shared" si="0"/>
        <v>400</v>
      </c>
    </row>
    <row r="35" spans="1:11" x14ac:dyDescent="0.25">
      <c r="B35" s="34" t="str">
        <f>'D.R.E.'!B32</f>
        <v>Despesas não Operacionais</v>
      </c>
      <c r="E35" s="60">
        <f>'D.R.E.'!D32</f>
        <v>1000</v>
      </c>
      <c r="F35" s="60">
        <f>'D.R.E.'!E32</f>
        <v>3000</v>
      </c>
      <c r="H35" s="53">
        <f>E35/E19*100</f>
        <v>7.1428571428571425E-2</v>
      </c>
      <c r="I35" s="53">
        <f>F35/F19*100</f>
        <v>5.4054054054054057E-2</v>
      </c>
      <c r="K35" s="102">
        <f t="shared" si="0"/>
        <v>200</v>
      </c>
    </row>
    <row r="36" spans="1:11" x14ac:dyDescent="0.25">
      <c r="B36" s="34" t="str">
        <f>'D.R.E.'!B33</f>
        <v>(-) Receitas não Operacionais</v>
      </c>
      <c r="E36" s="60">
        <f>'D.R.E.'!D33</f>
        <v>-1200</v>
      </c>
      <c r="F36" s="60">
        <f>'D.R.E.'!E33</f>
        <v>-4000</v>
      </c>
      <c r="H36" s="53">
        <f>E36/E19*100</f>
        <v>-8.5714285714285715E-2</v>
      </c>
      <c r="I36" s="53">
        <f>F36/F19*100</f>
        <v>-7.2072072072072071E-2</v>
      </c>
      <c r="K36" s="102">
        <f t="shared" si="0"/>
        <v>233.33333333333334</v>
      </c>
    </row>
    <row r="37" spans="1:11" x14ac:dyDescent="0.25">
      <c r="A37" s="70" t="str">
        <f>'D.R.E.'!A34</f>
        <v>RESULTADO DO EXERCÍCIO</v>
      </c>
      <c r="E37" s="77">
        <f>E30-E31-E34</f>
        <v>982200</v>
      </c>
      <c r="F37" s="77">
        <f>F30-F31-F34</f>
        <v>4788000</v>
      </c>
      <c r="H37" s="80">
        <f>H30-H31-H34</f>
        <v>70.157142857142858</v>
      </c>
      <c r="I37" s="80">
        <f>I30-I31-I34</f>
        <v>86.270270270270274</v>
      </c>
      <c r="K37" s="102">
        <f t="shared" si="0"/>
        <v>387.47709224190589</v>
      </c>
    </row>
    <row r="39" spans="1:11" x14ac:dyDescent="0.25">
      <c r="A39" s="121"/>
      <c r="B39" s="121"/>
      <c r="C39" s="121"/>
      <c r="D39" s="121"/>
      <c r="E39" s="121"/>
      <c r="F39" s="121"/>
      <c r="G39" s="121"/>
      <c r="H39" s="121"/>
      <c r="I39" s="8"/>
      <c r="J39" s="8"/>
      <c r="K39" s="8"/>
    </row>
    <row r="40" spans="1:11" x14ac:dyDescent="0.25">
      <c r="A40" s="119"/>
      <c r="B40" s="119"/>
      <c r="C40" s="119"/>
      <c r="D40" s="119"/>
      <c r="E40" s="119"/>
      <c r="F40" s="119"/>
      <c r="G40" s="119"/>
      <c r="H40" s="119"/>
    </row>
    <row r="41" spans="1:11" x14ac:dyDescent="0.25">
      <c r="A41" s="119"/>
      <c r="B41" s="119"/>
      <c r="C41" s="119"/>
      <c r="D41" s="119"/>
      <c r="E41" s="119"/>
      <c r="F41" s="119"/>
      <c r="G41" s="119"/>
      <c r="H41" s="119"/>
    </row>
    <row r="42" spans="1:11" x14ac:dyDescent="0.25">
      <c r="A42" s="119"/>
      <c r="B42" s="119"/>
      <c r="C42" s="119"/>
      <c r="D42" s="119"/>
      <c r="E42" s="119"/>
      <c r="F42" s="119"/>
      <c r="G42" s="119"/>
      <c r="H42" s="119"/>
    </row>
    <row r="43" spans="1:11" x14ac:dyDescent="0.25">
      <c r="E43" s="34" t="s">
        <v>8</v>
      </c>
    </row>
  </sheetData>
  <mergeCells count="6">
    <mergeCell ref="A42:H42"/>
    <mergeCell ref="A3:K3"/>
    <mergeCell ref="H5:I5"/>
    <mergeCell ref="A41:H41"/>
    <mergeCell ref="A40:H40"/>
    <mergeCell ref="A39:H39"/>
  </mergeCells>
  <phoneticPr fontId="11" type="noConversion"/>
  <printOptions horizontalCentered="1"/>
  <pageMargins left="0.27559055118110237" right="0.19685039370078741" top="0.31496062992125984" bottom="0.78740157480314965" header="0.27559055118110237" footer="0.51181102362204722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56"/>
  <sheetViews>
    <sheetView showGridLines="0" workbookViewId="0">
      <selection activeCell="A52" sqref="A52:E56"/>
    </sheetView>
  </sheetViews>
  <sheetFormatPr defaultColWidth="9.109375" defaultRowHeight="13.2" x14ac:dyDescent="0.25"/>
  <cols>
    <col min="1" max="1" width="2.6640625" style="22" customWidth="1"/>
    <col min="2" max="2" width="31" style="22" customWidth="1"/>
    <col min="3" max="4" width="12.6640625" style="22" customWidth="1"/>
    <col min="5" max="5" width="60.6640625" style="22" customWidth="1"/>
    <col min="6" max="6" width="14.33203125" style="22" customWidth="1"/>
    <col min="7" max="16384" width="9.109375" style="22"/>
  </cols>
  <sheetData>
    <row r="1" spans="1:9" ht="15.6" x14ac:dyDescent="0.3">
      <c r="A1" s="126" t="s">
        <v>165</v>
      </c>
      <c r="B1" s="126"/>
      <c r="C1" s="126"/>
      <c r="D1" s="126"/>
      <c r="E1" s="126"/>
    </row>
    <row r="2" spans="1:9" x14ac:dyDescent="0.25">
      <c r="A2" s="20"/>
      <c r="B2" s="20"/>
    </row>
    <row r="3" spans="1:9" x14ac:dyDescent="0.25">
      <c r="A3" s="127"/>
      <c r="B3" s="128"/>
      <c r="C3" s="25"/>
      <c r="D3" s="26"/>
      <c r="E3" s="27"/>
    </row>
    <row r="4" spans="1:9" x14ac:dyDescent="0.25">
      <c r="A4" s="129" t="s">
        <v>168</v>
      </c>
      <c r="B4" s="130"/>
      <c r="C4" s="88" t="str">
        <f>'B.P.'!E3</f>
        <v>Ano 1</v>
      </c>
      <c r="D4" s="19" t="str">
        <f>'B.P.'!F3</f>
        <v>Ano 2</v>
      </c>
      <c r="E4" s="86" t="s">
        <v>47</v>
      </c>
    </row>
    <row r="5" spans="1:9" x14ac:dyDescent="0.25">
      <c r="A5" s="40"/>
      <c r="B5" s="41"/>
      <c r="C5" s="40"/>
      <c r="D5" s="41"/>
      <c r="E5" s="87"/>
    </row>
    <row r="6" spans="1:9" x14ac:dyDescent="0.25">
      <c r="A6" s="33"/>
      <c r="B6" s="29"/>
      <c r="C6" s="30"/>
      <c r="D6" s="30"/>
      <c r="E6" s="86"/>
    </row>
    <row r="7" spans="1:9" x14ac:dyDescent="0.25">
      <c r="A7" s="28" t="s">
        <v>50</v>
      </c>
      <c r="B7" s="29"/>
      <c r="C7" s="55" t="s">
        <v>51</v>
      </c>
      <c r="D7" s="31" t="s">
        <v>51</v>
      </c>
      <c r="E7" s="21"/>
    </row>
    <row r="8" spans="1:9" x14ac:dyDescent="0.25">
      <c r="A8" s="28"/>
      <c r="B8" s="29"/>
      <c r="E8" s="21"/>
    </row>
    <row r="9" spans="1:9" x14ac:dyDescent="0.25">
      <c r="A9" s="32" t="s">
        <v>54</v>
      </c>
      <c r="B9" s="29"/>
      <c r="C9" s="96">
        <f>(('B.P.'!L5+'B.P.'!L17)/'B.P.'!L24)*100</f>
        <v>2041.0747490719273</v>
      </c>
      <c r="D9" s="96">
        <f>(('B.P.'!M5+'B.P.'!M17)/'B.P.'!M24)*100</f>
        <v>-495.20951603921901</v>
      </c>
      <c r="E9" s="122"/>
      <c r="F9" s="22" t="s">
        <v>8</v>
      </c>
      <c r="H9" s="22" t="s">
        <v>8</v>
      </c>
      <c r="I9" s="22" t="s">
        <v>8</v>
      </c>
    </row>
    <row r="10" spans="1:9" x14ac:dyDescent="0.25">
      <c r="A10" s="33"/>
      <c r="B10" s="29" t="s">
        <v>52</v>
      </c>
      <c r="C10" s="97"/>
      <c r="D10" s="98"/>
      <c r="E10" s="122"/>
      <c r="F10" s="56" t="s">
        <v>8</v>
      </c>
      <c r="H10" s="22" t="s">
        <v>8</v>
      </c>
    </row>
    <row r="11" spans="1:9" x14ac:dyDescent="0.25">
      <c r="A11" s="33"/>
      <c r="B11" s="29"/>
      <c r="C11" s="97"/>
      <c r="D11" s="98"/>
      <c r="E11" s="122"/>
      <c r="F11" s="56" t="s">
        <v>8</v>
      </c>
    </row>
    <row r="12" spans="1:9" x14ac:dyDescent="0.25">
      <c r="A12" s="33"/>
      <c r="B12" s="29"/>
      <c r="C12" s="97"/>
      <c r="D12" s="97"/>
      <c r="E12" s="83"/>
      <c r="F12" s="56"/>
    </row>
    <row r="13" spans="1:9" x14ac:dyDescent="0.25">
      <c r="A13" s="33" t="s">
        <v>53</v>
      </c>
      <c r="B13" s="29"/>
      <c r="C13" s="96">
        <f>('SIT.FINANC.-AVxAH (B.P.)'!E48/('SIT.FINANC.-AVxAH (B.P.)'!E48+'SIT.FINANC.-AVxAH (B.P.)'!E60))*100</f>
        <v>80.349313877537085</v>
      </c>
      <c r="D13" s="96">
        <f>('SIT.FINANC.-AVxAH (B.P.)'!F48/('SIT.FINANC.-AVxAH (B.P.)'!F48+'SIT.FINANC.-AVxAH (B.P.)'!F60))*100</f>
        <v>63.385594589004889</v>
      </c>
      <c r="E13" s="122"/>
      <c r="F13" s="22" t="s">
        <v>8</v>
      </c>
      <c r="G13" s="22" t="s">
        <v>8</v>
      </c>
      <c r="H13" s="22" t="s">
        <v>8</v>
      </c>
    </row>
    <row r="14" spans="1:9" x14ac:dyDescent="0.25">
      <c r="A14" s="33"/>
      <c r="B14" s="35" t="s">
        <v>55</v>
      </c>
      <c r="C14" s="97"/>
      <c r="D14" s="98"/>
      <c r="E14" s="123"/>
      <c r="F14" s="22" t="s">
        <v>8</v>
      </c>
    </row>
    <row r="15" spans="1:9" x14ac:dyDescent="0.25">
      <c r="A15" s="33"/>
      <c r="B15" s="35"/>
      <c r="C15" s="97"/>
      <c r="D15" s="97"/>
      <c r="E15" s="84"/>
    </row>
    <row r="16" spans="1:9" x14ac:dyDescent="0.25">
      <c r="A16" s="36" t="s">
        <v>56</v>
      </c>
      <c r="B16" s="29"/>
      <c r="C16" s="96">
        <f>(('SIT.FINANC.-AVxAH (B.P.)'!E48+'SIT.FINANC.-AVxAH (B.P.)'!E60)/'SIT.FINANC.-AVxAH (B.P.)'!E8)*100</f>
        <v>95.329447437476958</v>
      </c>
      <c r="D16" s="96">
        <f>(('SIT.FINANC.-AVxAH (B.P.)'!F48+'SIT.FINANC.-AVxAH (B.P.)'!F60)/'SIT.FINANC.-AVxAH (B.P.)'!F8)*100</f>
        <v>125.30303445175051</v>
      </c>
      <c r="E16" s="122"/>
      <c r="F16" s="22" t="s">
        <v>8</v>
      </c>
      <c r="G16" s="22" t="s">
        <v>8</v>
      </c>
    </row>
    <row r="17" spans="1:8" x14ac:dyDescent="0.25">
      <c r="A17" s="33"/>
      <c r="B17" s="37" t="s">
        <v>57</v>
      </c>
      <c r="C17" s="97" t="s">
        <v>8</v>
      </c>
      <c r="D17" s="98" t="s">
        <v>8</v>
      </c>
      <c r="E17" s="123"/>
      <c r="G17" s="22" t="s">
        <v>8</v>
      </c>
      <c r="H17" s="22" t="s">
        <v>8</v>
      </c>
    </row>
    <row r="18" spans="1:8" x14ac:dyDescent="0.25">
      <c r="A18" s="33"/>
      <c r="B18" s="37"/>
      <c r="C18" s="97"/>
      <c r="D18" s="97"/>
      <c r="E18" s="84"/>
    </row>
    <row r="19" spans="1:8" x14ac:dyDescent="0.25">
      <c r="A19" s="36" t="s">
        <v>58</v>
      </c>
      <c r="B19" s="29"/>
      <c r="C19" s="96">
        <f>('SIT.FINANC.-AVxAH (B.P.)'!E35/'SIT.FINANC.-AVxAH (B.P.)'!E67)*100</f>
        <v>1443.0991157075409</v>
      </c>
      <c r="D19" s="96">
        <f>('SIT.FINANC.-AVxAH (B.P.)'!F35/'SIT.FINANC.-AVxAH (B.P.)'!F67)*100</f>
        <v>-276.468172944294</v>
      </c>
      <c r="E19" s="122"/>
      <c r="F19" s="22" t="s">
        <v>8</v>
      </c>
    </row>
    <row r="20" spans="1:8" x14ac:dyDescent="0.25">
      <c r="A20" s="33"/>
      <c r="B20" s="29" t="s">
        <v>59</v>
      </c>
      <c r="C20" s="97" t="s">
        <v>8</v>
      </c>
      <c r="D20" s="98" t="s">
        <v>8</v>
      </c>
      <c r="E20" s="123"/>
      <c r="F20" s="56" t="s">
        <v>8</v>
      </c>
    </row>
    <row r="21" spans="1:8" x14ac:dyDescent="0.25">
      <c r="A21" s="33"/>
      <c r="B21" s="29"/>
      <c r="C21" s="97"/>
      <c r="D21" s="97"/>
      <c r="E21" s="84"/>
      <c r="F21" s="56"/>
    </row>
    <row r="22" spans="1:8" x14ac:dyDescent="0.25">
      <c r="A22" s="32" t="s">
        <v>60</v>
      </c>
      <c r="B22" s="29"/>
      <c r="C22" s="96">
        <f>('SIT.FINANC.-AVxAH (B.P.)'!E35/('SIT.FINANC.-AVxAH (B.P.)'!E60+'SIT.FINANC.-AVxAH (B.P.)'!E67))*100</f>
        <v>287.99476364658682</v>
      </c>
      <c r="D22" s="96">
        <f>('SIT.FINANC.-AVxAH (B.P.)'!F35/('SIT.FINANC.-AVxAH (B.P.)'!F60+'SIT.FINANC.-AVxAH (B.P.)'!F67))*100</f>
        <v>339.98389717361232</v>
      </c>
      <c r="E22" s="122"/>
      <c r="F22" s="56" t="s">
        <v>8</v>
      </c>
    </row>
    <row r="23" spans="1:8" x14ac:dyDescent="0.25">
      <c r="A23" s="32"/>
      <c r="B23" s="29" t="s">
        <v>61</v>
      </c>
      <c r="C23" s="93"/>
      <c r="D23" s="93"/>
      <c r="E23" s="122"/>
      <c r="F23" s="56"/>
    </row>
    <row r="24" spans="1:8" x14ac:dyDescent="0.25">
      <c r="A24" s="40"/>
      <c r="B24" s="41"/>
      <c r="C24" s="59"/>
      <c r="D24" s="94"/>
      <c r="E24" s="138"/>
    </row>
    <row r="25" spans="1:8" x14ac:dyDescent="0.25">
      <c r="A25" s="33"/>
      <c r="B25" s="34"/>
      <c r="C25" s="23"/>
      <c r="D25" s="24"/>
      <c r="E25" s="82"/>
    </row>
    <row r="26" spans="1:8" x14ac:dyDescent="0.25">
      <c r="A26" s="28" t="s">
        <v>25</v>
      </c>
      <c r="B26" s="34"/>
      <c r="C26" s="55" t="s">
        <v>26</v>
      </c>
      <c r="D26" s="31" t="s">
        <v>26</v>
      </c>
      <c r="E26" s="29"/>
    </row>
    <row r="27" spans="1:8" x14ac:dyDescent="0.25">
      <c r="A27" s="28"/>
      <c r="B27" s="34"/>
      <c r="C27" s="55"/>
      <c r="D27" s="31"/>
      <c r="E27" s="29"/>
    </row>
    <row r="28" spans="1:8" x14ac:dyDescent="0.25">
      <c r="A28" s="21" t="s">
        <v>23</v>
      </c>
      <c r="B28" s="34"/>
      <c r="C28" s="99">
        <f>('SIT.FINANC.-AVxAH (B.P.)'!E9+'SIT.FINANC.-AVxAH (B.P.)'!E25)/('SIT.FINANC.-AVxAH (B.P.)'!E48+'SIT.FINANC.-AVxAH (B.P.)'!E60)</f>
        <v>0.34196476944134041</v>
      </c>
      <c r="D28" s="98">
        <f>('SIT.FINANC.-AVxAH (B.P.)'!F9+'SIT.FINANC.-AVxAH (B.P.)'!F25)/('SIT.FINANC.-AVxAH (B.P.)'!F48+'SIT.FINANC.-AVxAH (B.P.)'!F60)</f>
        <v>0.23978001078137814</v>
      </c>
      <c r="E28" s="124"/>
    </row>
    <row r="29" spans="1:8" x14ac:dyDescent="0.25">
      <c r="A29" s="33"/>
      <c r="B29" s="34" t="s">
        <v>27</v>
      </c>
      <c r="C29" s="99"/>
      <c r="D29" s="98"/>
      <c r="E29" s="125"/>
    </row>
    <row r="30" spans="1:8" x14ac:dyDescent="0.25">
      <c r="A30" s="33"/>
      <c r="B30" s="34"/>
      <c r="C30" s="99"/>
      <c r="D30" s="98"/>
      <c r="E30" s="82"/>
    </row>
    <row r="31" spans="1:8" x14ac:dyDescent="0.25">
      <c r="A31" s="33" t="s">
        <v>24</v>
      </c>
      <c r="B31" s="34"/>
      <c r="C31" s="99">
        <f>'SIT.FINANC.-AVxAH (B.P.)'!E9/'SIT.FINANC.-AVxAH (B.P.)'!E48</f>
        <v>0.38027814237055685</v>
      </c>
      <c r="D31" s="98">
        <f>'SIT.FINANC.-AVxAH (B.P.)'!F9/'SIT.FINANC.-AVxAH (B.P.)'!F48</f>
        <v>0.32982680113975632</v>
      </c>
      <c r="E31" s="44"/>
    </row>
    <row r="32" spans="1:8" x14ac:dyDescent="0.25">
      <c r="A32" s="33"/>
      <c r="B32" s="45" t="s">
        <v>28</v>
      </c>
      <c r="C32" s="99"/>
      <c r="D32" s="98"/>
      <c r="E32" s="29"/>
    </row>
    <row r="33" spans="1:5" x14ac:dyDescent="0.25">
      <c r="A33" s="33"/>
      <c r="B33" s="45"/>
      <c r="C33" s="99"/>
      <c r="D33" s="98"/>
      <c r="E33" s="29"/>
    </row>
    <row r="34" spans="1:5" x14ac:dyDescent="0.25">
      <c r="A34" s="32" t="s">
        <v>29</v>
      </c>
      <c r="B34" s="34"/>
      <c r="C34" s="99">
        <f>('SIT.FINANC.-AVxAH (B.P.)'!E9-'SIT.FINANC.-AVxAH (B.P.)'!E21-'SIT.FINANC.-AVxAH (B.P.)'!E23)/'SIT.FINANC.-AVxAH (B.P.)'!E48</f>
        <v>0.30879989350140119</v>
      </c>
      <c r="D34" s="98">
        <f>('SIT.FINANC.-AVxAH (B.P.)'!F9-'SIT.FINANC.-AVxAH (B.P.)'!F21-'SIT.FINANC.-AVxAH (B.P.)'!F23)/'SIT.FINANC.-AVxAH (B.P.)'!F48</f>
        <v>0.26053765036441706</v>
      </c>
      <c r="E34" s="37"/>
    </row>
    <row r="35" spans="1:5" x14ac:dyDescent="0.25">
      <c r="A35" s="33"/>
      <c r="B35" s="45" t="s">
        <v>30</v>
      </c>
      <c r="C35" s="99"/>
      <c r="D35" s="98"/>
      <c r="E35" s="29"/>
    </row>
    <row r="36" spans="1:5" x14ac:dyDescent="0.25">
      <c r="A36" s="33"/>
      <c r="B36" s="45"/>
      <c r="C36" s="99"/>
      <c r="D36" s="98"/>
      <c r="E36" s="29"/>
    </row>
    <row r="37" spans="1:5" x14ac:dyDescent="0.25">
      <c r="A37" s="32" t="s">
        <v>48</v>
      </c>
      <c r="B37" s="34"/>
      <c r="C37" s="99">
        <f>'SIT.FINANC.-AVxAH (B.P.)'!E10/'SIT.FINANC.-AVxAH (B.P.)'!E48</f>
        <v>1.768039179217263E-2</v>
      </c>
      <c r="D37" s="98">
        <f>'SIT.FINANC.-AVxAH (B.P.)'!F10/'SIT.FINANC.-AVxAH (B.P.)'!F48</f>
        <v>1.0732290404402224E-2</v>
      </c>
      <c r="E37" s="37"/>
    </row>
    <row r="38" spans="1:5" x14ac:dyDescent="0.25">
      <c r="A38" s="32"/>
      <c r="B38" s="29" t="s">
        <v>49</v>
      </c>
      <c r="C38" s="43"/>
      <c r="D38" s="39"/>
      <c r="E38" s="37"/>
    </row>
    <row r="39" spans="1:5" x14ac:dyDescent="0.25">
      <c r="A39" s="40"/>
      <c r="B39" s="46"/>
      <c r="C39" s="33"/>
      <c r="D39" s="29"/>
      <c r="E39" s="47" t="s">
        <v>8</v>
      </c>
    </row>
    <row r="40" spans="1:5" x14ac:dyDescent="0.25">
      <c r="A40" s="23"/>
      <c r="B40" s="24"/>
      <c r="C40" s="23"/>
      <c r="D40" s="24"/>
      <c r="E40" s="92"/>
    </row>
    <row r="41" spans="1:5" x14ac:dyDescent="0.25">
      <c r="A41" s="28" t="s">
        <v>62</v>
      </c>
      <c r="B41" s="34"/>
      <c r="C41" s="55" t="s">
        <v>26</v>
      </c>
      <c r="D41" s="31" t="s">
        <v>26</v>
      </c>
      <c r="E41" s="29"/>
    </row>
    <row r="42" spans="1:5" x14ac:dyDescent="0.25">
      <c r="A42" s="28"/>
      <c r="B42" s="34"/>
      <c r="C42" s="33"/>
      <c r="D42" s="29"/>
      <c r="E42" s="29"/>
    </row>
    <row r="43" spans="1:5" x14ac:dyDescent="0.25">
      <c r="A43" s="33" t="s">
        <v>63</v>
      </c>
      <c r="B43" s="34"/>
      <c r="C43" s="100">
        <f>('D.R.E.'!D27-'D.R.E.'!D30-'D.R.E.'!D33)/'D.R.E.'!D29</f>
        <v>50.16</v>
      </c>
      <c r="D43" s="101">
        <f>('D.R.E.'!E27-'D.R.E.'!E30-'D.R.E.'!E33)/'D.R.E.'!E29</f>
        <v>96.82</v>
      </c>
      <c r="E43" s="124"/>
    </row>
    <row r="44" spans="1:5" x14ac:dyDescent="0.25">
      <c r="A44" s="33"/>
      <c r="B44" s="34" t="s">
        <v>64</v>
      </c>
      <c r="C44" s="99"/>
      <c r="D44" s="98"/>
      <c r="E44" s="125"/>
    </row>
    <row r="45" spans="1:5" x14ac:dyDescent="0.25">
      <c r="A45" s="33"/>
      <c r="B45" s="34"/>
      <c r="C45" s="99"/>
      <c r="D45" s="98"/>
      <c r="E45" s="82"/>
    </row>
    <row r="46" spans="1:5" x14ac:dyDescent="0.25">
      <c r="A46" s="33" t="s">
        <v>65</v>
      </c>
      <c r="B46" s="34"/>
      <c r="C46" s="100">
        <f>('D.R.E.'!D27-'D.R.E.'!D30-'D.R.E.'!D33)/'D.R.E.'!D29</f>
        <v>50.16</v>
      </c>
      <c r="D46" s="101">
        <f>('D.R.E.'!E27-'D.R.E.'!E30-'D.R.E.'!E33)/'D.R.E.'!E29</f>
        <v>96.82</v>
      </c>
      <c r="E46" s="124"/>
    </row>
    <row r="47" spans="1:5" x14ac:dyDescent="0.25">
      <c r="A47" s="33"/>
      <c r="B47" s="37" t="s">
        <v>66</v>
      </c>
      <c r="C47" s="49"/>
      <c r="D47" s="50"/>
      <c r="E47" s="124"/>
    </row>
    <row r="48" spans="1:5" x14ac:dyDescent="0.25">
      <c r="A48" s="40"/>
      <c r="B48" s="51"/>
      <c r="C48" s="33"/>
      <c r="D48" s="29"/>
      <c r="E48" s="125"/>
    </row>
    <row r="49" spans="1:5" x14ac:dyDescent="0.25">
      <c r="A49" s="23"/>
      <c r="B49" s="91"/>
      <c r="C49" s="48"/>
      <c r="D49" s="48"/>
      <c r="E49" s="89"/>
    </row>
    <row r="50" spans="1:5" x14ac:dyDescent="0.25">
      <c r="A50" s="90" t="s">
        <v>67</v>
      </c>
      <c r="B50" s="34"/>
      <c r="C50" s="34"/>
      <c r="D50" s="34"/>
      <c r="E50" s="29"/>
    </row>
    <row r="51" spans="1:5" x14ac:dyDescent="0.25">
      <c r="A51" s="90"/>
      <c r="B51" s="34"/>
      <c r="C51" s="34"/>
      <c r="D51" s="34"/>
      <c r="E51" s="29"/>
    </row>
    <row r="52" spans="1:5" x14ac:dyDescent="0.25">
      <c r="A52" s="131"/>
      <c r="B52" s="132"/>
      <c r="C52" s="132"/>
      <c r="D52" s="132"/>
      <c r="E52" s="133"/>
    </row>
    <row r="53" spans="1:5" x14ac:dyDescent="0.25">
      <c r="A53" s="134"/>
      <c r="B53" s="132"/>
      <c r="C53" s="132"/>
      <c r="D53" s="132"/>
      <c r="E53" s="133"/>
    </row>
    <row r="54" spans="1:5" x14ac:dyDescent="0.25">
      <c r="A54" s="134"/>
      <c r="B54" s="132"/>
      <c r="C54" s="132"/>
      <c r="D54" s="132"/>
      <c r="E54" s="133"/>
    </row>
    <row r="55" spans="1:5" x14ac:dyDescent="0.25">
      <c r="A55" s="134"/>
      <c r="B55" s="132"/>
      <c r="C55" s="132"/>
      <c r="D55" s="132"/>
      <c r="E55" s="133"/>
    </row>
    <row r="56" spans="1:5" x14ac:dyDescent="0.25">
      <c r="A56" s="135"/>
      <c r="B56" s="136"/>
      <c r="C56" s="136"/>
      <c r="D56" s="136"/>
      <c r="E56" s="137"/>
    </row>
  </sheetData>
  <mergeCells count="12">
    <mergeCell ref="A52:E56"/>
    <mergeCell ref="E28:E29"/>
    <mergeCell ref="E9:E11"/>
    <mergeCell ref="E22:E24"/>
    <mergeCell ref="E19:E20"/>
    <mergeCell ref="E16:E17"/>
    <mergeCell ref="E13:E14"/>
    <mergeCell ref="E43:E44"/>
    <mergeCell ref="E46:E48"/>
    <mergeCell ref="A1:E1"/>
    <mergeCell ref="A3:B3"/>
    <mergeCell ref="A4:B4"/>
  </mergeCells>
  <phoneticPr fontId="11" type="noConversion"/>
  <printOptions horizontalCentered="1"/>
  <pageMargins left="0.19685039370078741" right="0.19685039370078741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40"/>
  <sheetViews>
    <sheetView showGridLines="0" workbookViewId="0">
      <selection sqref="A1:E1"/>
    </sheetView>
  </sheetViews>
  <sheetFormatPr defaultColWidth="9.109375" defaultRowHeight="13.2" x14ac:dyDescent="0.25"/>
  <cols>
    <col min="1" max="1" width="2.6640625" style="22" customWidth="1"/>
    <col min="2" max="2" width="26.109375" style="22" customWidth="1"/>
    <col min="3" max="4" width="12.6640625" style="22" customWidth="1"/>
    <col min="5" max="5" width="60.6640625" style="22" customWidth="1"/>
    <col min="6" max="6" width="9.88671875" style="22" customWidth="1"/>
    <col min="7" max="7" width="10.88671875" style="22" customWidth="1"/>
    <col min="8" max="8" width="10.44140625" style="22" bestFit="1" customWidth="1"/>
    <col min="9" max="16384" width="9.109375" style="22"/>
  </cols>
  <sheetData>
    <row r="1" spans="1:6" ht="15.6" x14ac:dyDescent="0.3">
      <c r="A1" s="126" t="s">
        <v>169</v>
      </c>
      <c r="B1" s="126"/>
      <c r="C1" s="126"/>
      <c r="D1" s="126"/>
      <c r="E1" s="126"/>
    </row>
    <row r="2" spans="1:6" x14ac:dyDescent="0.25">
      <c r="A2" s="20"/>
      <c r="B2" s="20"/>
    </row>
    <row r="3" spans="1:6" x14ac:dyDescent="0.25">
      <c r="A3" s="23"/>
      <c r="B3" s="24"/>
      <c r="C3" s="23"/>
      <c r="D3" s="24"/>
      <c r="E3" s="27"/>
    </row>
    <row r="4" spans="1:6" x14ac:dyDescent="0.25">
      <c r="A4" s="129" t="s">
        <v>168</v>
      </c>
      <c r="B4" s="130"/>
      <c r="C4" s="19" t="str">
        <f>'B.P.'!E3</f>
        <v>Ano 1</v>
      </c>
      <c r="D4" s="19" t="str">
        <f>'B.P.'!F3</f>
        <v>Ano 2</v>
      </c>
      <c r="E4" s="86" t="s">
        <v>47</v>
      </c>
    </row>
    <row r="5" spans="1:6" x14ac:dyDescent="0.25">
      <c r="A5" s="40"/>
      <c r="B5" s="41"/>
      <c r="C5" s="103"/>
      <c r="D5" s="103"/>
      <c r="E5" s="87"/>
    </row>
    <row r="6" spans="1:6" x14ac:dyDescent="0.25">
      <c r="A6" s="33"/>
      <c r="B6" s="29"/>
      <c r="C6" s="19"/>
      <c r="D6" s="19"/>
      <c r="E6" s="86"/>
    </row>
    <row r="7" spans="1:6" x14ac:dyDescent="0.25">
      <c r="A7" s="28" t="s">
        <v>94</v>
      </c>
      <c r="B7" s="29"/>
      <c r="C7" s="30" t="s">
        <v>51</v>
      </c>
      <c r="D7" s="31" t="s">
        <v>51</v>
      </c>
      <c r="E7" s="21"/>
    </row>
    <row r="8" spans="1:6" x14ac:dyDescent="0.25">
      <c r="A8" s="52"/>
      <c r="B8" s="29"/>
      <c r="C8" s="30"/>
      <c r="D8" s="30"/>
      <c r="E8" s="21"/>
    </row>
    <row r="9" spans="1:6" x14ac:dyDescent="0.25">
      <c r="A9" s="36" t="s">
        <v>95</v>
      </c>
      <c r="B9" s="29"/>
      <c r="C9" s="96">
        <f>('RENTABILIDADE-AVxAH (D.R.E.)'!E23/'RENTABILIDADE-AVxAH (D.R.E.)'!E19)*100</f>
        <v>92.857142857142861</v>
      </c>
      <c r="D9" s="96">
        <f>('RENTABILIDADE-AVxAH (D.R.E.)'!F23/'RENTABILIDADE-AVxAH (D.R.E.)'!F19)*100</f>
        <v>95.675675675675677</v>
      </c>
      <c r="E9" s="122"/>
      <c r="F9" s="22" t="s">
        <v>8</v>
      </c>
    </row>
    <row r="10" spans="1:6" x14ac:dyDescent="0.25">
      <c r="A10" s="33"/>
      <c r="B10" s="29" t="s">
        <v>96</v>
      </c>
      <c r="C10" s="97"/>
      <c r="D10" s="98"/>
      <c r="E10" s="122"/>
    </row>
    <row r="11" spans="1:6" x14ac:dyDescent="0.25">
      <c r="A11" s="33"/>
      <c r="B11" s="29"/>
      <c r="C11" s="97"/>
      <c r="D11" s="97"/>
      <c r="E11" s="122"/>
    </row>
    <row r="12" spans="1:6" x14ac:dyDescent="0.25">
      <c r="A12" s="32" t="s">
        <v>97</v>
      </c>
      <c r="B12" s="29"/>
      <c r="C12" s="96">
        <f>('RENTABILIDADE-AVxAH (D.R.E.)'!E30/'RENTABILIDADE-AVxAH (D.R.E.)'!E19)*100</f>
        <v>71.428571428571431</v>
      </c>
      <c r="D12" s="96">
        <f>('RENTABILIDADE-AVxAH (D.R.E.)'!F30/'RENTABILIDADE-AVxAH (D.R.E.)'!F19)*100</f>
        <v>87.063063063063055</v>
      </c>
      <c r="E12" s="122"/>
      <c r="F12" s="22" t="s">
        <v>8</v>
      </c>
    </row>
    <row r="13" spans="1:6" x14ac:dyDescent="0.25">
      <c r="A13" s="33"/>
      <c r="B13" s="37" t="s">
        <v>98</v>
      </c>
      <c r="C13" s="97"/>
      <c r="D13" s="98"/>
      <c r="E13" s="123"/>
      <c r="F13" s="54" t="s">
        <v>8</v>
      </c>
    </row>
    <row r="14" spans="1:6" x14ac:dyDescent="0.25">
      <c r="A14" s="33"/>
      <c r="B14" s="37"/>
      <c r="C14" s="97"/>
      <c r="D14" s="97"/>
      <c r="E14" s="84"/>
      <c r="F14" s="54"/>
    </row>
    <row r="15" spans="1:6" x14ac:dyDescent="0.25">
      <c r="A15" s="36" t="s">
        <v>99</v>
      </c>
      <c r="B15" s="29"/>
      <c r="C15" s="96">
        <f>('RENTABILIDADE-AVxAH (D.R.E.)'!E37/'RENTABILIDADE-AVxAH (D.R.E.)'!E19)*100</f>
        <v>70.157142857142858</v>
      </c>
      <c r="D15" s="96">
        <f>('RENTABILIDADE-AVxAH (D.R.E.)'!F37/'RENTABILIDADE-AVxAH (D.R.E.)'!F19)*100</f>
        <v>86.27027027027026</v>
      </c>
      <c r="E15" s="122"/>
      <c r="F15" s="22" t="s">
        <v>8</v>
      </c>
    </row>
    <row r="16" spans="1:6" x14ac:dyDescent="0.25">
      <c r="A16" s="33"/>
      <c r="B16" s="37" t="s">
        <v>100</v>
      </c>
      <c r="C16" s="97" t="s">
        <v>8</v>
      </c>
      <c r="D16" s="98" t="s">
        <v>8</v>
      </c>
      <c r="E16" s="123"/>
    </row>
    <row r="17" spans="1:9" x14ac:dyDescent="0.25">
      <c r="A17" s="33"/>
      <c r="B17" s="37"/>
      <c r="C17" s="97"/>
      <c r="D17" s="97"/>
      <c r="E17" s="84"/>
    </row>
    <row r="18" spans="1:9" x14ac:dyDescent="0.25">
      <c r="A18" s="36" t="s">
        <v>101</v>
      </c>
      <c r="B18" s="29"/>
      <c r="C18" s="96">
        <f>('RENTABILIDADE-AVxAH (D.R.E.)'!E23/'RENTABILIDADE-AVxAH (D.R.E.)'!E20)*100</f>
        <v>1300</v>
      </c>
      <c r="D18" s="96">
        <f>('RENTABILIDADE-AVxAH (D.R.E.)'!F23/'RENTABILIDADE-AVxAH (D.R.E.)'!F20)*100</f>
        <v>2212.5</v>
      </c>
      <c r="E18" s="123"/>
    </row>
    <row r="19" spans="1:9" x14ac:dyDescent="0.25">
      <c r="A19" s="33"/>
      <c r="B19" s="37" t="s">
        <v>102</v>
      </c>
      <c r="C19" s="96"/>
      <c r="D19" s="96"/>
      <c r="E19" s="123"/>
    </row>
    <row r="20" spans="1:9" x14ac:dyDescent="0.25">
      <c r="A20" s="33"/>
      <c r="B20" s="37"/>
      <c r="C20" s="38" t="s">
        <v>8</v>
      </c>
      <c r="D20" s="39" t="s">
        <v>8</v>
      </c>
      <c r="E20" s="123"/>
    </row>
    <row r="21" spans="1:9" x14ac:dyDescent="0.25">
      <c r="A21" s="23"/>
      <c r="B21" s="106"/>
      <c r="C21" s="104"/>
      <c r="D21" s="105"/>
      <c r="E21" s="89"/>
    </row>
    <row r="22" spans="1:9" x14ac:dyDescent="0.25">
      <c r="A22" s="52" t="s">
        <v>103</v>
      </c>
      <c r="B22" s="34"/>
      <c r="C22" s="55" t="s">
        <v>26</v>
      </c>
      <c r="D22" s="31" t="s">
        <v>26</v>
      </c>
      <c r="E22" s="29"/>
      <c r="F22" s="22" t="s">
        <v>8</v>
      </c>
    </row>
    <row r="23" spans="1:9" x14ac:dyDescent="0.25">
      <c r="A23" s="52"/>
      <c r="B23" s="34"/>
      <c r="C23" s="55"/>
      <c r="D23" s="31"/>
      <c r="E23" s="29"/>
    </row>
    <row r="24" spans="1:9" x14ac:dyDescent="0.25">
      <c r="A24" s="33" t="s">
        <v>104</v>
      </c>
      <c r="B24" s="34"/>
      <c r="C24" s="100">
        <v>0</v>
      </c>
      <c r="D24" s="98">
        <f>'RENTABILIDADE-AVxAH (D.R.E.)'!F30/((('SIT.FINANC.-AVxAH (B.P.)'!E9-'SIT.FINANC.-AVxAH (B.P.)'!E22-'SIT.FINANC.-AVxAH (B.P.)'!E23+'SIT.FINANC.-AVxAH (B.P.)'!E38)+'SIT.FINANC.-AVxAH (B.P.)'!F9-'SIT.FINANC.-AVxAH (B.P.)'!E22-'SIT.FINANC.-AVxAH (B.P.)'!E23+'SIT.FINANC.-AVxAH (B.P.)'!F38)/2)</f>
        <v>0.94027030294048741</v>
      </c>
      <c r="E24" s="124"/>
      <c r="F24" s="56"/>
      <c r="G24" s="56"/>
      <c r="H24" s="56"/>
    </row>
    <row r="25" spans="1:9" x14ac:dyDescent="0.25">
      <c r="A25" s="33"/>
      <c r="B25" s="34" t="s">
        <v>105</v>
      </c>
      <c r="C25" s="99"/>
      <c r="D25" s="98"/>
      <c r="E25" s="125"/>
      <c r="F25" s="22" t="s">
        <v>8</v>
      </c>
    </row>
    <row r="26" spans="1:9" x14ac:dyDescent="0.25">
      <c r="A26" s="33"/>
      <c r="B26" s="34"/>
      <c r="C26" s="99"/>
      <c r="D26" s="98"/>
      <c r="E26" s="82"/>
    </row>
    <row r="27" spans="1:9" x14ac:dyDescent="0.25">
      <c r="A27" s="32" t="s">
        <v>106</v>
      </c>
      <c r="B27" s="34"/>
      <c r="C27" s="100">
        <v>0</v>
      </c>
      <c r="D27" s="98">
        <f>'RENTABILIDADE-AVxAH (D.R.E.)'!F37/(('SIT.FINANC.-AVxAH (B.P.)'!E8+'SIT.FINANC.-AVxAH (B.P.)'!F8)/2)</f>
        <v>0.878046268563765</v>
      </c>
      <c r="E27" s="124"/>
      <c r="F27" s="22" t="s">
        <v>8</v>
      </c>
    </row>
    <row r="28" spans="1:9" x14ac:dyDescent="0.25">
      <c r="A28" s="33"/>
      <c r="B28" s="45" t="s">
        <v>107</v>
      </c>
      <c r="C28" s="99"/>
      <c r="D28" s="98"/>
      <c r="E28" s="125"/>
      <c r="F28" s="57" t="s">
        <v>8</v>
      </c>
    </row>
    <row r="29" spans="1:9" x14ac:dyDescent="0.25">
      <c r="A29" s="33"/>
      <c r="B29" s="45"/>
      <c r="C29" s="99"/>
      <c r="D29" s="98"/>
      <c r="E29" s="82"/>
      <c r="F29" s="57"/>
    </row>
    <row r="30" spans="1:9" x14ac:dyDescent="0.25">
      <c r="A30" s="32" t="s">
        <v>108</v>
      </c>
      <c r="B30" s="34"/>
      <c r="C30" s="100">
        <v>0</v>
      </c>
      <c r="D30" s="98">
        <f>'RENTABILIDADE-AVxAH (D.R.E.)'!F37/(('SIT.FINANC.-AVxAH (B.P.)'!E67+'SIT.FINANC.-AVxAH (B.P.)'!F67)/2)</f>
        <v>-9.0606940468931416</v>
      </c>
      <c r="E30" s="124"/>
      <c r="F30" s="56" t="s">
        <v>8</v>
      </c>
      <c r="G30" s="56" t="s">
        <v>8</v>
      </c>
      <c r="H30" s="56" t="s">
        <v>8</v>
      </c>
      <c r="I30" s="22" t="s">
        <v>8</v>
      </c>
    </row>
    <row r="31" spans="1:9" x14ac:dyDescent="0.25">
      <c r="A31" s="33"/>
      <c r="B31" s="45" t="s">
        <v>126</v>
      </c>
      <c r="C31" s="33"/>
      <c r="D31" s="29"/>
      <c r="E31" s="124"/>
      <c r="H31" s="56" t="s">
        <v>8</v>
      </c>
      <c r="I31" s="22" t="s">
        <v>8</v>
      </c>
    </row>
    <row r="32" spans="1:9" x14ac:dyDescent="0.25">
      <c r="A32" s="40"/>
      <c r="B32" s="51"/>
      <c r="C32" s="40"/>
      <c r="D32" s="41"/>
      <c r="E32" s="139"/>
      <c r="H32" s="56" t="s">
        <v>8</v>
      </c>
    </row>
    <row r="33" spans="1:8" x14ac:dyDescent="0.25">
      <c r="A33" s="33"/>
      <c r="B33" s="45"/>
      <c r="C33" s="34"/>
      <c r="D33" s="34"/>
      <c r="E33" s="81"/>
      <c r="H33" s="56"/>
    </row>
    <row r="34" spans="1:8" x14ac:dyDescent="0.25">
      <c r="A34" s="90" t="s">
        <v>67</v>
      </c>
      <c r="B34" s="34"/>
      <c r="C34" s="34"/>
      <c r="D34" s="34"/>
      <c r="E34" s="29"/>
      <c r="H34" s="56" t="s">
        <v>8</v>
      </c>
    </row>
    <row r="35" spans="1:8" x14ac:dyDescent="0.25">
      <c r="A35" s="90"/>
      <c r="B35" s="34"/>
      <c r="C35" s="34"/>
      <c r="D35" s="34"/>
      <c r="E35" s="29"/>
      <c r="H35" s="56"/>
    </row>
    <row r="36" spans="1:8" x14ac:dyDescent="0.25">
      <c r="A36" s="131"/>
      <c r="B36" s="132"/>
      <c r="C36" s="132"/>
      <c r="D36" s="132"/>
      <c r="E36" s="133"/>
      <c r="H36" s="22" t="s">
        <v>8</v>
      </c>
    </row>
    <row r="37" spans="1:8" x14ac:dyDescent="0.25">
      <c r="A37" s="134"/>
      <c r="B37" s="132"/>
      <c r="C37" s="132"/>
      <c r="D37" s="132"/>
      <c r="E37" s="133"/>
      <c r="H37" s="56" t="s">
        <v>8</v>
      </c>
    </row>
    <row r="38" spans="1:8" x14ac:dyDescent="0.25">
      <c r="A38" s="134"/>
      <c r="B38" s="132"/>
      <c r="C38" s="132"/>
      <c r="D38" s="132"/>
      <c r="E38" s="133"/>
      <c r="H38" s="22" t="s">
        <v>8</v>
      </c>
    </row>
    <row r="39" spans="1:8" x14ac:dyDescent="0.25">
      <c r="A39" s="134"/>
      <c r="B39" s="132"/>
      <c r="C39" s="132"/>
      <c r="D39" s="132"/>
      <c r="E39" s="133"/>
    </row>
    <row r="40" spans="1:8" x14ac:dyDescent="0.25">
      <c r="A40" s="135"/>
      <c r="B40" s="136"/>
      <c r="C40" s="136"/>
      <c r="D40" s="136"/>
      <c r="E40" s="137"/>
    </row>
  </sheetData>
  <mergeCells count="10">
    <mergeCell ref="A36:E40"/>
    <mergeCell ref="E15:E16"/>
    <mergeCell ref="E18:E20"/>
    <mergeCell ref="E27:E28"/>
    <mergeCell ref="E30:E32"/>
    <mergeCell ref="A1:E1"/>
    <mergeCell ref="A4:B4"/>
    <mergeCell ref="E12:E13"/>
    <mergeCell ref="E9:E11"/>
    <mergeCell ref="E24:E25"/>
  </mergeCells>
  <phoneticPr fontId="11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showGridLines="0" workbookViewId="0">
      <selection sqref="A1:I1"/>
    </sheetView>
  </sheetViews>
  <sheetFormatPr defaultColWidth="9.109375" defaultRowHeight="13.2" x14ac:dyDescent="0.25"/>
  <cols>
    <col min="1" max="1" width="2.6640625" style="22" customWidth="1"/>
    <col min="2" max="2" width="15" style="22" customWidth="1"/>
    <col min="3" max="3" width="11.6640625" style="22" customWidth="1"/>
    <col min="4" max="4" width="4.6640625" style="22" customWidth="1"/>
    <col min="5" max="5" width="11.6640625" style="22" customWidth="1"/>
    <col min="6" max="6" width="4.6640625" style="22" customWidth="1"/>
    <col min="7" max="9" width="13.6640625" style="22" customWidth="1"/>
    <col min="10" max="10" width="10.44140625" style="22" customWidth="1"/>
    <col min="11" max="16384" width="9.109375" style="22"/>
  </cols>
  <sheetData>
    <row r="1" spans="1:10" ht="15.6" x14ac:dyDescent="0.3">
      <c r="A1" s="126" t="s">
        <v>170</v>
      </c>
      <c r="B1" s="126"/>
      <c r="C1" s="126"/>
      <c r="D1" s="126"/>
      <c r="E1" s="126"/>
      <c r="F1" s="126"/>
      <c r="G1" s="126"/>
      <c r="H1" s="126"/>
      <c r="I1" s="126"/>
    </row>
    <row r="2" spans="1:10" x14ac:dyDescent="0.25">
      <c r="A2" s="20"/>
      <c r="B2" s="20"/>
      <c r="C2" s="20"/>
      <c r="D2" s="20"/>
      <c r="E2" s="20"/>
      <c r="F2" s="20"/>
      <c r="G2" s="20"/>
    </row>
    <row r="3" spans="1:10" x14ac:dyDescent="0.25">
      <c r="A3" s="23"/>
      <c r="B3" s="48"/>
      <c r="C3" s="48"/>
      <c r="D3" s="48"/>
      <c r="E3" s="48"/>
      <c r="F3" s="48"/>
      <c r="G3" s="48"/>
      <c r="H3" s="25" t="str">
        <f>'B.P.'!E3</f>
        <v>Ano 1</v>
      </c>
      <c r="I3" s="26" t="str">
        <f>'B.P.'!F3</f>
        <v>Ano 2</v>
      </c>
    </row>
    <row r="4" spans="1:10" x14ac:dyDescent="0.25">
      <c r="A4" s="58" t="s">
        <v>110</v>
      </c>
      <c r="B4" s="34"/>
      <c r="C4" s="34"/>
      <c r="D4" s="34"/>
      <c r="E4" s="34"/>
      <c r="F4" s="34"/>
      <c r="G4" s="34"/>
      <c r="H4" s="30" t="s">
        <v>8</v>
      </c>
      <c r="I4" s="31" t="s">
        <v>8</v>
      </c>
    </row>
    <row r="5" spans="1:10" x14ac:dyDescent="0.25">
      <c r="A5" s="52"/>
      <c r="B5" s="34"/>
      <c r="C5" s="34"/>
      <c r="D5" s="34"/>
      <c r="E5" s="34"/>
      <c r="F5" s="34"/>
      <c r="G5" s="34"/>
      <c r="H5" s="30" t="s">
        <v>87</v>
      </c>
      <c r="I5" s="31" t="s">
        <v>87</v>
      </c>
    </row>
    <row r="6" spans="1:10" ht="12" customHeight="1" x14ac:dyDescent="0.25">
      <c r="A6" s="32" t="s">
        <v>112</v>
      </c>
      <c r="B6" s="34"/>
      <c r="C6" s="34"/>
      <c r="D6" s="34"/>
      <c r="E6" s="34"/>
      <c r="F6" s="34"/>
      <c r="G6" s="59" t="s">
        <v>113</v>
      </c>
      <c r="H6" s="107">
        <f>'RENTABILIDADE-AVxAH (D.R.E.)'!E19</f>
        <v>1400000</v>
      </c>
      <c r="I6" s="108">
        <f>'RENTABILIDADE-AVxAH (D.R.E.)'!F19</f>
        <v>5550000</v>
      </c>
    </row>
    <row r="7" spans="1:10" ht="12" customHeight="1" x14ac:dyDescent="0.25">
      <c r="A7" s="36" t="s">
        <v>114</v>
      </c>
      <c r="B7" s="34"/>
      <c r="C7" s="34"/>
      <c r="D7" s="34"/>
      <c r="E7" s="34"/>
      <c r="F7" s="34"/>
      <c r="G7" s="59" t="s">
        <v>115</v>
      </c>
      <c r="H7" s="107">
        <f>'RENTABILIDADE-AVxAH (D.R.E.)'!E30</f>
        <v>1000000</v>
      </c>
      <c r="I7" s="108">
        <f>'RENTABILIDADE-AVxAH (D.R.E.)'!F30</f>
        <v>4832000</v>
      </c>
    </row>
    <row r="8" spans="1:10" ht="12" customHeight="1" x14ac:dyDescent="0.25">
      <c r="A8" s="36" t="s">
        <v>116</v>
      </c>
      <c r="B8" s="34"/>
      <c r="C8" s="34"/>
      <c r="D8" s="34"/>
      <c r="E8" s="34"/>
      <c r="F8" s="34"/>
      <c r="G8" s="59" t="s">
        <v>117</v>
      </c>
      <c r="H8" s="109">
        <v>0</v>
      </c>
      <c r="I8" s="108">
        <f>(('SIT.FINANC.-AVxAH (B.P.)'!E9-'SIT.FINANC.-AVxAH (B.P.)'!E22-'SIT.FINANC.-AVxAH (B.P.)'!E23+'SIT.FINANC.-AVxAH (B.P.)'!E38)+('SIT.FINANC.-AVxAH (B.P.)'!F9-'SIT.FINANC.-AVxAH (B.P.)'!F22-'SIT.FINANC.-AVxAH (B.P.)'!F23+'SIT.FINANC.-AVxAH (B.P.)'!F38))/2</f>
        <v>5165969.7850000001</v>
      </c>
    </row>
    <row r="9" spans="1:10" x14ac:dyDescent="0.25">
      <c r="A9" s="40"/>
      <c r="B9" s="51"/>
      <c r="C9" s="51"/>
      <c r="D9" s="51"/>
      <c r="E9" s="51"/>
      <c r="F9" s="51"/>
      <c r="G9" s="51"/>
      <c r="H9" s="61"/>
      <c r="I9" s="62"/>
    </row>
    <row r="10" spans="1:10" x14ac:dyDescent="0.25">
      <c r="A10" s="23"/>
      <c r="B10" s="91"/>
      <c r="C10" s="91"/>
      <c r="D10" s="91"/>
      <c r="E10" s="91"/>
      <c r="F10" s="91"/>
      <c r="G10" s="91"/>
      <c r="H10" s="104"/>
      <c r="I10" s="105"/>
    </row>
    <row r="11" spans="1:10" x14ac:dyDescent="0.25">
      <c r="A11" s="58" t="s">
        <v>111</v>
      </c>
      <c r="B11" s="34"/>
      <c r="C11" s="34"/>
      <c r="D11" s="34"/>
      <c r="E11" s="34"/>
      <c r="F11" s="34"/>
      <c r="G11" s="34"/>
      <c r="H11" s="30" t="s">
        <v>8</v>
      </c>
      <c r="I11" s="31" t="s">
        <v>8</v>
      </c>
    </row>
    <row r="12" spans="1:10" x14ac:dyDescent="0.25">
      <c r="A12" s="52"/>
      <c r="B12" s="34"/>
      <c r="C12" s="34"/>
      <c r="D12" s="34"/>
      <c r="E12" s="34"/>
      <c r="F12" s="34"/>
      <c r="G12" s="34"/>
      <c r="H12" s="30"/>
      <c r="I12" s="31"/>
    </row>
    <row r="13" spans="1:10" ht="12" customHeight="1" x14ac:dyDescent="0.25">
      <c r="A13" s="33" t="s">
        <v>118</v>
      </c>
      <c r="B13" s="34"/>
      <c r="C13" s="34"/>
      <c r="D13" s="34"/>
      <c r="E13" s="34"/>
      <c r="F13" s="34"/>
      <c r="G13" s="64" t="s">
        <v>115</v>
      </c>
      <c r="H13" s="110">
        <f>H7/H6</f>
        <v>0.7142857142857143</v>
      </c>
      <c r="I13" s="111">
        <f>I7/I6</f>
        <v>0.87063063063063062</v>
      </c>
      <c r="J13" s="56"/>
    </row>
    <row r="14" spans="1:10" x14ac:dyDescent="0.25">
      <c r="A14" s="33"/>
      <c r="B14" s="34"/>
      <c r="C14" s="34"/>
      <c r="D14" s="34"/>
      <c r="E14" s="34"/>
      <c r="F14" s="34"/>
      <c r="G14" s="59" t="s">
        <v>113</v>
      </c>
      <c r="H14" s="112"/>
      <c r="I14" s="113"/>
    </row>
    <row r="15" spans="1:10" ht="12" customHeight="1" x14ac:dyDescent="0.25">
      <c r="A15" s="36" t="s">
        <v>8</v>
      </c>
      <c r="B15" s="34" t="s">
        <v>119</v>
      </c>
      <c r="C15" s="34"/>
      <c r="D15" s="34"/>
      <c r="E15" s="34"/>
      <c r="F15" s="34"/>
      <c r="G15" s="34"/>
      <c r="H15" s="114" t="s">
        <v>8</v>
      </c>
      <c r="I15" s="113" t="s">
        <v>8</v>
      </c>
    </row>
    <row r="16" spans="1:10" ht="12" customHeight="1" x14ac:dyDescent="0.25">
      <c r="A16" s="36"/>
      <c r="B16" s="34"/>
      <c r="C16" s="34"/>
      <c r="D16" s="34"/>
      <c r="E16" s="34"/>
      <c r="F16" s="34"/>
      <c r="G16" s="34"/>
      <c r="H16" s="114"/>
      <c r="I16" s="113"/>
    </row>
    <row r="17" spans="1:11" x14ac:dyDescent="0.25">
      <c r="A17" s="36" t="s">
        <v>120</v>
      </c>
      <c r="B17" s="34"/>
      <c r="C17" s="34"/>
      <c r="D17" s="34"/>
      <c r="E17" s="34"/>
      <c r="F17" s="34"/>
      <c r="G17" s="64" t="s">
        <v>113</v>
      </c>
      <c r="H17" s="114">
        <v>0</v>
      </c>
      <c r="I17" s="115">
        <f>I6/I8</f>
        <v>1.0743384555045359</v>
      </c>
    </row>
    <row r="18" spans="1:11" ht="12" customHeight="1" x14ac:dyDescent="0.25">
      <c r="A18" s="36" t="s">
        <v>8</v>
      </c>
      <c r="B18" s="34"/>
      <c r="C18" s="34"/>
      <c r="D18" s="34"/>
      <c r="E18" s="34"/>
      <c r="F18" s="34"/>
      <c r="G18" s="59" t="s">
        <v>117</v>
      </c>
      <c r="H18" s="114" t="s">
        <v>8</v>
      </c>
      <c r="I18" s="113" t="s">
        <v>8</v>
      </c>
      <c r="J18" s="56" t="s">
        <v>8</v>
      </c>
      <c r="K18" s="22" t="s">
        <v>8</v>
      </c>
    </row>
    <row r="19" spans="1:11" x14ac:dyDescent="0.25">
      <c r="A19" s="33"/>
      <c r="B19" s="65" t="s">
        <v>121</v>
      </c>
      <c r="C19" s="65"/>
      <c r="D19" s="65"/>
      <c r="E19" s="65"/>
      <c r="F19" s="65"/>
      <c r="G19" s="59"/>
      <c r="H19" s="112"/>
      <c r="I19" s="113"/>
      <c r="J19" s="56" t="s">
        <v>8</v>
      </c>
      <c r="K19" s="22" t="s">
        <v>8</v>
      </c>
    </row>
    <row r="20" spans="1:11" x14ac:dyDescent="0.25">
      <c r="A20" s="33"/>
      <c r="B20" s="65"/>
      <c r="C20" s="65"/>
      <c r="D20" s="65"/>
      <c r="E20" s="65"/>
      <c r="F20" s="65"/>
      <c r="G20" s="59"/>
      <c r="H20" s="112"/>
      <c r="I20" s="113"/>
      <c r="J20" s="56"/>
    </row>
    <row r="21" spans="1:11" x14ac:dyDescent="0.25">
      <c r="A21" s="32" t="s">
        <v>122</v>
      </c>
      <c r="B21" s="65"/>
      <c r="C21" s="64" t="s">
        <v>115</v>
      </c>
      <c r="D21" s="59" t="s">
        <v>119</v>
      </c>
      <c r="E21" s="64" t="s">
        <v>113</v>
      </c>
      <c r="F21" s="59" t="s">
        <v>121</v>
      </c>
      <c r="G21" s="64" t="s">
        <v>115</v>
      </c>
      <c r="H21" s="114">
        <v>0</v>
      </c>
      <c r="I21" s="111">
        <f>I7/I8</f>
        <v>0.93535196702665191</v>
      </c>
      <c r="J21" s="56"/>
    </row>
    <row r="22" spans="1:11" x14ac:dyDescent="0.25">
      <c r="A22" s="33" t="s">
        <v>123</v>
      </c>
      <c r="B22" s="45"/>
      <c r="C22" s="59" t="s">
        <v>113</v>
      </c>
      <c r="D22" s="45"/>
      <c r="E22" s="59" t="s">
        <v>117</v>
      </c>
      <c r="F22" s="59"/>
      <c r="G22" s="59" t="s">
        <v>117</v>
      </c>
      <c r="H22" s="34"/>
      <c r="I22" s="29"/>
      <c r="J22" s="56" t="s">
        <v>8</v>
      </c>
    </row>
    <row r="23" spans="1:11" x14ac:dyDescent="0.25">
      <c r="A23" s="40"/>
      <c r="B23" s="46"/>
      <c r="C23" s="46"/>
      <c r="D23" s="46"/>
      <c r="E23" s="46"/>
      <c r="F23" s="46"/>
      <c r="G23" s="46"/>
      <c r="H23" s="46"/>
      <c r="I23" s="41"/>
      <c r="J23" s="22" t="s">
        <v>8</v>
      </c>
      <c r="K23" s="22" t="s">
        <v>8</v>
      </c>
    </row>
    <row r="24" spans="1:11" x14ac:dyDescent="0.25">
      <c r="A24" s="33"/>
      <c r="B24" s="34"/>
      <c r="C24" s="34"/>
      <c r="D24" s="34"/>
      <c r="E24" s="34"/>
      <c r="F24" s="34"/>
      <c r="G24" s="34"/>
      <c r="H24" s="34"/>
      <c r="I24" s="29"/>
    </row>
    <row r="25" spans="1:11" x14ac:dyDescent="0.25">
      <c r="A25" s="66" t="s">
        <v>109</v>
      </c>
      <c r="B25" s="34"/>
      <c r="C25" s="34"/>
      <c r="D25" s="34"/>
      <c r="E25" s="34"/>
      <c r="F25" s="34"/>
      <c r="G25" s="34"/>
      <c r="H25" s="34"/>
      <c r="I25" s="29"/>
      <c r="J25" s="56" t="s">
        <v>8</v>
      </c>
    </row>
    <row r="26" spans="1:11" x14ac:dyDescent="0.25">
      <c r="A26" s="66"/>
      <c r="B26" s="34"/>
      <c r="C26" s="34"/>
      <c r="D26" s="34"/>
      <c r="E26" s="34"/>
      <c r="F26" s="34"/>
      <c r="G26" s="34"/>
      <c r="H26" s="34"/>
      <c r="I26" s="29"/>
      <c r="J26" s="56"/>
    </row>
    <row r="27" spans="1:11" x14ac:dyDescent="0.25">
      <c r="A27" s="131"/>
      <c r="B27" s="132"/>
      <c r="C27" s="132"/>
      <c r="D27" s="132"/>
      <c r="E27" s="132"/>
      <c r="F27" s="132"/>
      <c r="G27" s="132"/>
      <c r="H27" s="132"/>
      <c r="I27" s="133"/>
      <c r="J27" s="22" t="s">
        <v>8</v>
      </c>
    </row>
    <row r="28" spans="1:11" x14ac:dyDescent="0.25">
      <c r="A28" s="134"/>
      <c r="B28" s="132"/>
      <c r="C28" s="132"/>
      <c r="D28" s="132"/>
      <c r="E28" s="132"/>
      <c r="F28" s="132"/>
      <c r="G28" s="132"/>
      <c r="H28" s="132"/>
      <c r="I28" s="133"/>
      <c r="J28" s="56" t="s">
        <v>8</v>
      </c>
    </row>
    <row r="29" spans="1:11" x14ac:dyDescent="0.25">
      <c r="A29" s="134"/>
      <c r="B29" s="132"/>
      <c r="C29" s="132"/>
      <c r="D29" s="132"/>
      <c r="E29" s="132"/>
      <c r="F29" s="132"/>
      <c r="G29" s="132"/>
      <c r="H29" s="132"/>
      <c r="I29" s="133"/>
      <c r="J29" s="22" t="s">
        <v>8</v>
      </c>
    </row>
    <row r="30" spans="1:11" x14ac:dyDescent="0.25">
      <c r="A30" s="134"/>
      <c r="B30" s="132"/>
      <c r="C30" s="132"/>
      <c r="D30" s="132"/>
      <c r="E30" s="132"/>
      <c r="F30" s="132"/>
      <c r="G30" s="132"/>
      <c r="H30" s="132"/>
      <c r="I30" s="133"/>
    </row>
    <row r="31" spans="1:11" x14ac:dyDescent="0.25">
      <c r="A31" s="135"/>
      <c r="B31" s="136"/>
      <c r="C31" s="136"/>
      <c r="D31" s="136"/>
      <c r="E31" s="136"/>
      <c r="F31" s="136"/>
      <c r="G31" s="136"/>
      <c r="H31" s="136"/>
      <c r="I31" s="137"/>
    </row>
  </sheetData>
  <mergeCells count="2">
    <mergeCell ref="A27:I31"/>
    <mergeCell ref="A1:I1"/>
  </mergeCells>
  <phoneticPr fontId="11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2049" r:id="rId4">
          <objectPr defaultSize="0" autoPict="0" r:id="rId5">
            <anchor moveWithCells="1">
              <from>
                <xdr:col>9</xdr:col>
                <xdr:colOff>152400</xdr:colOff>
                <xdr:row>0</xdr:row>
                <xdr:rowOff>60960</xdr:rowOff>
              </from>
              <to>
                <xdr:col>18</xdr:col>
                <xdr:colOff>541020</xdr:colOff>
                <xdr:row>37</xdr:row>
                <xdr:rowOff>60960</xdr:rowOff>
              </to>
            </anchor>
          </objectPr>
        </oleObject>
      </mc:Choice>
      <mc:Fallback>
        <oleObject progId="Visio.Drawing.11" shapeId="204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42"/>
  <sheetViews>
    <sheetView showGridLines="0" tabSelected="1" workbookViewId="0">
      <selection sqref="A1:I1"/>
    </sheetView>
  </sheetViews>
  <sheetFormatPr defaultColWidth="9.109375" defaultRowHeight="13.2" x14ac:dyDescent="0.25"/>
  <cols>
    <col min="1" max="1" width="2.6640625" style="22" customWidth="1"/>
    <col min="2" max="2" width="15" style="22" customWidth="1"/>
    <col min="3" max="3" width="11.6640625" style="22" customWidth="1"/>
    <col min="4" max="4" width="4.6640625" style="22" customWidth="1"/>
    <col min="5" max="5" width="11.6640625" style="22" customWidth="1"/>
    <col min="6" max="6" width="4.6640625" style="22" customWidth="1"/>
    <col min="7" max="9" width="13.6640625" style="22" customWidth="1"/>
    <col min="10" max="16384" width="9.109375" style="22"/>
  </cols>
  <sheetData>
    <row r="1" spans="1:9" ht="15.6" x14ac:dyDescent="0.3">
      <c r="A1" s="140" t="s">
        <v>171</v>
      </c>
      <c r="B1" s="140"/>
      <c r="C1" s="140"/>
      <c r="D1" s="140"/>
      <c r="E1" s="140"/>
      <c r="F1" s="140"/>
      <c r="G1" s="140"/>
      <c r="H1" s="140"/>
      <c r="I1" s="140"/>
    </row>
    <row r="2" spans="1:9" x14ac:dyDescent="0.25">
      <c r="A2" s="20"/>
      <c r="B2" s="20"/>
      <c r="C2" s="20"/>
      <c r="D2" s="20"/>
      <c r="E2" s="20"/>
      <c r="F2" s="20"/>
      <c r="G2" s="20"/>
    </row>
    <row r="3" spans="1:9" x14ac:dyDescent="0.25">
      <c r="A3" s="23"/>
      <c r="B3" s="48"/>
      <c r="C3" s="48"/>
      <c r="D3" s="48"/>
      <c r="E3" s="48"/>
      <c r="F3" s="48"/>
      <c r="G3" s="48"/>
      <c r="H3" s="25" t="str">
        <f>'B.P.'!E3</f>
        <v>Ano 1</v>
      </c>
      <c r="I3" s="26" t="str">
        <f>'B.P.'!F3</f>
        <v>Ano 2</v>
      </c>
    </row>
    <row r="4" spans="1:9" x14ac:dyDescent="0.25">
      <c r="A4" s="58" t="s">
        <v>110</v>
      </c>
      <c r="B4" s="34"/>
      <c r="C4" s="34"/>
      <c r="D4" s="34"/>
      <c r="E4" s="34"/>
      <c r="F4" s="34"/>
      <c r="G4" s="34"/>
      <c r="H4" s="30" t="s">
        <v>8</v>
      </c>
      <c r="I4" s="31" t="s">
        <v>8</v>
      </c>
    </row>
    <row r="5" spans="1:9" x14ac:dyDescent="0.25">
      <c r="A5" s="52"/>
      <c r="B5" s="34"/>
      <c r="C5" s="34"/>
      <c r="D5" s="34"/>
      <c r="E5" s="34"/>
      <c r="F5" s="34"/>
      <c r="G5" s="34"/>
      <c r="H5" s="30" t="s">
        <v>87</v>
      </c>
      <c r="I5" s="31" t="s">
        <v>87</v>
      </c>
    </row>
    <row r="6" spans="1:9" ht="12" customHeight="1" x14ac:dyDescent="0.25">
      <c r="A6" s="32" t="s">
        <v>112</v>
      </c>
      <c r="B6" s="34"/>
      <c r="C6" s="34"/>
      <c r="D6" s="34"/>
      <c r="E6" s="34"/>
      <c r="F6" s="34"/>
      <c r="G6" s="59" t="s">
        <v>113</v>
      </c>
      <c r="H6" s="107">
        <f>'RENTABILIDADE-AVxAH (D.R.E.)'!E19</f>
        <v>1400000</v>
      </c>
      <c r="I6" s="108">
        <f>'RENTABILIDADE-AVxAH (D.R.E.)'!F19</f>
        <v>5550000</v>
      </c>
    </row>
    <row r="7" spans="1:9" ht="12" customHeight="1" x14ac:dyDescent="0.25">
      <c r="A7" s="32" t="s">
        <v>124</v>
      </c>
      <c r="B7" s="34"/>
      <c r="C7" s="34"/>
      <c r="D7" s="34"/>
      <c r="E7" s="34"/>
      <c r="F7" s="34"/>
      <c r="G7" s="59" t="s">
        <v>125</v>
      </c>
      <c r="H7" s="107">
        <f>'RENTABILIDADE-AVxAH (D.R.E.)'!E37</f>
        <v>982200</v>
      </c>
      <c r="I7" s="108">
        <f>'RENTABILIDADE-AVxAH (D.R.E.)'!F37</f>
        <v>4788000</v>
      </c>
    </row>
    <row r="8" spans="1:9" ht="12" customHeight="1" x14ac:dyDescent="0.25">
      <c r="A8" s="32" t="s">
        <v>127</v>
      </c>
      <c r="B8" s="34"/>
      <c r="C8" s="34"/>
      <c r="D8" s="34"/>
      <c r="E8" s="34"/>
      <c r="F8" s="34"/>
      <c r="G8" s="59"/>
      <c r="H8" s="107"/>
      <c r="I8" s="108"/>
    </row>
    <row r="9" spans="1:9" ht="12" customHeight="1" x14ac:dyDescent="0.25">
      <c r="A9" s="33"/>
      <c r="B9" s="34" t="s">
        <v>6</v>
      </c>
      <c r="C9" s="34"/>
      <c r="D9" s="34"/>
      <c r="E9" s="34"/>
      <c r="F9" s="34"/>
      <c r="G9" s="67" t="s">
        <v>129</v>
      </c>
      <c r="H9" s="109">
        <v>0</v>
      </c>
      <c r="I9" s="108">
        <f>('SIT.FINANC.-AVxAH (B.P.)'!E67+'SIT.FINANC.-AVxAH (B.P.)'!F67)/2</f>
        <v>-528436.34</v>
      </c>
    </row>
    <row r="10" spans="1:9" ht="12" customHeight="1" x14ac:dyDescent="0.25">
      <c r="A10" s="36"/>
      <c r="B10" s="34" t="s">
        <v>128</v>
      </c>
      <c r="C10" s="34"/>
      <c r="D10" s="34"/>
      <c r="E10" s="34"/>
      <c r="F10" s="34"/>
      <c r="G10" s="67" t="s">
        <v>130</v>
      </c>
      <c r="H10" s="109">
        <v>0</v>
      </c>
      <c r="I10" s="108">
        <f>('SIT.FINANC.-AVxAH (B.P.)'!E8+'SIT.FINANC.-AVxAH (B.P.)'!F8)/2</f>
        <v>5453015.5999999996</v>
      </c>
    </row>
    <row r="11" spans="1:9" x14ac:dyDescent="0.25">
      <c r="A11" s="40"/>
      <c r="B11" s="51"/>
      <c r="C11" s="51"/>
      <c r="D11" s="51"/>
      <c r="E11" s="51"/>
      <c r="F11" s="51"/>
      <c r="G11" s="51"/>
      <c r="H11" s="61"/>
      <c r="I11" s="62"/>
    </row>
    <row r="12" spans="1:9" x14ac:dyDescent="0.25">
      <c r="A12" s="68" t="s">
        <v>131</v>
      </c>
      <c r="B12" s="48"/>
      <c r="C12" s="48"/>
      <c r="D12" s="48"/>
      <c r="E12" s="48"/>
      <c r="F12" s="48"/>
      <c r="G12" s="48"/>
      <c r="H12" s="63" t="s">
        <v>8</v>
      </c>
      <c r="I12" s="42" t="s">
        <v>8</v>
      </c>
    </row>
    <row r="13" spans="1:9" x14ac:dyDescent="0.25">
      <c r="A13" s="52"/>
      <c r="B13" s="34"/>
      <c r="C13" s="34"/>
      <c r="D13" s="34"/>
      <c r="E13" s="34"/>
      <c r="F13" s="34"/>
      <c r="G13" s="34"/>
      <c r="H13" s="30"/>
      <c r="I13" s="31"/>
    </row>
    <row r="14" spans="1:9" ht="12" customHeight="1" x14ac:dyDescent="0.25">
      <c r="A14" s="32" t="s">
        <v>132</v>
      </c>
      <c r="B14" s="34"/>
      <c r="C14" s="34"/>
      <c r="D14" s="34"/>
      <c r="E14" s="34"/>
      <c r="F14" s="34"/>
      <c r="G14" s="64" t="s">
        <v>125</v>
      </c>
      <c r="H14" s="110">
        <f>H7/H6</f>
        <v>0.70157142857142862</v>
      </c>
      <c r="I14" s="111">
        <f>I7/I6</f>
        <v>0.86270270270270266</v>
      </c>
    </row>
    <row r="15" spans="1:9" x14ac:dyDescent="0.25">
      <c r="A15" s="33"/>
      <c r="B15" s="34"/>
      <c r="C15" s="34"/>
      <c r="D15" s="34"/>
      <c r="E15" s="34"/>
      <c r="F15" s="34"/>
      <c r="G15" s="59" t="s">
        <v>113</v>
      </c>
      <c r="H15" s="59"/>
      <c r="I15" s="94"/>
    </row>
    <row r="16" spans="1:9" ht="12" customHeight="1" x14ac:dyDescent="0.25">
      <c r="A16" s="36" t="s">
        <v>8</v>
      </c>
      <c r="B16" s="34" t="s">
        <v>119</v>
      </c>
      <c r="C16" s="34"/>
      <c r="D16" s="34"/>
      <c r="E16" s="34"/>
      <c r="F16" s="34"/>
      <c r="G16" s="34"/>
      <c r="H16" s="109" t="s">
        <v>8</v>
      </c>
      <c r="I16" s="95" t="s">
        <v>8</v>
      </c>
    </row>
    <row r="17" spans="1:10" ht="12" customHeight="1" x14ac:dyDescent="0.25">
      <c r="A17" s="36"/>
      <c r="B17" s="34"/>
      <c r="C17" s="34"/>
      <c r="D17" s="34"/>
      <c r="E17" s="34"/>
      <c r="F17" s="34"/>
      <c r="G17" s="34"/>
      <c r="H17" s="109"/>
      <c r="I17" s="95"/>
    </row>
    <row r="18" spans="1:10" x14ac:dyDescent="0.25">
      <c r="A18" s="32" t="s">
        <v>133</v>
      </c>
      <c r="B18" s="34"/>
      <c r="C18" s="34"/>
      <c r="D18" s="34"/>
      <c r="E18" s="34"/>
      <c r="F18" s="34"/>
      <c r="G18" s="64" t="s">
        <v>113</v>
      </c>
      <c r="H18" s="109">
        <v>0</v>
      </c>
      <c r="I18" s="117">
        <f>I6/I10</f>
        <v>1.017785461681056</v>
      </c>
    </row>
    <row r="19" spans="1:10" ht="12" customHeight="1" x14ac:dyDescent="0.25">
      <c r="A19" s="36" t="s">
        <v>8</v>
      </c>
      <c r="B19" s="34"/>
      <c r="C19" s="34"/>
      <c r="D19" s="34"/>
      <c r="E19" s="34"/>
      <c r="F19" s="34"/>
      <c r="G19" s="67" t="s">
        <v>130</v>
      </c>
      <c r="H19" s="109" t="s">
        <v>8</v>
      </c>
      <c r="I19" s="95" t="s">
        <v>8</v>
      </c>
      <c r="J19" s="22" t="s">
        <v>8</v>
      </c>
    </row>
    <row r="20" spans="1:10" x14ac:dyDescent="0.25">
      <c r="A20" s="33"/>
      <c r="B20" s="65" t="s">
        <v>121</v>
      </c>
      <c r="C20" s="65"/>
      <c r="D20" s="65"/>
      <c r="E20" s="65"/>
      <c r="F20" s="65"/>
      <c r="G20" s="59"/>
      <c r="H20" s="59"/>
      <c r="I20" s="94"/>
      <c r="J20" s="22" t="s">
        <v>8</v>
      </c>
    </row>
    <row r="21" spans="1:10" x14ac:dyDescent="0.25">
      <c r="A21" s="33"/>
      <c r="B21" s="65"/>
      <c r="C21" s="65"/>
      <c r="D21" s="65"/>
      <c r="E21" s="65"/>
      <c r="F21" s="65"/>
      <c r="G21" s="59"/>
      <c r="H21" s="59"/>
      <c r="I21" s="94"/>
    </row>
    <row r="22" spans="1:10" x14ac:dyDescent="0.25">
      <c r="A22" s="32" t="s">
        <v>122</v>
      </c>
      <c r="B22" s="65"/>
      <c r="C22" s="64" t="s">
        <v>125</v>
      </c>
      <c r="D22" s="59" t="s">
        <v>119</v>
      </c>
      <c r="E22" s="64" t="s">
        <v>113</v>
      </c>
      <c r="F22" s="59" t="s">
        <v>121</v>
      </c>
      <c r="G22" s="64" t="s">
        <v>125</v>
      </c>
      <c r="H22" s="109">
        <v>0</v>
      </c>
      <c r="I22" s="111">
        <f>I7/I10</f>
        <v>0.878046268563765</v>
      </c>
    </row>
    <row r="23" spans="1:10" x14ac:dyDescent="0.25">
      <c r="A23" s="33" t="s">
        <v>134</v>
      </c>
      <c r="B23" s="45"/>
      <c r="C23" s="59" t="s">
        <v>113</v>
      </c>
      <c r="D23" s="45"/>
      <c r="E23" s="67" t="s">
        <v>130</v>
      </c>
      <c r="F23" s="59"/>
      <c r="G23" s="67" t="s">
        <v>130</v>
      </c>
      <c r="H23" s="59"/>
      <c r="I23" s="94"/>
    </row>
    <row r="24" spans="1:10" x14ac:dyDescent="0.25">
      <c r="A24" s="33"/>
      <c r="B24" s="45"/>
      <c r="C24" s="59"/>
      <c r="D24" s="45"/>
      <c r="E24" s="67"/>
      <c r="F24" s="59"/>
      <c r="G24" s="67"/>
      <c r="H24" s="59"/>
      <c r="I24" s="94"/>
    </row>
    <row r="25" spans="1:10" x14ac:dyDescent="0.25">
      <c r="A25" s="33"/>
      <c r="B25" s="45" t="s">
        <v>135</v>
      </c>
      <c r="C25" s="59"/>
      <c r="D25" s="45"/>
      <c r="E25" s="67"/>
      <c r="F25" s="59"/>
      <c r="G25" s="67"/>
      <c r="H25" s="59"/>
      <c r="I25" s="94"/>
    </row>
    <row r="26" spans="1:10" x14ac:dyDescent="0.25">
      <c r="A26" s="33"/>
      <c r="B26" s="45"/>
      <c r="C26" s="59"/>
      <c r="D26" s="45"/>
      <c r="E26" s="67"/>
      <c r="F26" s="59"/>
      <c r="G26" s="67"/>
      <c r="H26" s="59"/>
      <c r="I26" s="94"/>
    </row>
    <row r="27" spans="1:10" x14ac:dyDescent="0.25">
      <c r="A27" s="33" t="s">
        <v>136</v>
      </c>
      <c r="B27" s="45"/>
      <c r="C27" s="59"/>
      <c r="D27" s="45"/>
      <c r="E27" s="67"/>
      <c r="F27" s="59"/>
      <c r="G27" s="69" t="s">
        <v>129</v>
      </c>
      <c r="H27" s="109">
        <v>0</v>
      </c>
      <c r="I27" s="116">
        <f>I9/I10</f>
        <v>-9.6907175545215746E-2</v>
      </c>
    </row>
    <row r="28" spans="1:10" x14ac:dyDescent="0.25">
      <c r="A28" s="32" t="s">
        <v>137</v>
      </c>
      <c r="B28" s="45"/>
      <c r="C28" s="59"/>
      <c r="D28" s="45"/>
      <c r="E28" s="67"/>
      <c r="F28" s="59"/>
      <c r="G28" s="67" t="s">
        <v>130</v>
      </c>
      <c r="H28" s="59"/>
      <c r="I28" s="94"/>
    </row>
    <row r="29" spans="1:10" x14ac:dyDescent="0.25">
      <c r="A29" s="32"/>
      <c r="B29" s="45"/>
      <c r="C29" s="59"/>
      <c r="D29" s="45"/>
      <c r="E29" s="67"/>
      <c r="F29" s="59"/>
      <c r="G29" s="67"/>
      <c r="H29" s="59"/>
      <c r="I29" s="94"/>
    </row>
    <row r="30" spans="1:10" x14ac:dyDescent="0.25">
      <c r="A30" s="33"/>
      <c r="B30" s="65" t="s">
        <v>121</v>
      </c>
      <c r="C30" s="59"/>
      <c r="D30" s="45"/>
      <c r="E30" s="67"/>
      <c r="F30" s="59"/>
      <c r="G30" s="67"/>
      <c r="H30" s="59"/>
      <c r="I30" s="94"/>
    </row>
    <row r="31" spans="1:10" x14ac:dyDescent="0.25">
      <c r="A31" s="33"/>
      <c r="B31" s="65"/>
      <c r="C31" s="59"/>
      <c r="D31" s="45"/>
      <c r="E31" s="67"/>
      <c r="F31" s="59"/>
      <c r="G31" s="67"/>
      <c r="H31" s="59"/>
      <c r="I31" s="94"/>
    </row>
    <row r="32" spans="1:10" x14ac:dyDescent="0.25">
      <c r="A32" s="33" t="s">
        <v>122</v>
      </c>
      <c r="B32" s="45"/>
      <c r="C32" s="64" t="s">
        <v>125</v>
      </c>
      <c r="D32" s="67" t="s">
        <v>135</v>
      </c>
      <c r="E32" s="69" t="s">
        <v>129</v>
      </c>
      <c r="F32" s="59" t="s">
        <v>121</v>
      </c>
      <c r="G32" s="64" t="s">
        <v>125</v>
      </c>
      <c r="H32" s="109">
        <v>0</v>
      </c>
      <c r="I32" s="111">
        <f>I7/I9</f>
        <v>-9.0606940468931416</v>
      </c>
      <c r="J32" s="22" t="s">
        <v>8</v>
      </c>
    </row>
    <row r="33" spans="1:14" x14ac:dyDescent="0.25">
      <c r="A33" s="33" t="s">
        <v>138</v>
      </c>
      <c r="B33" s="45"/>
      <c r="C33" s="59" t="s">
        <v>130</v>
      </c>
      <c r="D33" s="45"/>
      <c r="E33" s="59" t="s">
        <v>130</v>
      </c>
      <c r="F33" s="59"/>
      <c r="G33" s="59" t="s">
        <v>129</v>
      </c>
      <c r="H33" s="34"/>
      <c r="I33" s="29"/>
    </row>
    <row r="34" spans="1:14" x14ac:dyDescent="0.25">
      <c r="A34" s="40"/>
      <c r="B34" s="46"/>
      <c r="C34" s="46"/>
      <c r="D34" s="46"/>
      <c r="E34" s="46"/>
      <c r="F34" s="46"/>
      <c r="G34" s="46"/>
      <c r="H34" s="46"/>
      <c r="I34" s="41"/>
      <c r="J34" s="22" t="s">
        <v>8</v>
      </c>
      <c r="L34" s="22" t="s">
        <v>8</v>
      </c>
      <c r="N34" s="22" t="s">
        <v>8</v>
      </c>
    </row>
    <row r="35" spans="1:14" x14ac:dyDescent="0.25">
      <c r="A35" s="33"/>
      <c r="B35" s="34"/>
      <c r="C35" s="34"/>
      <c r="D35" s="34"/>
      <c r="E35" s="34"/>
      <c r="F35" s="34"/>
      <c r="G35" s="34"/>
      <c r="H35" s="34"/>
      <c r="I35" s="29"/>
    </row>
    <row r="36" spans="1:14" x14ac:dyDescent="0.25">
      <c r="A36" s="66" t="s">
        <v>109</v>
      </c>
      <c r="B36" s="34"/>
      <c r="C36" s="34"/>
      <c r="D36" s="34"/>
      <c r="E36" s="34"/>
      <c r="F36" s="34"/>
      <c r="G36" s="34"/>
      <c r="H36" s="34"/>
      <c r="I36" s="29"/>
    </row>
    <row r="37" spans="1:14" x14ac:dyDescent="0.25">
      <c r="A37" s="66"/>
      <c r="B37" s="34"/>
      <c r="C37" s="34"/>
      <c r="D37" s="34"/>
      <c r="E37" s="34"/>
      <c r="F37" s="34"/>
      <c r="G37" s="34"/>
      <c r="H37" s="34"/>
      <c r="I37" s="29"/>
    </row>
    <row r="38" spans="1:14" x14ac:dyDescent="0.25">
      <c r="A38" s="131"/>
      <c r="B38" s="132"/>
      <c r="C38" s="132"/>
      <c r="D38" s="132"/>
      <c r="E38" s="132"/>
      <c r="F38" s="132"/>
      <c r="G38" s="132"/>
      <c r="H38" s="132"/>
      <c r="I38" s="133"/>
    </row>
    <row r="39" spans="1:14" x14ac:dyDescent="0.25">
      <c r="A39" s="134"/>
      <c r="B39" s="132"/>
      <c r="C39" s="132"/>
      <c r="D39" s="132"/>
      <c r="E39" s="132"/>
      <c r="F39" s="132"/>
      <c r="G39" s="132"/>
      <c r="H39" s="132"/>
      <c r="I39" s="133"/>
    </row>
    <row r="40" spans="1:14" x14ac:dyDescent="0.25">
      <c r="A40" s="134"/>
      <c r="B40" s="132"/>
      <c r="C40" s="132"/>
      <c r="D40" s="132"/>
      <c r="E40" s="132"/>
      <c r="F40" s="132"/>
      <c r="G40" s="132"/>
      <c r="H40" s="132"/>
      <c r="I40" s="133"/>
    </row>
    <row r="41" spans="1:14" x14ac:dyDescent="0.25">
      <c r="A41" s="134"/>
      <c r="B41" s="132"/>
      <c r="C41" s="132"/>
      <c r="D41" s="132"/>
      <c r="E41" s="132"/>
      <c r="F41" s="132"/>
      <c r="G41" s="132"/>
      <c r="H41" s="132"/>
      <c r="I41" s="133"/>
      <c r="J41" s="22" t="s">
        <v>8</v>
      </c>
    </row>
    <row r="42" spans="1:14" x14ac:dyDescent="0.25">
      <c r="A42" s="135"/>
      <c r="B42" s="136"/>
      <c r="C42" s="136"/>
      <c r="D42" s="136"/>
      <c r="E42" s="136"/>
      <c r="F42" s="136"/>
      <c r="G42" s="136"/>
      <c r="H42" s="136"/>
      <c r="I42" s="137"/>
    </row>
  </sheetData>
  <mergeCells count="2">
    <mergeCell ref="A38:I42"/>
    <mergeCell ref="A1:I1"/>
  </mergeCells>
  <phoneticPr fontId="11" type="noConversion"/>
  <pageMargins left="0.78740157480314965" right="0.78740157480314965" top="0.98425196850393704" bottom="0.98425196850393704" header="0.51181102362204722" footer="0.51181102362204722"/>
  <pageSetup paperSize="9" scale="95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9</xdr:col>
                <xdr:colOff>137160</xdr:colOff>
                <xdr:row>2</xdr:row>
                <xdr:rowOff>30480</xdr:rowOff>
              </from>
              <to>
                <xdr:col>20</xdr:col>
                <xdr:colOff>144780</xdr:colOff>
                <xdr:row>41</xdr:row>
                <xdr:rowOff>137160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B.P.</vt:lpstr>
      <vt:lpstr>D.R.E.</vt:lpstr>
      <vt:lpstr>SIT.FINANC.-AVxAH (B.P.)</vt:lpstr>
      <vt:lpstr>RENTABILIDADE-AVxAH (D.R.E.)</vt:lpstr>
      <vt:lpstr>SITUAÇÃO FIN.</vt:lpstr>
      <vt:lpstr>RENTABILIDADE</vt:lpstr>
      <vt:lpstr>RENTABILIDADE AO (DU PONT)</vt:lpstr>
      <vt:lpstr>RENTABILIDADE CP (DU PONT)</vt:lpstr>
      <vt:lpstr>RENTABILIDADE!Area_de_impressao</vt:lpstr>
      <vt:lpstr>'RENTABILIDADE AO (DU PONT)'!Area_de_impressao</vt:lpstr>
      <vt:lpstr>'RENTABILIDADE CP (DU PONT)'!Area_de_impressao</vt:lpstr>
      <vt:lpstr>'RENTABILIDADE-AVxAH (D.R.E.)'!Area_de_impressao</vt:lpstr>
      <vt:lpstr>'SIT.FINANC.-AVxAH (B.P.)'!Area_de_impressao</vt:lpstr>
      <vt:lpstr>'SITUAÇÃO FIN.'!Area_de_impressao</vt:lpstr>
    </vt:vector>
  </TitlesOfParts>
  <Company>Tangram Tecnologias e 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Análise Financeira</dc:title>
  <dc:creator>Dewey Wollmann</dc:creator>
  <cp:lastModifiedBy>Gustavo</cp:lastModifiedBy>
  <cp:lastPrinted>2009-09-25T19:54:21Z</cp:lastPrinted>
  <dcterms:created xsi:type="dcterms:W3CDTF">2001-03-17T17:56:39Z</dcterms:created>
  <dcterms:modified xsi:type="dcterms:W3CDTF">2022-05-24T21:31:51Z</dcterms:modified>
</cp:coreProperties>
</file>