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8680" yWindow="-120" windowWidth="19800" windowHeight="11760" activeTab="3"/>
  </bookViews>
  <sheets>
    <sheet name="Menu" sheetId="4" r:id="rId1"/>
    <sheet name="Gráf2" sheetId="7" r:id="rId2"/>
    <sheet name="Gráf1" sheetId="6" r:id="rId3"/>
    <sheet name="Cronograma" sheetId="1" r:id="rId4"/>
    <sheet name="Informações" sheetId="5" r:id="rId5"/>
    <sheet name="Configuração" sheetId="2" r:id="rId6"/>
  </sheets>
  <definedNames>
    <definedName name="CategoryList">Configuração!$B$5:$B$17</definedName>
    <definedName name="ColumnTitle1">Cronograma!$B$4</definedName>
    <definedName name="ColumnTitle2">CategoryAndEmployeeTable[[#Headers],[Nome da Categoria]]</definedName>
    <definedName name="EmployeeList">Configuração!$C$5:$C$14</definedName>
    <definedName name="FlagPercent">Cronograma!$C$2</definedName>
    <definedName name="_xlnm.Print_Titles" localSheetId="3">Cronograma!$4:$4</definedName>
  </definedNames>
  <calcPr calcId="145621"/>
</workbook>
</file>

<file path=xl/calcChain.xml><?xml version="1.0" encoding="utf-8"?>
<calcChain xmlns="http://schemas.openxmlformats.org/spreadsheetml/2006/main">
  <c r="G12" i="1" l="1"/>
  <c r="G11" i="1"/>
  <c r="F10" i="1"/>
  <c r="F6" i="1"/>
  <c r="E5" i="1"/>
  <c r="E13" i="1"/>
  <c r="E12" i="1"/>
  <c r="F12" i="1" s="1"/>
  <c r="E11" i="1"/>
  <c r="E10" i="1"/>
  <c r="H10" i="1" s="1"/>
  <c r="E9" i="1"/>
  <c r="E8" i="1"/>
  <c r="E7" i="1"/>
  <c r="E6" i="1"/>
  <c r="H6" i="1" s="1"/>
  <c r="H8" i="1" l="1"/>
  <c r="H5" i="1"/>
  <c r="F7" i="1"/>
  <c r="F8" i="1" s="1"/>
  <c r="F11" i="1"/>
  <c r="H11" i="1" s="1"/>
  <c r="G6" i="1"/>
  <c r="H12" i="1"/>
  <c r="G13" i="1"/>
  <c r="F5" i="1"/>
  <c r="G5" i="1" s="1"/>
  <c r="F9" i="1"/>
  <c r="H9" i="1" s="1"/>
  <c r="F13" i="1"/>
  <c r="H13" i="1" s="1"/>
  <c r="G9" i="1"/>
  <c r="B10" i="5"/>
  <c r="C10" i="5"/>
  <c r="D10" i="5"/>
  <c r="E10" i="5"/>
  <c r="H7" i="1" l="1"/>
  <c r="G7" i="1"/>
  <c r="I10" i="1"/>
  <c r="J10" i="1"/>
  <c r="K10" i="1"/>
  <c r="I11" i="1"/>
  <c r="J11" i="1"/>
  <c r="K11" i="1"/>
  <c r="I12" i="1"/>
  <c r="J12" i="1"/>
  <c r="K12" i="1"/>
  <c r="K13" i="1"/>
  <c r="N13" i="1"/>
  <c r="M13" i="1" l="1"/>
  <c r="N12" i="1"/>
  <c r="N10" i="1"/>
  <c r="N11" i="1"/>
  <c r="K6" i="1"/>
  <c r="K7" i="1"/>
  <c r="K8" i="1"/>
  <c r="K9" i="1"/>
  <c r="K5" i="1"/>
  <c r="M10" i="1" l="1"/>
  <c r="M11" i="1"/>
  <c r="M12" i="1"/>
  <c r="J9" i="1"/>
  <c r="J8" i="1"/>
  <c r="J7" i="1"/>
  <c r="J6" i="1"/>
  <c r="J5" i="1"/>
  <c r="I9" i="1"/>
  <c r="I8" i="1"/>
  <c r="I7" i="1"/>
  <c r="I6" i="1"/>
  <c r="I5" i="1"/>
  <c r="N5" i="1" l="1"/>
  <c r="N7" i="1"/>
  <c r="N9" i="1"/>
  <c r="N6" i="1"/>
  <c r="N8" i="1"/>
  <c r="M5" i="1" l="1"/>
  <c r="M6" i="1"/>
  <c r="M9" i="1"/>
  <c r="M8" i="1" l="1"/>
  <c r="M7" i="1"/>
</calcChain>
</file>

<file path=xl/sharedStrings.xml><?xml version="1.0" encoding="utf-8"?>
<sst xmlns="http://schemas.openxmlformats.org/spreadsheetml/2006/main" count="87" uniqueCount="67">
  <si>
    <t xml:space="preserve">Sinalizador de Porcentagem Acima/Abaixo: </t>
  </si>
  <si>
    <t>Atribuída a</t>
  </si>
  <si>
    <t>Estimado
Início</t>
  </si>
  <si>
    <t>Estimado 
Término</t>
  </si>
  <si>
    <t>Real 
Início</t>
  </si>
  <si>
    <t>Real
Término</t>
  </si>
  <si>
    <t>Ícone de sinalizador para o trabalho real de acima/abaixo (em horas)</t>
  </si>
  <si>
    <t>Ícone de sinalizador para duração real acima/abaixo (em dias)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</si>
  <si>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</si>
  <si>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</si>
  <si>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</si>
  <si>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</si>
  <si>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</si>
  <si>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</si>
  <si>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</si>
  <si>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</si>
  <si>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PIM ENFERMAGEM</t>
  </si>
  <si>
    <t>Telas</t>
  </si>
  <si>
    <t>Atividades</t>
  </si>
  <si>
    <t>Planilha</t>
  </si>
  <si>
    <t>Especificaçao de requisitos funcionais</t>
  </si>
  <si>
    <t>Especificaçao de requisitos não funcionais</t>
  </si>
  <si>
    <t>Demonstrar E.R</t>
  </si>
  <si>
    <t>Demonstrar Rastreabilidade</t>
  </si>
  <si>
    <t>Swot ou Fofa</t>
  </si>
  <si>
    <t>Prioridade</t>
  </si>
  <si>
    <t>Alta</t>
  </si>
  <si>
    <t>Média</t>
  </si>
  <si>
    <t>Baixa</t>
  </si>
  <si>
    <t>Rinaldo</t>
  </si>
  <si>
    <t>Paulo H</t>
  </si>
  <si>
    <t>Gustavo S</t>
  </si>
  <si>
    <t>Vitor B</t>
  </si>
  <si>
    <t>Todos</t>
  </si>
  <si>
    <t>A, G, V</t>
  </si>
  <si>
    <t>A, R, P, G</t>
  </si>
  <si>
    <t>Banco de Dados</t>
  </si>
  <si>
    <t>Documentação</t>
  </si>
  <si>
    <t>A, G</t>
  </si>
  <si>
    <t>R, P</t>
  </si>
  <si>
    <t>Visitas tecnicas</t>
  </si>
  <si>
    <t>Nome</t>
  </si>
  <si>
    <t>E-mail</t>
  </si>
  <si>
    <t>Celular</t>
  </si>
  <si>
    <t>Git-Hub</t>
  </si>
  <si>
    <t>Adriel Machado</t>
  </si>
  <si>
    <t>Gustavo Silva</t>
  </si>
  <si>
    <t>Reinaldo</t>
  </si>
  <si>
    <t>Paulo Henrique</t>
  </si>
  <si>
    <t>Vitor Belo</t>
  </si>
  <si>
    <t>adreilmachadosilva@hotmail.com</t>
  </si>
  <si>
    <t>sanchez.github@hotmail.com</t>
  </si>
  <si>
    <t>(15)99702-3651</t>
  </si>
  <si>
    <t>(15)99756-9359</t>
  </si>
  <si>
    <t>(15)99822-2407</t>
  </si>
  <si>
    <t>(15)98811-0175</t>
  </si>
  <si>
    <t>(15)99813-8621</t>
  </si>
  <si>
    <t>https://github.com/guhsanchez</t>
  </si>
  <si>
    <t>https://github.com/phrossifrias</t>
  </si>
  <si>
    <t>https://github.com/Adriel11</t>
  </si>
  <si>
    <t>https://github.com/vitorbelo</t>
  </si>
  <si>
    <t>https://github.com/Eddieamorim</t>
  </si>
  <si>
    <t>Adriel</t>
  </si>
  <si>
    <t>(15)99813-8622</t>
  </si>
  <si>
    <t>Kaique</t>
  </si>
  <si>
    <t>(15)99666-1049</t>
  </si>
  <si>
    <t>paulorossifrias@hotmail.com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</si>
</sst>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Over/Under flag&quot;;&quot;&quot;;&quot;&quot;"/>
  </numFmts>
  <fonts count="20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u/>
      <sz val="11"/>
      <color theme="3" tint="-0.499984740745262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6"/>
      <color theme="3" tint="-0.499984740745262"/>
      <name val="Century Gothic"/>
      <family val="2"/>
      <scheme val="minor"/>
    </font>
    <font>
      <b/>
      <sz val="14"/>
      <color theme="2" tint="-0.89996032593768116"/>
      <name val="Century Gothic"/>
      <family val="2"/>
      <scheme val="minor"/>
    </font>
    <font>
      <b/>
      <sz val="14"/>
      <color theme="9"/>
      <name val="Century Gothic"/>
      <family val="2"/>
      <scheme val="minor"/>
    </font>
    <font>
      <sz val="12"/>
      <color theme="2" tint="-0.89989928891872917"/>
      <name val="Century Gothic"/>
      <family val="2"/>
      <scheme val="minor"/>
    </font>
    <font>
      <sz val="12"/>
      <color theme="2" tint="-0.89992980742820516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28"/>
      <color theme="3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0" fillId="0" borderId="0" xfId="8" applyFont="1" applyAlignment="1">
      <alignment vertical="center"/>
    </xf>
    <xf numFmtId="0" fontId="3" fillId="0" borderId="0" xfId="1" applyAlignment="1">
      <alignment vertical="center"/>
    </xf>
    <xf numFmtId="9" fontId="5" fillId="0" borderId="3" xfId="2">
      <alignment horizontal="center" vertical="center"/>
    </xf>
    <xf numFmtId="0" fontId="6" fillId="0" borderId="0" xfId="6">
      <alignment horizontal="left" vertical="center" wrapText="1" indent="1"/>
    </xf>
    <xf numFmtId="0" fontId="8" fillId="0" borderId="0" xfId="5">
      <alignment horizontal="left" vertical="center" wrapText="1" indent="1"/>
    </xf>
    <xf numFmtId="0" fontId="11" fillId="0" borderId="0" xfId="0" applyFo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2" fillId="0" borderId="7" xfId="16" applyBorder="1">
      <alignment vertical="center"/>
    </xf>
    <xf numFmtId="0" fontId="0" fillId="0" borderId="7" xfId="0" applyBorder="1">
      <alignment vertical="center"/>
    </xf>
    <xf numFmtId="0" fontId="12" fillId="0" borderId="12" xfId="16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right" vertical="center"/>
    </xf>
    <xf numFmtId="0" fontId="14" fillId="0" borderId="0" xfId="6" applyFont="1">
      <alignment horizontal="left" vertical="center" wrapText="1" indent="1"/>
    </xf>
    <xf numFmtId="14" fontId="14" fillId="0" borderId="0" xfId="6" applyNumberFormat="1" applyFont="1">
      <alignment horizontal="left" vertical="center" wrapText="1" indent="1"/>
    </xf>
    <xf numFmtId="3" fontId="14" fillId="0" borderId="0" xfId="6" applyNumberFormat="1" applyFont="1">
      <alignment horizontal="left" vertical="center" wrapText="1" indent="1"/>
    </xf>
    <xf numFmtId="14" fontId="14" fillId="0" borderId="5" xfId="11" applyNumberFormat="1" applyFont="1">
      <alignment horizontal="left" vertical="center" wrapText="1" indent="2"/>
    </xf>
    <xf numFmtId="164" fontId="15" fillId="0" borderId="0" xfId="10" applyFont="1">
      <alignment horizontal="left" vertical="center" indent="1"/>
    </xf>
    <xf numFmtId="0" fontId="16" fillId="0" borderId="0" xfId="5" applyFont="1">
      <alignment horizontal="left" vertical="center" wrapText="1" indent="1"/>
    </xf>
    <xf numFmtId="14" fontId="17" fillId="0" borderId="0" xfId="8" applyFont="1">
      <alignment horizontal="right" vertical="center" indent="2"/>
    </xf>
    <xf numFmtId="3" fontId="16" fillId="0" borderId="0" xfId="4" applyFont="1">
      <alignment horizontal="left" vertical="center" indent="1"/>
    </xf>
    <xf numFmtId="3" fontId="16" fillId="2" borderId="0" xfId="15" applyFont="1" applyBorder="1">
      <alignment horizontal="left" vertical="center" indent="1"/>
    </xf>
    <xf numFmtId="14" fontId="17" fillId="0" borderId="5" xfId="13" applyFont="1">
      <alignment horizontal="left" vertical="center" indent="2"/>
    </xf>
    <xf numFmtId="164" fontId="18" fillId="0" borderId="4" xfId="12" applyFont="1">
      <alignment horizontal="right" vertical="center"/>
    </xf>
    <xf numFmtId="3" fontId="16" fillId="2" borderId="0" xfId="14" applyFont="1">
      <alignment horizontal="left" vertical="center" indent="1"/>
    </xf>
    <xf numFmtId="0" fontId="19" fillId="0" borderId="0" xfId="9" applyFont="1" applyAlignment="1">
      <alignment vertical="center"/>
    </xf>
    <xf numFmtId="14" fontId="17" fillId="0" borderId="0" xfId="8" applyFont="1" applyAlignment="1">
      <alignment horizontal="right" vertical="center" wrapText="1" indent="2"/>
    </xf>
    <xf numFmtId="0" fontId="4" fillId="4" borderId="0" xfId="9" applyFill="1" applyAlignment="1">
      <alignment horizontal="center" vertical="center"/>
    </xf>
  </cellXfs>
  <cellStyles count="17">
    <cellStyle name="Coluna cinza" xfId="14"/>
    <cellStyle name="Data" xfId="8"/>
    <cellStyle name="Duração estimada" xfId="15"/>
    <cellStyle name="Entrada" xfId="2" builtinId="20" customBuiltin="1"/>
    <cellStyle name="Hiperlink" xfId="16" builtinId="8"/>
    <cellStyle name="Início Real" xfId="13"/>
    <cellStyle name="Normal" xfId="0" builtinId="0" customBuiltin="1"/>
    <cellStyle name="Nota" xfId="7" builtinId="10" customBuiltin="1"/>
    <cellStyle name="Números" xfId="4"/>
    <cellStyle name="Saída" xfId="3" builtinId="21" customBuiltin="1"/>
    <cellStyle name="Sinalizador" xfId="12"/>
    <cellStyle name="Texto" xfId="5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34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scheme val="minor"/>
      </font>
    </dxf>
    <dxf>
      <font>
        <b/>
        <i val="0"/>
        <strike val="0"/>
        <outline val="0"/>
        <shadow val="0"/>
        <u val="none"/>
        <vertAlign val="baseline"/>
        <sz val="14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36288"/>
        <c:axId val="173047104"/>
      </c:barChart>
      <c:catAx>
        <c:axId val="215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47104"/>
        <c:crosses val="autoZero"/>
        <c:auto val="1"/>
        <c:lblAlgn val="ctr"/>
        <c:lblOffset val="100"/>
        <c:noMultiLvlLbl val="0"/>
      </c:catAx>
      <c:valAx>
        <c:axId val="173047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4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50144"/>
        <c:axId val="215172224"/>
      </c:barChart>
      <c:catAx>
        <c:axId val="2157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72224"/>
        <c:crosses val="autoZero"/>
        <c:auto val="1"/>
        <c:lblAlgn val="ctr"/>
        <c:lblOffset val="100"/>
        <c:noMultiLvlLbl val="0"/>
      </c:catAx>
      <c:valAx>
        <c:axId val="2151722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enfermagempim@hotmail.com" TargetMode="External"/><Relationship Id="rId2" Type="http://schemas.openxmlformats.org/officeDocument/2006/relationships/hyperlink" Target="https://github.com/guhsanchez/Pim-Enfermagem.git" TargetMode="External"/><Relationship Id="rId1" Type="http://schemas.openxmlformats.org/officeDocument/2006/relationships/hyperlink" Target="#Cronograma!A1"/><Relationship Id="rId4" Type="http://schemas.openxmlformats.org/officeDocument/2006/relationships/hyperlink" Target="#Informa&#231;&#245;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Configura&#231;&#227;o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190500</xdr:rowOff>
    </xdr:from>
    <xdr:to>
      <xdr:col>3</xdr:col>
      <xdr:colOff>523875</xdr:colOff>
      <xdr:row>7</xdr:row>
      <xdr:rowOff>85725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6EAD538-8E63-4347-BB47-D7F21E232BE1}"/>
            </a:ext>
          </a:extLst>
        </xdr:cNvPr>
        <xdr:cNvSpPr/>
      </xdr:nvSpPr>
      <xdr:spPr>
        <a:xfrm>
          <a:off x="1171575" y="1028700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Cronograma</a:t>
          </a:r>
        </a:p>
      </xdr:txBody>
    </xdr:sp>
    <xdr:clientData/>
  </xdr:twoCellAnchor>
  <xdr:twoCellAnchor>
    <xdr:from>
      <xdr:col>1</xdr:col>
      <xdr:colOff>476250</xdr:colOff>
      <xdr:row>12</xdr:row>
      <xdr:rowOff>9525</xdr:rowOff>
    </xdr:from>
    <xdr:to>
      <xdr:col>3</xdr:col>
      <xdr:colOff>514350</xdr:colOff>
      <xdr:row>14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966EEA7-9C97-45B5-8005-38D432AC4427}"/>
            </a:ext>
          </a:extLst>
        </xdr:cNvPr>
        <xdr:cNvSpPr/>
      </xdr:nvSpPr>
      <xdr:spPr>
        <a:xfrm>
          <a:off x="1162050" y="2524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Git-Hub</a:t>
          </a:r>
        </a:p>
      </xdr:txBody>
    </xdr:sp>
    <xdr:clientData/>
  </xdr:twoCellAnchor>
  <xdr:twoCellAnchor>
    <xdr:from>
      <xdr:col>1</xdr:col>
      <xdr:colOff>476250</xdr:colOff>
      <xdr:row>8</xdr:row>
      <xdr:rowOff>85725</xdr:rowOff>
    </xdr:from>
    <xdr:to>
      <xdr:col>3</xdr:col>
      <xdr:colOff>514350</xdr:colOff>
      <xdr:row>10</xdr:row>
      <xdr:rowOff>190500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1DB0E7FC-D630-496A-948E-A83363D13A9B}"/>
            </a:ext>
          </a:extLst>
        </xdr:cNvPr>
        <xdr:cNvSpPr/>
      </xdr:nvSpPr>
      <xdr:spPr>
        <a:xfrm>
          <a:off x="1162050" y="1762125"/>
          <a:ext cx="1409700" cy="52387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E-mail</a:t>
          </a:r>
        </a:p>
      </xdr:txBody>
    </xdr:sp>
    <xdr:clientData/>
  </xdr:twoCellAnchor>
  <xdr:twoCellAnchor>
    <xdr:from>
      <xdr:col>1</xdr:col>
      <xdr:colOff>457200</xdr:colOff>
      <xdr:row>15</xdr:row>
      <xdr:rowOff>142875</xdr:rowOff>
    </xdr:from>
    <xdr:to>
      <xdr:col>3</xdr:col>
      <xdr:colOff>495300</xdr:colOff>
      <xdr:row>18</xdr:row>
      <xdr:rowOff>142875</xdr:rowOff>
    </xdr:to>
    <xdr:sp macro="" textlink="">
      <xdr:nvSpPr>
        <xdr:cNvPr id="6" name="Retângulo: Cantos Diagonais Recortados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92D2DE9-C9F9-419B-A5CF-852725D9BD6C}"/>
            </a:ext>
          </a:extLst>
        </xdr:cNvPr>
        <xdr:cNvSpPr/>
      </xdr:nvSpPr>
      <xdr:spPr>
        <a:xfrm>
          <a:off x="1143000" y="3286125"/>
          <a:ext cx="1409700" cy="6286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Informações</a:t>
          </a:r>
          <a:r>
            <a:rPr lang="pt-BR" sz="1400" b="1" baseline="0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dos Alunos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085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085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0</xdr:row>
      <xdr:rowOff>460375</xdr:rowOff>
    </xdr:from>
    <xdr:to>
      <xdr:col>14</xdr:col>
      <xdr:colOff>1793875</xdr:colOff>
      <xdr:row>2</xdr:row>
      <xdr:rowOff>47625</xdr:rowOff>
    </xdr:to>
    <xdr:sp macro="" textlink="">
      <xdr:nvSpPr>
        <xdr:cNvPr id="4" name="Retângulo: Cantos Diagonais Recortados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F42AA0B-FB74-4073-9E7A-B53A2A762079}"/>
            </a:ext>
          </a:extLst>
        </xdr:cNvPr>
        <xdr:cNvSpPr/>
      </xdr:nvSpPr>
      <xdr:spPr>
        <a:xfrm>
          <a:off x="15859125" y="460375"/>
          <a:ext cx="1539875" cy="666750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  <xdr:twoCellAnchor>
    <xdr:from>
      <xdr:col>10</xdr:col>
      <xdr:colOff>174625</xdr:colOff>
      <xdr:row>0</xdr:row>
      <xdr:rowOff>476250</xdr:rowOff>
    </xdr:from>
    <xdr:to>
      <xdr:col>13</xdr:col>
      <xdr:colOff>952500</xdr:colOff>
      <xdr:row>2</xdr:row>
      <xdr:rowOff>31749</xdr:rowOff>
    </xdr:to>
    <xdr:sp macro="" textlink="">
      <xdr:nvSpPr>
        <xdr:cNvPr id="5" name="Retângulo: Cantos Diagonais Recortados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2FDD6EB3-CB1A-478F-B360-E0A6CD273D94}"/>
            </a:ext>
          </a:extLst>
        </xdr:cNvPr>
        <xdr:cNvSpPr/>
      </xdr:nvSpPr>
      <xdr:spPr>
        <a:xfrm>
          <a:off x="13335000" y="476250"/>
          <a:ext cx="2206625" cy="634999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Configuração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1732540</xdr:colOff>
      <xdr:row>10</xdr:row>
      <xdr:rowOff>119784</xdr:rowOff>
    </xdr:from>
    <xdr:to>
      <xdr:col>3</xdr:col>
      <xdr:colOff>665740</xdr:colOff>
      <xdr:row>13</xdr:row>
      <xdr:rowOff>23091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ABA5CBC-9545-44BC-933C-CFDFA9B3B3CC}"/>
            </a:ext>
          </a:extLst>
        </xdr:cNvPr>
        <xdr:cNvSpPr/>
      </xdr:nvSpPr>
      <xdr:spPr>
        <a:xfrm>
          <a:off x="4373563" y="3055216"/>
          <a:ext cx="1409700" cy="526761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1</xdr:row>
      <xdr:rowOff>104774</xdr:rowOff>
    </xdr:from>
    <xdr:to>
      <xdr:col>2</xdr:col>
      <xdr:colOff>1619251</xdr:colOff>
      <xdr:row>2</xdr:row>
      <xdr:rowOff>161924</xdr:rowOff>
    </xdr:to>
    <xdr:sp macro="" textlink="">
      <xdr:nvSpPr>
        <xdr:cNvPr id="5" name="Retângulo: Cantos Diagonais Recortados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2F90576-8ABF-49E5-9913-F219897CC146}"/>
            </a:ext>
          </a:extLst>
        </xdr:cNvPr>
        <xdr:cNvSpPr/>
      </xdr:nvSpPr>
      <xdr:spPr>
        <a:xfrm>
          <a:off x="476251" y="923924"/>
          <a:ext cx="3295650" cy="314325"/>
        </a:xfrm>
        <a:prstGeom prst="snip2Diag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9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Controlador_de_projeto" displayName="Controlador_de_projeto" ref="B4:O13" totalsRowShown="0" headerRowDxfId="29" dataDxfId="28" tableBorderDxfId="27">
  <autoFilter ref="B4:O13"/>
  <sortState ref="B5:O13">
    <sortCondition sortBy="icon" ref="C5:C13"/>
  </sortState>
  <tableColumns count="14">
    <tableColumn id="1" name="Atividades" dataDxfId="26" dataCellStyle="Texto"/>
    <tableColumn id="2" name="Prioridade" dataDxfId="25" dataCellStyle="Texto"/>
    <tableColumn id="3" name="Atribuída a" dataDxfId="24" dataCellStyle="Texto"/>
    <tableColumn id="4" name="Estimado_x000a_Início" dataDxfId="23" dataCellStyle="Data"/>
    <tableColumn id="5" name="Estimado _x000a_Término" dataDxfId="22" dataCellStyle="Data"/>
    <tableColumn id="6" name="Trabalho Estimado (em horas)" dataDxfId="21" dataCellStyle="Números"/>
    <tableColumn id="7" name="Duração Estimada (em dias)" dataDxfId="20" dataCellStyle="Duração estimada">
      <calculatedColumnFormula>E5+F5</calculatedColumnFormula>
    </tableColumn>
    <tableColumn id="8" name="Real _x000a_Início" dataDxfId="19" dataCellStyle="Início Real"/>
    <tableColumn id="9" name="Real_x000a_Término" dataDxfId="18" dataCellStyle="Data"/>
    <tableColumn id="10" name="Ícone de sinalizador para o trabalho real de acima/abaixo (em horas)" dataDxfId="17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name="Trabalho Real (em horas)" dataDxfId="16" dataCellStyle="Números"/>
    <tableColumn id="12" name="Ícone de sinalizador para duração real acima/abaixo (em dias)" dataDxfId="15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name="Duração Real (em dias)" dataDxfId="14" dataCellStyle="Coluna cinza">
      <calculatedColumnFormula>IF(COUNTA(Cronograma!$I5,Cronograma!$J5)&lt;&gt;2,"",DAYS360(Cronograma!$I5,Cronograma!$J5,FALSE))</calculatedColumnFormula>
    </tableColumn>
    <tableColumn id="14" name="Anotações" dataDxfId="13" dataCellStyle="Texto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elaInformações" displayName="TabelaInformações" ref="B2:E10" totalsRowCount="1" headerRowDxfId="12" totalsRowDxfId="9" headerRowBorderDxfId="11" tableBorderDxfId="10" totalsRowBorderDxfId="8">
  <autoFilter ref="B2:E9"/>
  <sortState ref="B3:E8">
    <sortCondition ref="B2:B9"/>
  </sortState>
  <tableColumns count="4">
    <tableColumn id="1" name="Nome" totalsRowFunction="count" dataDxfId="7" totalsRowDxfId="3"/>
    <tableColumn id="2" name="E-mail" totalsRowFunction="count" dataDxfId="6" totalsRowDxfId="2"/>
    <tableColumn id="3" name="Celular" totalsRowFunction="count" dataDxfId="5" totalsRowDxfId="1"/>
    <tableColumn id="4" name="Git-Hub" totalsRowFunction="count" dataDxfId="4" totalsRowDxfId="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CategoryAndEmployeeTable" displayName="CategoryAndEmployeeTable" ref="B4:C17" totalsRowShown="0" headerRowCellStyle="Título 2" dataCellStyle="Texto">
  <autoFilter ref="B4:C17"/>
  <tableColumns count="2">
    <tableColumn id="1" name="Nome da Categoria" dataCellStyle="Texto"/>
    <tableColumn id="2" name="Nome do Funcionário" dataCellStyle="Texto"/>
  </tableColumns>
  <tableStyleInfo name="TableStyleMedium12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torbelo" TargetMode="External"/><Relationship Id="rId3" Type="http://schemas.openxmlformats.org/officeDocument/2006/relationships/hyperlink" Target="https://github.com/guhsanchez" TargetMode="External"/><Relationship Id="rId7" Type="http://schemas.openxmlformats.org/officeDocument/2006/relationships/hyperlink" Target="https://github.com/vitorbelo" TargetMode="External"/><Relationship Id="rId2" Type="http://schemas.openxmlformats.org/officeDocument/2006/relationships/hyperlink" Target="mailto:sanchez.github@hotmail.com" TargetMode="External"/><Relationship Id="rId1" Type="http://schemas.openxmlformats.org/officeDocument/2006/relationships/hyperlink" Target="mailto:adreilmachadosilva@hotmail.com" TargetMode="External"/><Relationship Id="rId6" Type="http://schemas.openxmlformats.org/officeDocument/2006/relationships/hyperlink" Target="https://github.com/Eddieamori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github.com/phrossifria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Adriel11" TargetMode="External"/><Relationship Id="rId9" Type="http://schemas.openxmlformats.org/officeDocument/2006/relationships/hyperlink" Target="mailto:paulorossifrias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showGridLines="0" workbookViewId="0"/>
  </sheetViews>
  <sheetFormatPr defaultRowHeight="16.5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17"/>
  <sheetViews>
    <sheetView showGridLines="0" tabSelected="1" zoomScale="60" zoomScaleNormal="60" workbookViewId="0">
      <pane ySplit="4" topLeftCell="A5" activePane="bottomLeft" state="frozen"/>
      <selection pane="bottomLeft" activeCell="C18" sqref="C18"/>
    </sheetView>
  </sheetViews>
  <sheetFormatPr defaultColWidth="9" defaultRowHeight="30" customHeight="1" x14ac:dyDescent="0.3"/>
  <cols>
    <col min="1" max="1" width="2.625" customWidth="1"/>
    <col min="2" max="2" width="38.25" bestFit="1" customWidth="1"/>
    <col min="3" max="3" width="20.625" customWidth="1"/>
    <col min="4" max="4" width="22" customWidth="1"/>
    <col min="5" max="5" width="15" style="1" customWidth="1"/>
    <col min="6" max="6" width="14.875" style="1" customWidth="1"/>
    <col min="7" max="7" width="14.375" bestFit="1" customWidth="1"/>
    <col min="8" max="8" width="13.875" hidden="1" customWidth="1"/>
    <col min="9" max="9" width="15.375" style="1" hidden="1" customWidth="1"/>
    <col min="10" max="10" width="15.125" style="1" hidden="1" customWidth="1"/>
    <col min="11" max="11" width="2.875" style="1" hidden="1" customWidth="1"/>
    <col min="12" max="12" width="12.875" hidden="1" customWidth="1"/>
    <col min="13" max="13" width="2.875" hidden="1" customWidth="1"/>
    <col min="14" max="14" width="13.25" hidden="1" customWidth="1"/>
    <col min="15" max="15" width="25.625" customWidth="1"/>
    <col min="16" max="16" width="2.625" customWidth="1"/>
  </cols>
  <sheetData>
    <row r="1" spans="1:15" ht="65.099999999999994" customHeight="1" x14ac:dyDescent="0.3">
      <c r="B1" s="30" t="s">
        <v>16</v>
      </c>
    </row>
    <row r="2" spans="1:15" ht="20.25" customHeight="1" x14ac:dyDescent="0.3">
      <c r="A2" s="2"/>
      <c r="B2" s="17" t="s">
        <v>0</v>
      </c>
      <c r="C2" s="3">
        <v>1</v>
      </c>
    </row>
    <row r="3" spans="1:15" ht="16.5" x14ac:dyDescent="0.3"/>
    <row r="4" spans="1:15" ht="60" customHeight="1" x14ac:dyDescent="0.3">
      <c r="B4" s="18" t="s">
        <v>18</v>
      </c>
      <c r="C4" s="18" t="s">
        <v>25</v>
      </c>
      <c r="D4" s="18" t="s">
        <v>1</v>
      </c>
      <c r="E4" s="19" t="s">
        <v>2</v>
      </c>
      <c r="F4" s="19" t="s">
        <v>3</v>
      </c>
      <c r="G4" s="20" t="s">
        <v>15</v>
      </c>
      <c r="H4" s="18" t="s">
        <v>14</v>
      </c>
      <c r="I4" s="21" t="s">
        <v>4</v>
      </c>
      <c r="J4" s="19" t="s">
        <v>5</v>
      </c>
      <c r="K4" s="22" t="s">
        <v>6</v>
      </c>
      <c r="L4" s="20" t="s">
        <v>12</v>
      </c>
      <c r="M4" s="22" t="s">
        <v>7</v>
      </c>
      <c r="N4" s="20" t="s">
        <v>13</v>
      </c>
      <c r="O4" s="18" t="s">
        <v>8</v>
      </c>
    </row>
    <row r="5" spans="1:15" ht="50.1" customHeight="1" x14ac:dyDescent="0.3">
      <c r="B5" s="23" t="s">
        <v>19</v>
      </c>
      <c r="C5" s="23" t="s">
        <v>27</v>
      </c>
      <c r="D5" s="23" t="s">
        <v>38</v>
      </c>
      <c r="E5" s="24">
        <f>DATE(2018, 10, 1)+ 50</f>
        <v>43424</v>
      </c>
      <c r="F5" s="31">
        <f>E5+190</f>
        <v>43614</v>
      </c>
      <c r="G5" s="25">
        <f>((E5+F5)*24/360)</f>
        <v>5802.5333333333338</v>
      </c>
      <c r="H5" s="26">
        <f t="shared" ref="H5:H13" si="0">E5+F5</f>
        <v>87038</v>
      </c>
      <c r="I5" s="27">
        <f ca="1">TODAY()-65</f>
        <v>43554</v>
      </c>
      <c r="J5" s="24">
        <f ca="1">TODAY()</f>
        <v>43619</v>
      </c>
      <c r="K5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5" s="25">
        <v>300</v>
      </c>
      <c r="M5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5" s="29">
        <f ca="1">IF(COUNTA(Cronograma!$I5,Cronograma!$J5)&lt;&gt;2,"",DAYS360(Cronograma!$I5,Cronograma!$J5,FALSE))</f>
        <v>63</v>
      </c>
      <c r="O5" s="23"/>
    </row>
    <row r="6" spans="1:15" ht="50.1" customHeight="1" x14ac:dyDescent="0.3">
      <c r="B6" s="23" t="s">
        <v>17</v>
      </c>
      <c r="C6" s="23" t="s">
        <v>27</v>
      </c>
      <c r="D6" s="23" t="s">
        <v>38</v>
      </c>
      <c r="E6" s="24">
        <f>DATE(2018, 10, 1)</f>
        <v>43374</v>
      </c>
      <c r="F6" s="24">
        <f>E6+250</f>
        <v>43624</v>
      </c>
      <c r="G6" s="25">
        <f>((E6+F6)*24/360)</f>
        <v>5799.8666666666668</v>
      </c>
      <c r="H6" s="26">
        <f t="shared" si="0"/>
        <v>86998</v>
      </c>
      <c r="I6" s="27">
        <f ca="1">TODAY()-41</f>
        <v>43578</v>
      </c>
      <c r="J6" s="24">
        <f ca="1">TODAY()-7</f>
        <v>43612</v>
      </c>
      <c r="K6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6" s="25">
        <v>390</v>
      </c>
      <c r="M6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6" s="29">
        <f ca="1">IF(COUNTA(Cronograma!$I6,Cronograma!$J6)&lt;&gt;2,"",DAYS360(Cronograma!$I6,Cronograma!$J6,FALSE))</f>
        <v>34</v>
      </c>
      <c r="O6" s="23" t="s">
        <v>40</v>
      </c>
    </row>
    <row r="7" spans="1:15" ht="50.1" customHeight="1" x14ac:dyDescent="0.3">
      <c r="B7" s="23" t="s">
        <v>20</v>
      </c>
      <c r="C7" s="23" t="s">
        <v>26</v>
      </c>
      <c r="D7" s="23" t="s">
        <v>33</v>
      </c>
      <c r="E7" s="24">
        <f>DATE(2019, 3, 18)</f>
        <v>43542</v>
      </c>
      <c r="F7" s="24">
        <f>E7+1</f>
        <v>43543</v>
      </c>
      <c r="G7" s="25">
        <f>((E7+F7)*24/360)</f>
        <v>5805.666666666667</v>
      </c>
      <c r="H7" s="26">
        <f t="shared" si="0"/>
        <v>87085</v>
      </c>
      <c r="I7" s="27">
        <f ca="1">TODAY()-100</f>
        <v>43519</v>
      </c>
      <c r="J7" s="24">
        <f ca="1">TODAY()-27</f>
        <v>43592</v>
      </c>
      <c r="K7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7" s="25">
        <v>500</v>
      </c>
      <c r="M7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7" s="29">
        <f ca="1">IF(COUNTA(Cronograma!$I7,Cronograma!$J7)&lt;&gt;2,"",DAYS360(Cronograma!$I7,Cronograma!$J7,FALSE))</f>
        <v>74</v>
      </c>
      <c r="O7" s="23"/>
    </row>
    <row r="8" spans="1:15" ht="50.1" customHeight="1" x14ac:dyDescent="0.3">
      <c r="B8" s="23" t="s">
        <v>21</v>
      </c>
      <c r="C8" s="23" t="s">
        <v>26</v>
      </c>
      <c r="D8" s="23" t="s">
        <v>33</v>
      </c>
      <c r="E8" s="24">
        <f>DATE(2019, 3, 18)</f>
        <v>43542</v>
      </c>
      <c r="F8" s="24">
        <f>F7</f>
        <v>43543</v>
      </c>
      <c r="G8" s="25">
        <v>250</v>
      </c>
      <c r="H8" s="26">
        <f t="shared" si="0"/>
        <v>87085</v>
      </c>
      <c r="I8" s="27">
        <f ca="1">TODAY()-90</f>
        <v>43529</v>
      </c>
      <c r="J8" s="24">
        <f ca="1">TODAY()-71</f>
        <v>43548</v>
      </c>
      <c r="K8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8" s="25">
        <v>276</v>
      </c>
      <c r="M8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8" s="29">
        <f ca="1">IF(COUNTA(Cronograma!$I8,Cronograma!$J8)&lt;&gt;2,"",DAYS360(Cronograma!$I8,Cronograma!$J8,FALSE))</f>
        <v>19</v>
      </c>
      <c r="O8" s="23"/>
    </row>
    <row r="9" spans="1:15" ht="50.1" customHeight="1" x14ac:dyDescent="0.3">
      <c r="B9" s="23" t="s">
        <v>22</v>
      </c>
      <c r="C9" s="23" t="s">
        <v>26</v>
      </c>
      <c r="D9" s="23" t="s">
        <v>38</v>
      </c>
      <c r="E9" s="24">
        <f>DATE(2019,4,2)</f>
        <v>43557</v>
      </c>
      <c r="F9" s="24">
        <f>E9+65</f>
        <v>43622</v>
      </c>
      <c r="G9" s="25">
        <f>((E9+F9)*24/360)</f>
        <v>5811.9333333333334</v>
      </c>
      <c r="H9" s="26">
        <f t="shared" si="0"/>
        <v>87179</v>
      </c>
      <c r="I9" s="27">
        <f ca="1">TODAY()-90</f>
        <v>43529</v>
      </c>
      <c r="J9" s="24">
        <f ca="1">TODAY()-44</f>
        <v>43575</v>
      </c>
      <c r="K9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9" s="25">
        <v>310</v>
      </c>
      <c r="M9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9" s="29">
        <f ca="1">IF(COUNTA(Cronograma!$I9,Cronograma!$J9)&lt;&gt;2,"",DAYS360(Cronograma!$I9,Cronograma!$J9,FALSE))</f>
        <v>45</v>
      </c>
      <c r="O9" s="23"/>
    </row>
    <row r="10" spans="1:15" ht="50.1" customHeight="1" x14ac:dyDescent="0.3">
      <c r="B10" s="23" t="s">
        <v>23</v>
      </c>
      <c r="C10" s="23" t="s">
        <v>26</v>
      </c>
      <c r="D10" s="23" t="s">
        <v>33</v>
      </c>
      <c r="E10" s="24">
        <f>DATE(2019,5,9)</f>
        <v>43594</v>
      </c>
      <c r="F10" s="24">
        <f>E10+1</f>
        <v>43595</v>
      </c>
      <c r="G10" s="25">
        <v>24</v>
      </c>
      <c r="H10" s="26">
        <f t="shared" si="0"/>
        <v>87189</v>
      </c>
      <c r="I10" s="27">
        <f ca="1">TODAY()-60</f>
        <v>43559</v>
      </c>
      <c r="J10" s="24">
        <f ca="1">TODAY()-45</f>
        <v>43574</v>
      </c>
      <c r="K10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1</v>
      </c>
      <c r="L10" s="25">
        <v>510</v>
      </c>
      <c r="M10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0" s="29">
        <f ca="1">IF(COUNTA(Cronograma!$I10,Cronograma!$J10)&lt;&gt;2,"",DAYS360(Cronograma!$I10,Cronograma!$J10,FALSE))</f>
        <v>15</v>
      </c>
      <c r="O10" s="23"/>
    </row>
    <row r="11" spans="1:15" ht="50.1" customHeight="1" x14ac:dyDescent="0.3">
      <c r="B11" s="23" t="s">
        <v>24</v>
      </c>
      <c r="C11" s="23" t="s">
        <v>28</v>
      </c>
      <c r="D11" s="23" t="s">
        <v>35</v>
      </c>
      <c r="E11" s="24">
        <f>DATE(2019,5,14)</f>
        <v>43599</v>
      </c>
      <c r="F11" s="24">
        <f>E11+1</f>
        <v>43600</v>
      </c>
      <c r="G11" s="25">
        <f>G10</f>
        <v>24</v>
      </c>
      <c r="H11" s="26">
        <f t="shared" si="0"/>
        <v>87199</v>
      </c>
      <c r="I11" s="27">
        <f ca="1">TODAY()-44</f>
        <v>43575</v>
      </c>
      <c r="J11" s="24">
        <f ca="1">TODAY()-15</f>
        <v>43604</v>
      </c>
      <c r="K11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1</v>
      </c>
      <c r="L11" s="25">
        <v>790</v>
      </c>
      <c r="M11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1" s="29">
        <f ca="1">IF(COUNTA(Cronograma!$I11,Cronograma!$J11)&lt;&gt;2,"",DAYS360(Cronograma!$I11,Cronograma!$J11,FALSE))</f>
        <v>29</v>
      </c>
      <c r="O11" s="23"/>
    </row>
    <row r="12" spans="1:15" ht="50.1" customHeight="1" x14ac:dyDescent="0.3">
      <c r="B12" s="23" t="s">
        <v>36</v>
      </c>
      <c r="C12" s="23" t="s">
        <v>26</v>
      </c>
      <c r="D12" s="23" t="s">
        <v>38</v>
      </c>
      <c r="E12" s="24">
        <f>DATE(2019, 5, 20)</f>
        <v>43605</v>
      </c>
      <c r="F12" s="24">
        <f>E12+20</f>
        <v>43625</v>
      </c>
      <c r="G12" s="25">
        <f>15*24</f>
        <v>360</v>
      </c>
      <c r="H12" s="26">
        <f t="shared" si="0"/>
        <v>87230</v>
      </c>
      <c r="I12" s="27">
        <f ca="1">TODAY()-45</f>
        <v>43574</v>
      </c>
      <c r="J12" s="24">
        <f ca="1">TODAY()-5</f>
        <v>43614</v>
      </c>
      <c r="K12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2" s="25">
        <v>430</v>
      </c>
      <c r="M12" s="28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2" s="29">
        <f ca="1">IF(COUNTA(Cronograma!$I12,Cronograma!$J12)&lt;&gt;2,"",DAYS360(Cronograma!$I12,Cronograma!$J12,FALSE))</f>
        <v>40</v>
      </c>
      <c r="O12" s="23"/>
    </row>
    <row r="13" spans="1:15" ht="50.1" customHeight="1" x14ac:dyDescent="0.3">
      <c r="B13" s="23" t="s">
        <v>37</v>
      </c>
      <c r="C13" s="23" t="s">
        <v>26</v>
      </c>
      <c r="D13" s="23" t="s">
        <v>33</v>
      </c>
      <c r="E13" s="24">
        <f>DATE(2018, 11, 2)</f>
        <v>43406</v>
      </c>
      <c r="F13" s="24">
        <f>E13+215</f>
        <v>43621</v>
      </c>
      <c r="G13" s="25">
        <f>(E13+F13)*24/360</f>
        <v>5801.8</v>
      </c>
      <c r="H13" s="26">
        <f t="shared" si="0"/>
        <v>87027</v>
      </c>
      <c r="I13" s="27">
        <v>42434</v>
      </c>
      <c r="J13" s="24">
        <v>42495</v>
      </c>
      <c r="K13" s="28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3" s="25">
        <v>200</v>
      </c>
      <c r="M13" s="28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3" s="29">
        <f>IF(COUNTA(Cronograma!$I13,Cronograma!$J13)&lt;&gt;2,"",DAYS360(Cronograma!$I13,Cronograma!$J13,FALSE))</f>
        <v>60</v>
      </c>
      <c r="O13" s="23"/>
    </row>
    <row r="17" spans="3:3" ht="30" customHeight="1" x14ac:dyDescent="0.3">
      <c r="C17" s="6"/>
    </row>
  </sheetData>
  <conditionalFormatting sqref="L5:L13">
    <cfRule type="expression" dxfId="31" priority="6">
      <formula>(ABS((L5-G5))/G5)&gt;FlagPercent</formula>
    </cfRule>
  </conditionalFormatting>
  <conditionalFormatting sqref="N5:N13">
    <cfRule type="expression" dxfId="30" priority="8">
      <formula>(ABS((N5-H5))/H5)&gt;FlagPercent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/>
    <dataValidation allowBlank="1" showInputMessage="1" showErrorMessage="1" prompt="Porcentagem acima/abaixo personalizáveis usadas para realçar o trabalho real em horas e dias na tabela de projetos que excedam ou fiquem abaixo deste número" sqref="C2"/>
    <dataValidation type="list" allowBlank="1" showInputMessage="1" showErrorMessage="1" error="Selecione uma categoria na lista ou crie uma nova categoria para exibir nesta lista da planilha Configuração." sqref="C5:C13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3">
      <formula1>EmployeeList</formula1>
    </dataValidation>
    <dataValidation allowBlank="1" showInputMessage="1" showErrorMessage="1" prompt="Insira nomes de projetos desta coluna" sqref="B4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/>
    <dataValidation allowBlank="1" showInputMessage="1" showErrorMessage="1" prompt="Insira a data de início estimada do projeto nesta coluna" sqref="E4"/>
    <dataValidation allowBlank="1" showInputMessage="1" showErrorMessage="1" prompt="Insira a data de término estimada do projeto nesta coluna" sqref="F4"/>
    <dataValidation allowBlank="1" showInputMessage="1" showErrorMessage="1" prompt="Insira o trabalho estimado do projeto em horas" sqref="G4"/>
    <dataValidation allowBlank="1" showInputMessage="1" showErrorMessage="1" prompt="Insira a duração estimada do projeto em dias nesta coluna" sqref="H4"/>
    <dataValidation allowBlank="1" showInputMessage="1" showErrorMessage="1" prompt="Insira a data de início real do projeto nesta coluna" sqref="I4"/>
    <dataValidation allowBlank="1" showInputMessage="1" showErrorMessage="1" prompt="Insira a data de término real do projeto nesta coluna" sqref="J4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/>
    <dataValidation allowBlank="1" showInputMessage="1" showErrorMessage="1" prompt="Insira anotações para os projetos nesta coluna" sqref="O4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K5:K13</xm:sqref>
        </x14:conditionalFormatting>
        <x14:conditionalFormatting xmlns:xm="http://schemas.microsoft.com/office/excel/2006/main">
          <x14:cfRule type="iconSet" priority="2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zoomScale="110" zoomScaleNormal="110" workbookViewId="0">
      <selection activeCell="C18" sqref="C18"/>
    </sheetView>
  </sheetViews>
  <sheetFormatPr defaultRowHeight="16.5" x14ac:dyDescent="0.3"/>
  <cols>
    <col min="2" max="2" width="25.625" customWidth="1"/>
    <col min="3" max="3" width="32.5" bestFit="1" customWidth="1"/>
    <col min="4" max="4" width="25.625" customWidth="1"/>
    <col min="5" max="5" width="31.25" bestFit="1" customWidth="1"/>
  </cols>
  <sheetData>
    <row r="2" spans="2:5" ht="24.95" customHeight="1" x14ac:dyDescent="0.3">
      <c r="B2" s="7" t="s">
        <v>41</v>
      </c>
      <c r="C2" s="8" t="s">
        <v>42</v>
      </c>
      <c r="D2" s="8" t="s">
        <v>43</v>
      </c>
      <c r="E2" s="9" t="s">
        <v>44</v>
      </c>
    </row>
    <row r="3" spans="2:5" ht="35.1" customHeight="1" x14ac:dyDescent="0.3">
      <c r="B3" s="10" t="s">
        <v>45</v>
      </c>
      <c r="C3" s="11" t="s">
        <v>50</v>
      </c>
      <c r="D3" s="12" t="s">
        <v>52</v>
      </c>
      <c r="E3" s="13" t="s">
        <v>59</v>
      </c>
    </row>
    <row r="4" spans="2:5" ht="35.1" customHeight="1" x14ac:dyDescent="0.3">
      <c r="B4" s="10" t="s">
        <v>46</v>
      </c>
      <c r="C4" s="11" t="s">
        <v>51</v>
      </c>
      <c r="D4" s="12" t="s">
        <v>53</v>
      </c>
      <c r="E4" s="13" t="s">
        <v>57</v>
      </c>
    </row>
    <row r="5" spans="2:5" ht="35.1" customHeight="1" x14ac:dyDescent="0.3">
      <c r="B5" s="10" t="s">
        <v>48</v>
      </c>
      <c r="C5" s="11" t="s">
        <v>66</v>
      </c>
      <c r="D5" s="12" t="s">
        <v>54</v>
      </c>
      <c r="E5" s="13" t="s">
        <v>58</v>
      </c>
    </row>
    <row r="6" spans="2:5" ht="35.1" customHeight="1" x14ac:dyDescent="0.3">
      <c r="B6" s="10" t="s">
        <v>64</v>
      </c>
      <c r="C6" s="12"/>
      <c r="D6" s="12" t="s">
        <v>65</v>
      </c>
      <c r="E6" s="13"/>
    </row>
    <row r="7" spans="2:5" ht="35.1" customHeight="1" x14ac:dyDescent="0.3">
      <c r="B7" s="10" t="s">
        <v>47</v>
      </c>
      <c r="C7" s="12"/>
      <c r="D7" s="12" t="s">
        <v>55</v>
      </c>
      <c r="E7" s="13" t="s">
        <v>61</v>
      </c>
    </row>
    <row r="8" spans="2:5" ht="35.1" customHeight="1" x14ac:dyDescent="0.3">
      <c r="B8" s="10" t="s">
        <v>49</v>
      </c>
      <c r="C8" s="12"/>
      <c r="D8" s="12" t="s">
        <v>56</v>
      </c>
      <c r="E8" s="13" t="s">
        <v>60</v>
      </c>
    </row>
    <row r="9" spans="2:5" hidden="1" x14ac:dyDescent="0.3">
      <c r="B9" s="10" t="s">
        <v>49</v>
      </c>
      <c r="C9" s="12"/>
      <c r="D9" s="12" t="s">
        <v>63</v>
      </c>
      <c r="E9" s="13" t="s">
        <v>60</v>
      </c>
    </row>
    <row r="10" spans="2:5" x14ac:dyDescent="0.3">
      <c r="B10" s="14">
        <f>SUBTOTAL(103,TabelaInformações[Nome])</f>
        <v>6</v>
      </c>
      <c r="C10" s="15">
        <f>SUBTOTAL(103,TabelaInformações[E-mail])</f>
        <v>3</v>
      </c>
      <c r="D10" s="15">
        <f>SUBTOTAL(103,TabelaInformações[Celular])</f>
        <v>6</v>
      </c>
      <c r="E10" s="16">
        <f>SUBTOTAL(103,TabelaInformações[Git-Hub])</f>
        <v>5</v>
      </c>
    </row>
  </sheetData>
  <hyperlinks>
    <hyperlink ref="C3" r:id="rId1"/>
    <hyperlink ref="C4" r:id="rId2"/>
    <hyperlink ref="E4" r:id="rId3"/>
    <hyperlink ref="E3" r:id="rId4"/>
    <hyperlink ref="E5" r:id="rId5"/>
    <hyperlink ref="E7" r:id="rId6"/>
    <hyperlink ref="E9" r:id="rId7"/>
    <hyperlink ref="E8" r:id="rId8"/>
    <hyperlink ref="C5" r:id="rId9"/>
  </hyperlinks>
  <pageMargins left="0.511811024" right="0.511811024" top="0.78740157499999996" bottom="0.78740157499999996" header="0.31496062000000002" footer="0.31496062000000002"/>
  <drawing r:id="rId10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7"/>
  <sheetViews>
    <sheetView showGridLines="0" zoomScaleNormal="100" workbookViewId="0">
      <pane ySplit="4" topLeftCell="A5" activePane="bottomLeft" state="frozen"/>
      <selection pane="bottomLeft" activeCell="F8" sqref="F8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32" t="s">
        <v>9</v>
      </c>
      <c r="C1" s="32"/>
    </row>
    <row r="2" spans="2:3" ht="20.25" customHeight="1" x14ac:dyDescent="0.3"/>
    <row r="3" spans="2:3" ht="20.25" customHeight="1" x14ac:dyDescent="0.3"/>
    <row r="4" spans="2:3" ht="50.1" customHeight="1" x14ac:dyDescent="0.3">
      <c r="B4" s="4" t="s">
        <v>10</v>
      </c>
      <c r="C4" s="4" t="s">
        <v>11</v>
      </c>
    </row>
    <row r="5" spans="2:3" ht="30" customHeight="1" x14ac:dyDescent="0.3">
      <c r="B5" s="5" t="s">
        <v>26</v>
      </c>
      <c r="C5" s="5" t="s">
        <v>62</v>
      </c>
    </row>
    <row r="6" spans="2:3" ht="30" customHeight="1" x14ac:dyDescent="0.3">
      <c r="B6" s="5" t="s">
        <v>27</v>
      </c>
      <c r="C6" s="5" t="s">
        <v>31</v>
      </c>
    </row>
    <row r="7" spans="2:3" ht="30" customHeight="1" x14ac:dyDescent="0.3">
      <c r="B7" s="5" t="s">
        <v>28</v>
      </c>
      <c r="C7" s="5" t="s">
        <v>32</v>
      </c>
    </row>
    <row r="8" spans="2:3" ht="30" customHeight="1" x14ac:dyDescent="0.3">
      <c r="B8" s="5"/>
      <c r="C8" s="5" t="s">
        <v>29</v>
      </c>
    </row>
    <row r="9" spans="2:3" ht="30" customHeight="1" x14ac:dyDescent="0.3">
      <c r="B9" s="5"/>
      <c r="C9" s="5" t="s">
        <v>30</v>
      </c>
    </row>
    <row r="10" spans="2:3" ht="30.75" customHeight="1" x14ac:dyDescent="0.3">
      <c r="B10" s="5"/>
      <c r="C10" s="5" t="s">
        <v>33</v>
      </c>
    </row>
    <row r="11" spans="2:3" ht="30.75" customHeight="1" x14ac:dyDescent="0.3">
      <c r="B11" s="5"/>
      <c r="C11" s="5" t="s">
        <v>34</v>
      </c>
    </row>
    <row r="12" spans="2:3" ht="30.75" customHeight="1" x14ac:dyDescent="0.3">
      <c r="B12" s="5"/>
      <c r="C12" s="5" t="s">
        <v>38</v>
      </c>
    </row>
    <row r="13" spans="2:3" ht="30.75" customHeight="1" x14ac:dyDescent="0.3">
      <c r="B13" s="5"/>
      <c r="C13" s="5" t="s">
        <v>35</v>
      </c>
    </row>
    <row r="14" spans="2:3" ht="30.75" customHeight="1" x14ac:dyDescent="0.3">
      <c r="B14" s="5"/>
      <c r="C14" s="5" t="s">
        <v>39</v>
      </c>
    </row>
    <row r="15" spans="2:3" ht="30.75" customHeight="1" x14ac:dyDescent="0.3">
      <c r="B15" s="5"/>
      <c r="C15" s="5"/>
    </row>
    <row r="16" spans="2:3" ht="30.75" customHeight="1" x14ac:dyDescent="0.3">
      <c r="B16" s="5"/>
      <c r="C16" s="5"/>
    </row>
    <row r="17" spans="2:3" ht="30.75" customHeight="1" x14ac:dyDescent="0.3">
      <c r="B17" s="5"/>
      <c r="C17" s="5"/>
    </row>
  </sheetData>
  <mergeCells count="1">
    <mergeCell ref="B1:C1"/>
  </mergeCells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/>
    <dataValidation allowBlank="1" showInputMessage="1" showErrorMessage="1" prompt="Insira os nomes de funcionários nesta coluna que serão usados como opções na lista suspensa Atribuído a na planilha Controlador de projeto" sqref="C4"/>
    <dataValidation allowBlank="1" showInputMessage="1" showErrorMessage="1" prompt="Insira as categorias de projeto nesta coluna que serão usadas como opções na lista suspensa Categoria na planilha Controlador de projeto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Menu</vt:lpstr>
      <vt:lpstr>Cronograma</vt:lpstr>
      <vt:lpstr>Informações</vt:lpstr>
      <vt:lpstr>Configuração</vt:lpstr>
      <vt:lpstr>Gráf2</vt:lpstr>
      <vt:lpstr>Gráf1</vt:lpstr>
      <vt:lpstr>CategoryList</vt:lpstr>
      <vt:lpstr>ColumnTitle1</vt:lpstr>
      <vt:lpstr>ColumnTitle2</vt:lpstr>
      <vt:lpstr>EmployeeList</vt:lpstr>
      <vt:lpstr>FlagPercent</vt:lpstr>
      <vt:lpstr>Cronograma!Titulos_de_impressao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Machado Silva</dc:creator>
  <cp:lastModifiedBy>user</cp:lastModifiedBy>
  <dcterms:created xsi:type="dcterms:W3CDTF">2016-08-03T05:15:41Z</dcterms:created>
  <dcterms:modified xsi:type="dcterms:W3CDTF">2019-06-03T17:10:47Z</dcterms:modified>
</cp:coreProperties>
</file>