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mar\OneDrive\Área de Trabalho\"/>
    </mc:Choice>
  </mc:AlternateContent>
  <xr:revisionPtr revIDLastSave="0" documentId="13_ncr:1_{36027445-9D83-49AF-BEAD-CA1BABAF87B8}" xr6:coauthVersionLast="47" xr6:coauthVersionMax="47" xr10:uidLastSave="{00000000-0000-0000-0000-000000000000}"/>
  <bookViews>
    <workbookView xWindow="22932" yWindow="-108" windowWidth="23256" windowHeight="12456" firstSheet="5" activeTab="9" xr2:uid="{00000000-000D-0000-FFFF-FFFF00000000}"/>
  </bookViews>
  <sheets>
    <sheet name="Geral" sheetId="1" r:id="rId1"/>
    <sheet name="Bloco01" sheetId="2" r:id="rId2"/>
    <sheet name="Bloco02" sheetId="3" r:id="rId3"/>
    <sheet name="Bloco03" sheetId="4" r:id="rId4"/>
    <sheet name="Bloco04" sheetId="6" r:id="rId5"/>
    <sheet name="RepasseJaneiro25" sheetId="8" r:id="rId6"/>
    <sheet name="RepasseFevereiro25" sheetId="10" r:id="rId7"/>
    <sheet name="RepasseMarco25" sheetId="15" r:id="rId8"/>
    <sheet name="RepasseAbril25" sheetId="17" r:id="rId9"/>
    <sheet name="RepasseMaio25" sheetId="18" r:id="rId10"/>
    <sheet name="Dados" sheetId="11" state="hidden" r:id="rId11"/>
  </sheets>
  <definedNames>
    <definedName name="_xlnm._FilterDatabase" localSheetId="8" hidden="1">RepasseAbril25!$A$2:$R$309</definedName>
    <definedName name="_xlnm._FilterDatabase" localSheetId="6" hidden="1">RepasseFevereiro25!$A$61:$J$142</definedName>
    <definedName name="_xlnm._FilterDatabase" localSheetId="5" hidden="1">RepasseJaneiro25!$B$2:$B$262</definedName>
    <definedName name="_xlnm._FilterDatabase" localSheetId="9" hidden="1">RepasseMaio25!$A$2:$R$324</definedName>
    <definedName name="_xlnm._FilterDatabase" localSheetId="7" hidden="1">RepasseMarco25!$A$2:$R$292</definedName>
    <definedName name="_xlnm.Print_Area" localSheetId="8">RepasseAbril25!$A$1:$R$308</definedName>
    <definedName name="_xlnm.Print_Area" localSheetId="6">RepasseFevereiro25!$A$1:$J$257</definedName>
    <definedName name="_xlnm.Print_Area" localSheetId="9">RepasseMaio25!$A$1:$R$323</definedName>
    <definedName name="_xlnm.Print_Area" localSheetId="7">RepasseMarco25!$A$1:$R$291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8" l="1"/>
  <c r="R3" i="18" s="1"/>
  <c r="N4" i="18"/>
  <c r="R4" i="18" s="1"/>
  <c r="N5" i="18"/>
  <c r="R5" i="18"/>
  <c r="N6" i="18"/>
  <c r="R6" i="18" s="1"/>
  <c r="N7" i="18"/>
  <c r="R7" i="18" s="1"/>
  <c r="N8" i="18"/>
  <c r="R8" i="18"/>
  <c r="N9" i="18"/>
  <c r="R9" i="18"/>
  <c r="N10" i="18"/>
  <c r="R10" i="18" s="1"/>
  <c r="N11" i="18"/>
  <c r="R11" i="18" s="1"/>
  <c r="N12" i="18"/>
  <c r="O12" i="18"/>
  <c r="R12" i="18"/>
  <c r="N13" i="18"/>
  <c r="R13" i="18"/>
  <c r="N14" i="18"/>
  <c r="R14" i="18"/>
  <c r="N15" i="18"/>
  <c r="R15" i="18" s="1"/>
  <c r="Q15" i="18"/>
  <c r="N16" i="18"/>
  <c r="R16" i="18"/>
  <c r="N17" i="18"/>
  <c r="R17" i="18" s="1"/>
  <c r="N18" i="18"/>
  <c r="R18" i="18" s="1"/>
  <c r="N19" i="18"/>
  <c r="R19" i="18"/>
  <c r="N20" i="18"/>
  <c r="R20" i="18"/>
  <c r="N21" i="18"/>
  <c r="R21" i="18" s="1"/>
  <c r="N22" i="18"/>
  <c r="R22" i="18" s="1"/>
  <c r="N23" i="18"/>
  <c r="R23" i="18"/>
  <c r="N24" i="18"/>
  <c r="R24" i="18"/>
  <c r="N25" i="18"/>
  <c r="R25" i="18" s="1"/>
  <c r="N26" i="18"/>
  <c r="R26" i="18" s="1"/>
  <c r="N27" i="18"/>
  <c r="R27" i="18"/>
  <c r="N28" i="18"/>
  <c r="R28" i="18"/>
  <c r="N29" i="18"/>
  <c r="R29" i="18" s="1"/>
  <c r="N30" i="18"/>
  <c r="R30" i="18" s="1"/>
  <c r="N31" i="18"/>
  <c r="R31" i="18"/>
  <c r="N32" i="18"/>
  <c r="R32" i="18"/>
  <c r="N33" i="18"/>
  <c r="R33" i="18" s="1"/>
  <c r="N34" i="18"/>
  <c r="R34" i="18" s="1"/>
  <c r="N35" i="18"/>
  <c r="R35" i="18"/>
  <c r="N36" i="18"/>
  <c r="R36" i="18"/>
  <c r="N37" i="18"/>
  <c r="R37" i="18" s="1"/>
  <c r="N38" i="18"/>
  <c r="R38" i="18" s="1"/>
  <c r="N39" i="18"/>
  <c r="R39" i="18"/>
  <c r="N40" i="18"/>
  <c r="R40" i="18"/>
  <c r="N41" i="18"/>
  <c r="R41" i="18" s="1"/>
  <c r="N42" i="18"/>
  <c r="R42" i="18" s="1"/>
  <c r="N43" i="18"/>
  <c r="R43" i="18"/>
  <c r="N44" i="18"/>
  <c r="R44" i="18"/>
  <c r="N45" i="18"/>
  <c r="R45" i="18" s="1"/>
  <c r="N46" i="18"/>
  <c r="R46" i="18" s="1"/>
  <c r="N47" i="18"/>
  <c r="R47" i="18"/>
  <c r="N48" i="18"/>
  <c r="R48" i="18"/>
  <c r="N49" i="18"/>
  <c r="R49" i="18" s="1"/>
  <c r="N50" i="18"/>
  <c r="R50" i="18" s="1"/>
  <c r="N51" i="18"/>
  <c r="R51" i="18"/>
  <c r="N52" i="18"/>
  <c r="R52" i="18"/>
  <c r="N53" i="18"/>
  <c r="R53" i="18" s="1"/>
  <c r="N54" i="18"/>
  <c r="R54" i="18" s="1"/>
  <c r="N55" i="18"/>
  <c r="R55" i="18"/>
  <c r="N56" i="18"/>
  <c r="R56" i="18"/>
  <c r="N57" i="18"/>
  <c r="R57" i="18" s="1"/>
  <c r="N58" i="18"/>
  <c r="R58" i="18" s="1"/>
  <c r="N59" i="18"/>
  <c r="R59" i="18"/>
  <c r="N60" i="18"/>
  <c r="R60" i="18"/>
  <c r="N61" i="18"/>
  <c r="R61" i="18" s="1"/>
  <c r="N62" i="18"/>
  <c r="R62" i="18" s="1"/>
  <c r="N63" i="18"/>
  <c r="R63" i="18"/>
  <c r="N64" i="18"/>
  <c r="R64" i="18"/>
  <c r="N65" i="18"/>
  <c r="R65" i="18" s="1"/>
  <c r="N66" i="18"/>
  <c r="R66" i="18" s="1"/>
  <c r="N67" i="18"/>
  <c r="R67" i="18"/>
  <c r="N68" i="18"/>
  <c r="R68" i="18"/>
  <c r="N69" i="18"/>
  <c r="R69" i="18" s="1"/>
  <c r="N70" i="18"/>
  <c r="R70" i="18" s="1"/>
  <c r="N71" i="18"/>
  <c r="R71" i="18"/>
  <c r="N72" i="18"/>
  <c r="R72" i="18"/>
  <c r="N73" i="18"/>
  <c r="R73" i="18" s="1"/>
  <c r="N74" i="18"/>
  <c r="R74" i="18" s="1"/>
  <c r="N75" i="18"/>
  <c r="R75" i="18"/>
  <c r="N76" i="18"/>
  <c r="R76" i="18"/>
  <c r="E77" i="18"/>
  <c r="F77" i="18"/>
  <c r="G77" i="18"/>
  <c r="H77" i="18"/>
  <c r="I77" i="18"/>
  <c r="O77" i="18"/>
  <c r="P77" i="18"/>
  <c r="P323" i="18" s="1"/>
  <c r="Q77" i="18"/>
  <c r="Q323" i="18" s="1"/>
  <c r="N78" i="18"/>
  <c r="R78" i="18" s="1"/>
  <c r="N79" i="18"/>
  <c r="R79" i="18"/>
  <c r="N80" i="18"/>
  <c r="R80" i="18"/>
  <c r="N81" i="18"/>
  <c r="R81" i="18" s="1"/>
  <c r="N82" i="18"/>
  <c r="R82" i="18" s="1"/>
  <c r="N83" i="18"/>
  <c r="R83" i="18"/>
  <c r="N84" i="18"/>
  <c r="R84" i="18"/>
  <c r="N85" i="18"/>
  <c r="R85" i="18" s="1"/>
  <c r="N86" i="18"/>
  <c r="R86" i="18" s="1"/>
  <c r="N87" i="18"/>
  <c r="R87" i="18"/>
  <c r="N88" i="18"/>
  <c r="R88" i="18"/>
  <c r="N89" i="18"/>
  <c r="R89" i="18" s="1"/>
  <c r="N90" i="18"/>
  <c r="R90" i="18" s="1"/>
  <c r="N91" i="18"/>
  <c r="R91" i="18"/>
  <c r="N92" i="18"/>
  <c r="R92" i="18"/>
  <c r="N93" i="18"/>
  <c r="R93" i="18" s="1"/>
  <c r="N94" i="18"/>
  <c r="R94" i="18" s="1"/>
  <c r="N95" i="18"/>
  <c r="R95" i="18"/>
  <c r="N96" i="18"/>
  <c r="R96" i="18"/>
  <c r="N97" i="18"/>
  <c r="R97" i="18" s="1"/>
  <c r="N98" i="18"/>
  <c r="R98" i="18" s="1"/>
  <c r="N99" i="18"/>
  <c r="R99" i="18"/>
  <c r="N100" i="18"/>
  <c r="R100" i="18"/>
  <c r="N101" i="18"/>
  <c r="R101" i="18" s="1"/>
  <c r="N102" i="18"/>
  <c r="R102" i="18" s="1"/>
  <c r="N103" i="18"/>
  <c r="R103" i="18"/>
  <c r="N104" i="18"/>
  <c r="R104" i="18"/>
  <c r="N105" i="18"/>
  <c r="R105" i="18" s="1"/>
  <c r="N106" i="18"/>
  <c r="R106" i="18" s="1"/>
  <c r="N107" i="18"/>
  <c r="R107" i="18"/>
  <c r="N108" i="18"/>
  <c r="R108" i="18"/>
  <c r="N109" i="18"/>
  <c r="R109" i="18" s="1"/>
  <c r="N110" i="18"/>
  <c r="R110" i="18" s="1"/>
  <c r="N111" i="18"/>
  <c r="R111" i="18"/>
  <c r="N112" i="18"/>
  <c r="R112" i="18"/>
  <c r="N113" i="18"/>
  <c r="R113" i="18" s="1"/>
  <c r="N114" i="18"/>
  <c r="R114" i="18" s="1"/>
  <c r="N115" i="18"/>
  <c r="R115" i="18"/>
  <c r="N116" i="18"/>
  <c r="R116" i="18"/>
  <c r="N117" i="18"/>
  <c r="R117" i="18" s="1"/>
  <c r="N118" i="18"/>
  <c r="R118" i="18" s="1"/>
  <c r="N119" i="18"/>
  <c r="R119" i="18"/>
  <c r="N120" i="18"/>
  <c r="R120" i="18"/>
  <c r="N121" i="18"/>
  <c r="R121" i="18" s="1"/>
  <c r="N122" i="18"/>
  <c r="R122" i="18" s="1"/>
  <c r="N123" i="18"/>
  <c r="R123" i="18"/>
  <c r="N124" i="18"/>
  <c r="R124" i="18"/>
  <c r="N125" i="18"/>
  <c r="R125" i="18" s="1"/>
  <c r="N126" i="18"/>
  <c r="R126" i="18" s="1"/>
  <c r="N127" i="18"/>
  <c r="R127" i="18"/>
  <c r="N128" i="18"/>
  <c r="R128" i="18"/>
  <c r="N129" i="18"/>
  <c r="R129" i="18" s="1"/>
  <c r="N130" i="18"/>
  <c r="R130" i="18" s="1"/>
  <c r="N131" i="18"/>
  <c r="R131" i="18"/>
  <c r="N132" i="18"/>
  <c r="R132" i="18"/>
  <c r="N133" i="18"/>
  <c r="R133" i="18" s="1"/>
  <c r="N134" i="18"/>
  <c r="R134" i="18" s="1"/>
  <c r="N135" i="18"/>
  <c r="R135" i="18"/>
  <c r="N136" i="18"/>
  <c r="R136" i="18"/>
  <c r="E137" i="18"/>
  <c r="R137" i="18" s="1"/>
  <c r="N137" i="18"/>
  <c r="N138" i="18"/>
  <c r="R138" i="18" s="1"/>
  <c r="E139" i="18"/>
  <c r="N139" i="18"/>
  <c r="R139" i="18"/>
  <c r="N140" i="18"/>
  <c r="R140" i="18" s="1"/>
  <c r="N141" i="18"/>
  <c r="R141" i="18" s="1"/>
  <c r="N142" i="18"/>
  <c r="R142" i="18"/>
  <c r="N143" i="18"/>
  <c r="R143" i="18"/>
  <c r="N144" i="18"/>
  <c r="R144" i="18" s="1"/>
  <c r="N145" i="18"/>
  <c r="R145" i="18" s="1"/>
  <c r="N146" i="18"/>
  <c r="R146" i="18"/>
  <c r="N147" i="18"/>
  <c r="R147" i="18"/>
  <c r="N148" i="18"/>
  <c r="R148" i="18" s="1"/>
  <c r="N149" i="18"/>
  <c r="R149" i="18" s="1"/>
  <c r="N150" i="18"/>
  <c r="R150" i="18"/>
  <c r="N151" i="18"/>
  <c r="R151" i="18"/>
  <c r="N152" i="18"/>
  <c r="R152" i="18" s="1"/>
  <c r="N153" i="18"/>
  <c r="R153" i="18" s="1"/>
  <c r="N154" i="18"/>
  <c r="R154" i="18"/>
  <c r="N155" i="18"/>
  <c r="R155" i="18"/>
  <c r="N156" i="18"/>
  <c r="R156" i="18" s="1"/>
  <c r="N157" i="18"/>
  <c r="R157" i="18" s="1"/>
  <c r="N158" i="18"/>
  <c r="R158" i="18"/>
  <c r="N159" i="18"/>
  <c r="R159" i="18"/>
  <c r="N160" i="18"/>
  <c r="R160" i="18" s="1"/>
  <c r="N161" i="18"/>
  <c r="R161" i="18" s="1"/>
  <c r="N162" i="18"/>
  <c r="R162" i="18"/>
  <c r="N163" i="18"/>
  <c r="R163" i="18"/>
  <c r="N164" i="18"/>
  <c r="R164" i="18" s="1"/>
  <c r="N165" i="18"/>
  <c r="R165" i="18" s="1"/>
  <c r="N166" i="18"/>
  <c r="R166" i="18"/>
  <c r="N167" i="18"/>
  <c r="R167" i="18"/>
  <c r="N168" i="18"/>
  <c r="R168" i="18" s="1"/>
  <c r="N169" i="18"/>
  <c r="R169" i="18" s="1"/>
  <c r="N170" i="18"/>
  <c r="R170" i="18"/>
  <c r="N171" i="18"/>
  <c r="R171" i="18"/>
  <c r="N172" i="18"/>
  <c r="R172" i="18" s="1"/>
  <c r="N173" i="18"/>
  <c r="R173" i="18" s="1"/>
  <c r="N174" i="18"/>
  <c r="R174" i="18"/>
  <c r="N175" i="18"/>
  <c r="R175" i="18"/>
  <c r="N176" i="18"/>
  <c r="R176" i="18" s="1"/>
  <c r="N177" i="18"/>
  <c r="R177" i="18" s="1"/>
  <c r="N178" i="18"/>
  <c r="R178" i="18"/>
  <c r="N179" i="18"/>
  <c r="R179" i="18"/>
  <c r="N180" i="18"/>
  <c r="R180" i="18" s="1"/>
  <c r="N181" i="18"/>
  <c r="R181" i="18" s="1"/>
  <c r="N182" i="18"/>
  <c r="R182" i="18"/>
  <c r="F183" i="18"/>
  <c r="F323" i="18" s="1"/>
  <c r="G183" i="18"/>
  <c r="G323" i="18" s="1"/>
  <c r="H183" i="18"/>
  <c r="I183" i="18"/>
  <c r="O183" i="18"/>
  <c r="P183" i="18"/>
  <c r="Q183" i="18"/>
  <c r="N184" i="18"/>
  <c r="N322" i="18" s="1"/>
  <c r="N185" i="18"/>
  <c r="R185" i="18" s="1"/>
  <c r="N186" i="18"/>
  <c r="R186" i="18"/>
  <c r="N187" i="18"/>
  <c r="R187" i="18"/>
  <c r="N188" i="18"/>
  <c r="R188" i="18" s="1"/>
  <c r="N189" i="18"/>
  <c r="R189" i="18" s="1"/>
  <c r="N190" i="18"/>
  <c r="R190" i="18"/>
  <c r="N191" i="18"/>
  <c r="R191" i="18"/>
  <c r="N192" i="18"/>
  <c r="R192" i="18" s="1"/>
  <c r="N193" i="18"/>
  <c r="R193" i="18" s="1"/>
  <c r="N194" i="18"/>
  <c r="R194" i="18"/>
  <c r="N195" i="18"/>
  <c r="R195" i="18"/>
  <c r="N196" i="18"/>
  <c r="R196" i="18" s="1"/>
  <c r="N197" i="18"/>
  <c r="R197" i="18" s="1"/>
  <c r="N198" i="18"/>
  <c r="R198" i="18"/>
  <c r="N199" i="18"/>
  <c r="R199" i="18"/>
  <c r="N200" i="18"/>
  <c r="R200" i="18" s="1"/>
  <c r="N201" i="18"/>
  <c r="R201" i="18" s="1"/>
  <c r="N202" i="18"/>
  <c r="R202" i="18"/>
  <c r="N203" i="18"/>
  <c r="R203" i="18"/>
  <c r="N204" i="18"/>
  <c r="R204" i="18" s="1"/>
  <c r="N205" i="18"/>
  <c r="R205" i="18" s="1"/>
  <c r="N206" i="18"/>
  <c r="R206" i="18"/>
  <c r="N207" i="18"/>
  <c r="R207" i="18"/>
  <c r="N208" i="18"/>
  <c r="R208" i="18" s="1"/>
  <c r="N209" i="18"/>
  <c r="R209" i="18" s="1"/>
  <c r="N210" i="18"/>
  <c r="R210" i="18"/>
  <c r="N211" i="18"/>
  <c r="R211" i="18"/>
  <c r="N212" i="18"/>
  <c r="R212" i="18" s="1"/>
  <c r="N213" i="18"/>
  <c r="R213" i="18" s="1"/>
  <c r="N214" i="18"/>
  <c r="R214" i="18"/>
  <c r="N215" i="18"/>
  <c r="R215" i="18"/>
  <c r="N216" i="18"/>
  <c r="R216" i="18" s="1"/>
  <c r="N217" i="18"/>
  <c r="R217" i="18" s="1"/>
  <c r="N218" i="18"/>
  <c r="R218" i="18"/>
  <c r="N219" i="18"/>
  <c r="R219" i="18"/>
  <c r="N220" i="18"/>
  <c r="R220" i="18" s="1"/>
  <c r="N221" i="18"/>
  <c r="R221" i="18" s="1"/>
  <c r="N222" i="18"/>
  <c r="R222" i="18"/>
  <c r="N223" i="18"/>
  <c r="R223" i="18"/>
  <c r="N224" i="18"/>
  <c r="R224" i="18" s="1"/>
  <c r="N225" i="18"/>
  <c r="R225" i="18" s="1"/>
  <c r="N226" i="18"/>
  <c r="R226" i="18"/>
  <c r="N227" i="18"/>
  <c r="R227" i="18"/>
  <c r="N228" i="18"/>
  <c r="R228" i="18" s="1"/>
  <c r="N229" i="18"/>
  <c r="R229" i="18" s="1"/>
  <c r="N230" i="18"/>
  <c r="R230" i="18"/>
  <c r="N231" i="18"/>
  <c r="R231" i="18"/>
  <c r="N232" i="18"/>
  <c r="R232" i="18" s="1"/>
  <c r="N233" i="18"/>
  <c r="R233" i="18" s="1"/>
  <c r="N234" i="18"/>
  <c r="R234" i="18"/>
  <c r="N235" i="18"/>
  <c r="R235" i="18"/>
  <c r="N236" i="18"/>
  <c r="R236" i="18" s="1"/>
  <c r="N237" i="18"/>
  <c r="R237" i="18" s="1"/>
  <c r="N238" i="18"/>
  <c r="R238" i="18"/>
  <c r="N239" i="18"/>
  <c r="R239" i="18"/>
  <c r="N240" i="18"/>
  <c r="R240" i="18" s="1"/>
  <c r="N241" i="18"/>
  <c r="R241" i="18" s="1"/>
  <c r="N242" i="18"/>
  <c r="R242" i="18"/>
  <c r="N243" i="18"/>
  <c r="R243" i="18"/>
  <c r="N244" i="18"/>
  <c r="R244" i="18" s="1"/>
  <c r="N245" i="18"/>
  <c r="R245" i="18" s="1"/>
  <c r="N246" i="18"/>
  <c r="R246" i="18"/>
  <c r="N247" i="18"/>
  <c r="R247" i="18"/>
  <c r="N248" i="18"/>
  <c r="R248" i="18" s="1"/>
  <c r="N249" i="18"/>
  <c r="R249" i="18" s="1"/>
  <c r="N250" i="18"/>
  <c r="R250" i="18"/>
  <c r="N251" i="18"/>
  <c r="R251" i="18"/>
  <c r="N252" i="18"/>
  <c r="R252" i="18" s="1"/>
  <c r="N253" i="18"/>
  <c r="R253" i="18" s="1"/>
  <c r="N254" i="18"/>
  <c r="R254" i="18"/>
  <c r="N255" i="18"/>
  <c r="R255" i="18"/>
  <c r="N256" i="18"/>
  <c r="R256" i="18" s="1"/>
  <c r="N257" i="18"/>
  <c r="R257" i="18" s="1"/>
  <c r="N258" i="18"/>
  <c r="R258" i="18"/>
  <c r="N259" i="18"/>
  <c r="R259" i="18"/>
  <c r="N260" i="18"/>
  <c r="R260" i="18" s="1"/>
  <c r="N261" i="18"/>
  <c r="R261" i="18" s="1"/>
  <c r="N262" i="18"/>
  <c r="R262" i="18"/>
  <c r="N263" i="18"/>
  <c r="R263" i="18"/>
  <c r="N264" i="18"/>
  <c r="R264" i="18" s="1"/>
  <c r="N265" i="18"/>
  <c r="R265" i="18" s="1"/>
  <c r="N266" i="18"/>
  <c r="R266" i="18"/>
  <c r="N267" i="18"/>
  <c r="R267" i="18"/>
  <c r="N268" i="18"/>
  <c r="R268" i="18" s="1"/>
  <c r="N269" i="18"/>
  <c r="R269" i="18" s="1"/>
  <c r="N270" i="18"/>
  <c r="R270" i="18"/>
  <c r="N271" i="18"/>
  <c r="R271" i="18"/>
  <c r="N272" i="18"/>
  <c r="R272" i="18" s="1"/>
  <c r="N273" i="18"/>
  <c r="R273" i="18" s="1"/>
  <c r="N274" i="18"/>
  <c r="R274" i="18"/>
  <c r="N275" i="18"/>
  <c r="R275" i="18"/>
  <c r="N276" i="18"/>
  <c r="R276" i="18" s="1"/>
  <c r="N277" i="18"/>
  <c r="R277" i="18" s="1"/>
  <c r="N278" i="18"/>
  <c r="R278" i="18"/>
  <c r="N279" i="18"/>
  <c r="R279" i="18"/>
  <c r="N280" i="18"/>
  <c r="R280" i="18" s="1"/>
  <c r="N281" i="18"/>
  <c r="R281" i="18" s="1"/>
  <c r="N282" i="18"/>
  <c r="R282" i="18"/>
  <c r="N283" i="18"/>
  <c r="R283" i="18"/>
  <c r="N284" i="18"/>
  <c r="R284" i="18" s="1"/>
  <c r="N285" i="18"/>
  <c r="R285" i="18" s="1"/>
  <c r="N286" i="18"/>
  <c r="R286" i="18"/>
  <c r="N287" i="18"/>
  <c r="R287" i="18"/>
  <c r="N288" i="18"/>
  <c r="R288" i="18" s="1"/>
  <c r="N289" i="18"/>
  <c r="R289" i="18" s="1"/>
  <c r="N290" i="18"/>
  <c r="R290" i="18"/>
  <c r="N291" i="18"/>
  <c r="R291" i="18"/>
  <c r="N292" i="18"/>
  <c r="R292" i="18" s="1"/>
  <c r="N293" i="18"/>
  <c r="R293" i="18" s="1"/>
  <c r="N294" i="18"/>
  <c r="R294" i="18"/>
  <c r="N295" i="18"/>
  <c r="R295" i="18"/>
  <c r="N296" i="18"/>
  <c r="R296" i="18" s="1"/>
  <c r="N297" i="18"/>
  <c r="R297" i="18" s="1"/>
  <c r="N298" i="18"/>
  <c r="R298" i="18"/>
  <c r="N299" i="18"/>
  <c r="R299" i="18"/>
  <c r="N300" i="18"/>
  <c r="R300" i="18" s="1"/>
  <c r="N301" i="18"/>
  <c r="R301" i="18" s="1"/>
  <c r="N302" i="18"/>
  <c r="R302" i="18"/>
  <c r="N303" i="18"/>
  <c r="R303" i="18"/>
  <c r="N304" i="18"/>
  <c r="R304" i="18" s="1"/>
  <c r="N305" i="18"/>
  <c r="R305" i="18" s="1"/>
  <c r="N306" i="18"/>
  <c r="R306" i="18"/>
  <c r="N307" i="18"/>
  <c r="R307" i="18"/>
  <c r="N308" i="18"/>
  <c r="R308" i="18" s="1"/>
  <c r="N309" i="18"/>
  <c r="R309" i="18" s="1"/>
  <c r="N310" i="18"/>
  <c r="R310" i="18"/>
  <c r="N311" i="18"/>
  <c r="R311" i="18"/>
  <c r="N312" i="18"/>
  <c r="R312" i="18" s="1"/>
  <c r="N313" i="18"/>
  <c r="R313" i="18" s="1"/>
  <c r="N314" i="18"/>
  <c r="R314" i="18"/>
  <c r="N315" i="18"/>
  <c r="R315" i="18"/>
  <c r="N316" i="18"/>
  <c r="R316" i="18" s="1"/>
  <c r="N317" i="18"/>
  <c r="R317" i="18" s="1"/>
  <c r="N318" i="18"/>
  <c r="R318" i="18"/>
  <c r="N319" i="18"/>
  <c r="R319" i="18"/>
  <c r="N320" i="18"/>
  <c r="R320" i="18" s="1"/>
  <c r="N321" i="18"/>
  <c r="R321" i="18" s="1"/>
  <c r="E322" i="18"/>
  <c r="F322" i="18"/>
  <c r="O322" i="18"/>
  <c r="O323" i="18" s="1"/>
  <c r="P322" i="18"/>
  <c r="Q322" i="18"/>
  <c r="H323" i="18"/>
  <c r="I323" i="18"/>
  <c r="J323" i="18"/>
  <c r="K323" i="18"/>
  <c r="L323" i="18"/>
  <c r="M323" i="18"/>
  <c r="R183" i="18" l="1"/>
  <c r="R77" i="18"/>
  <c r="R184" i="18"/>
  <c r="R322" i="18" s="1"/>
  <c r="E183" i="18"/>
  <c r="E323" i="18" s="1"/>
  <c r="N77" i="18"/>
  <c r="N183" i="18"/>
  <c r="H25" i="2"/>
  <c r="G25" i="2"/>
  <c r="I46" i="3"/>
  <c r="K24" i="4"/>
  <c r="J24" i="4"/>
  <c r="I5" i="6"/>
  <c r="H5" i="6"/>
  <c r="J5" i="6"/>
  <c r="G307" i="17"/>
  <c r="H307" i="17"/>
  <c r="I307" i="17"/>
  <c r="J307" i="17"/>
  <c r="K307" i="17"/>
  <c r="L307" i="17"/>
  <c r="M307" i="17"/>
  <c r="G168" i="17"/>
  <c r="H168" i="17"/>
  <c r="H308" i="17" s="1"/>
  <c r="I168" i="17"/>
  <c r="J168" i="17"/>
  <c r="K168" i="17"/>
  <c r="L168" i="17"/>
  <c r="M168" i="17"/>
  <c r="G67" i="17"/>
  <c r="H67" i="17"/>
  <c r="I67" i="17"/>
  <c r="J67" i="17"/>
  <c r="K67" i="17"/>
  <c r="L67" i="17"/>
  <c r="M67" i="17"/>
  <c r="F307" i="17"/>
  <c r="I308" i="17"/>
  <c r="G308" i="17"/>
  <c r="Q307" i="17"/>
  <c r="P307" i="17"/>
  <c r="O307" i="17"/>
  <c r="N307" i="17"/>
  <c r="R306" i="17"/>
  <c r="N306" i="17"/>
  <c r="N305" i="17"/>
  <c r="R305" i="17" s="1"/>
  <c r="N304" i="17"/>
  <c r="R304" i="17" s="1"/>
  <c r="N303" i="17"/>
  <c r="R303" i="17" s="1"/>
  <c r="R302" i="17"/>
  <c r="N302" i="17"/>
  <c r="N301" i="17"/>
  <c r="R301" i="17" s="1"/>
  <c r="N300" i="17"/>
  <c r="R300" i="17" s="1"/>
  <c r="N299" i="17"/>
  <c r="R299" i="17" s="1"/>
  <c r="R298" i="17"/>
  <c r="N298" i="17"/>
  <c r="N297" i="17"/>
  <c r="R297" i="17" s="1"/>
  <c r="N296" i="17"/>
  <c r="R296" i="17" s="1"/>
  <c r="N295" i="17"/>
  <c r="R295" i="17" s="1"/>
  <c r="R294" i="17"/>
  <c r="N294" i="17"/>
  <c r="N293" i="17"/>
  <c r="R293" i="17" s="1"/>
  <c r="N292" i="17"/>
  <c r="R292" i="17" s="1"/>
  <c r="N291" i="17"/>
  <c r="R291" i="17" s="1"/>
  <c r="R290" i="17"/>
  <c r="N290" i="17"/>
  <c r="N289" i="17"/>
  <c r="R289" i="17" s="1"/>
  <c r="N288" i="17"/>
  <c r="R288" i="17" s="1"/>
  <c r="N287" i="17"/>
  <c r="R287" i="17" s="1"/>
  <c r="N286" i="17"/>
  <c r="E286" i="17"/>
  <c r="R286" i="17" s="1"/>
  <c r="R285" i="17"/>
  <c r="N285" i="17"/>
  <c r="R284" i="17"/>
  <c r="N284" i="17"/>
  <c r="N283" i="17"/>
  <c r="R283" i="17" s="1"/>
  <c r="N282" i="17"/>
  <c r="R282" i="17" s="1"/>
  <c r="R281" i="17"/>
  <c r="N281" i="17"/>
  <c r="R280" i="17"/>
  <c r="N280" i="17"/>
  <c r="N279" i="17"/>
  <c r="R279" i="17" s="1"/>
  <c r="N278" i="17"/>
  <c r="R278" i="17" s="1"/>
  <c r="R277" i="17"/>
  <c r="N277" i="17"/>
  <c r="R276" i="17"/>
  <c r="N276" i="17"/>
  <c r="N275" i="17"/>
  <c r="R275" i="17" s="1"/>
  <c r="N274" i="17"/>
  <c r="R274" i="17" s="1"/>
  <c r="R273" i="17"/>
  <c r="N273" i="17"/>
  <c r="R272" i="17"/>
  <c r="N272" i="17"/>
  <c r="N271" i="17"/>
  <c r="R271" i="17" s="1"/>
  <c r="N270" i="17"/>
  <c r="R270" i="17" s="1"/>
  <c r="R269" i="17"/>
  <c r="N269" i="17"/>
  <c r="R268" i="17"/>
  <c r="N268" i="17"/>
  <c r="N267" i="17"/>
  <c r="R267" i="17" s="1"/>
  <c r="N266" i="17"/>
  <c r="R266" i="17" s="1"/>
  <c r="R265" i="17"/>
  <c r="N265" i="17"/>
  <c r="R264" i="17"/>
  <c r="N264" i="17"/>
  <c r="N263" i="17"/>
  <c r="R263" i="17" s="1"/>
  <c r="R262" i="17"/>
  <c r="N261" i="17"/>
  <c r="R261" i="17" s="1"/>
  <c r="N260" i="17"/>
  <c r="R260" i="17" s="1"/>
  <c r="N259" i="17"/>
  <c r="R259" i="17" s="1"/>
  <c r="R258" i="17"/>
  <c r="N258" i="17"/>
  <c r="N257" i="17"/>
  <c r="R257" i="17" s="1"/>
  <c r="N256" i="17"/>
  <c r="R256" i="17" s="1"/>
  <c r="N255" i="17"/>
  <c r="R255" i="17" s="1"/>
  <c r="R254" i="17"/>
  <c r="N254" i="17"/>
  <c r="N253" i="17"/>
  <c r="R253" i="17" s="1"/>
  <c r="N252" i="17"/>
  <c r="R252" i="17" s="1"/>
  <c r="N251" i="17"/>
  <c r="R251" i="17" s="1"/>
  <c r="R250" i="17"/>
  <c r="N250" i="17"/>
  <c r="N249" i="17"/>
  <c r="R249" i="17" s="1"/>
  <c r="N248" i="17"/>
  <c r="R248" i="17" s="1"/>
  <c r="N247" i="17"/>
  <c r="R247" i="17" s="1"/>
  <c r="R246" i="17"/>
  <c r="N246" i="17"/>
  <c r="N245" i="17"/>
  <c r="R245" i="17" s="1"/>
  <c r="N244" i="17"/>
  <c r="R244" i="17" s="1"/>
  <c r="N243" i="17"/>
  <c r="R243" i="17" s="1"/>
  <c r="R242" i="17"/>
  <c r="N242" i="17"/>
  <c r="N241" i="17"/>
  <c r="R241" i="17" s="1"/>
  <c r="N240" i="17"/>
  <c r="R240" i="17" s="1"/>
  <c r="N239" i="17"/>
  <c r="R239" i="17" s="1"/>
  <c r="R238" i="17"/>
  <c r="N238" i="17"/>
  <c r="N237" i="17"/>
  <c r="R237" i="17" s="1"/>
  <c r="N236" i="17"/>
  <c r="R236" i="17" s="1"/>
  <c r="N235" i="17"/>
  <c r="R235" i="17" s="1"/>
  <c r="R234" i="17"/>
  <c r="N234" i="17"/>
  <c r="N233" i="17"/>
  <c r="R233" i="17" s="1"/>
  <c r="N232" i="17"/>
  <c r="R232" i="17" s="1"/>
  <c r="N231" i="17"/>
  <c r="R231" i="17" s="1"/>
  <c r="R230" i="17"/>
  <c r="N230" i="17"/>
  <c r="N229" i="17"/>
  <c r="R229" i="17" s="1"/>
  <c r="N228" i="17"/>
  <c r="R228" i="17" s="1"/>
  <c r="N227" i="17"/>
  <c r="R227" i="17" s="1"/>
  <c r="R226" i="17"/>
  <c r="N226" i="17"/>
  <c r="N225" i="17"/>
  <c r="R225" i="17" s="1"/>
  <c r="N224" i="17"/>
  <c r="R224" i="17" s="1"/>
  <c r="N223" i="17"/>
  <c r="R223" i="17" s="1"/>
  <c r="R222" i="17"/>
  <c r="N222" i="17"/>
  <c r="N221" i="17"/>
  <c r="R221" i="17" s="1"/>
  <c r="N220" i="17"/>
  <c r="R220" i="17" s="1"/>
  <c r="N219" i="17"/>
  <c r="R219" i="17" s="1"/>
  <c r="R218" i="17"/>
  <c r="N218" i="17"/>
  <c r="N217" i="17"/>
  <c r="R217" i="17" s="1"/>
  <c r="N216" i="17"/>
  <c r="R216" i="17" s="1"/>
  <c r="N215" i="17"/>
  <c r="R215" i="17" s="1"/>
  <c r="R214" i="17"/>
  <c r="N214" i="17"/>
  <c r="N213" i="17"/>
  <c r="R213" i="17" s="1"/>
  <c r="N212" i="17"/>
  <c r="R212" i="17" s="1"/>
  <c r="N211" i="17"/>
  <c r="R211" i="17" s="1"/>
  <c r="R210" i="17"/>
  <c r="N210" i="17"/>
  <c r="N209" i="17"/>
  <c r="R209" i="17" s="1"/>
  <c r="N208" i="17"/>
  <c r="R208" i="17" s="1"/>
  <c r="N207" i="17"/>
  <c r="R207" i="17" s="1"/>
  <c r="R206" i="17"/>
  <c r="N206" i="17"/>
  <c r="N205" i="17"/>
  <c r="R205" i="17" s="1"/>
  <c r="N204" i="17"/>
  <c r="R204" i="17" s="1"/>
  <c r="N203" i="17"/>
  <c r="R203" i="17" s="1"/>
  <c r="R202" i="17"/>
  <c r="N202" i="17"/>
  <c r="N201" i="17"/>
  <c r="R201" i="17" s="1"/>
  <c r="N200" i="17"/>
  <c r="R200" i="17" s="1"/>
  <c r="N199" i="17"/>
  <c r="R199" i="17" s="1"/>
  <c r="R198" i="17"/>
  <c r="N198" i="17"/>
  <c r="N197" i="17"/>
  <c r="R197" i="17" s="1"/>
  <c r="N196" i="17"/>
  <c r="R196" i="17" s="1"/>
  <c r="N195" i="17"/>
  <c r="R195" i="17" s="1"/>
  <c r="R194" i="17"/>
  <c r="N194" i="17"/>
  <c r="N193" i="17"/>
  <c r="R193" i="17" s="1"/>
  <c r="N192" i="17"/>
  <c r="R192" i="17" s="1"/>
  <c r="N191" i="17"/>
  <c r="R191" i="17" s="1"/>
  <c r="R190" i="17"/>
  <c r="N190" i="17"/>
  <c r="N189" i="17"/>
  <c r="R189" i="17" s="1"/>
  <c r="N188" i="17"/>
  <c r="R188" i="17" s="1"/>
  <c r="N187" i="17"/>
  <c r="R187" i="17" s="1"/>
  <c r="R186" i="17"/>
  <c r="N186" i="17"/>
  <c r="N185" i="17"/>
  <c r="R185" i="17" s="1"/>
  <c r="N184" i="17"/>
  <c r="R184" i="17" s="1"/>
  <c r="N183" i="17"/>
  <c r="R183" i="17" s="1"/>
  <c r="R182" i="17"/>
  <c r="N182" i="17"/>
  <c r="N181" i="17"/>
  <c r="R181" i="17" s="1"/>
  <c r="N180" i="17"/>
  <c r="R180" i="17" s="1"/>
  <c r="N179" i="17"/>
  <c r="R179" i="17" s="1"/>
  <c r="R178" i="17"/>
  <c r="N178" i="17"/>
  <c r="N177" i="17"/>
  <c r="R177" i="17" s="1"/>
  <c r="N176" i="17"/>
  <c r="R176" i="17" s="1"/>
  <c r="N175" i="17"/>
  <c r="R175" i="17" s="1"/>
  <c r="R174" i="17"/>
  <c r="N174" i="17"/>
  <c r="N173" i="17"/>
  <c r="R173" i="17" s="1"/>
  <c r="N172" i="17"/>
  <c r="R172" i="17" s="1"/>
  <c r="N171" i="17"/>
  <c r="R171" i="17" s="1"/>
  <c r="R170" i="17"/>
  <c r="N170" i="17"/>
  <c r="N169" i="17"/>
  <c r="R169" i="17" s="1"/>
  <c r="Q168" i="17"/>
  <c r="P168" i="17"/>
  <c r="O168" i="17"/>
  <c r="F168" i="17"/>
  <c r="E168" i="17"/>
  <c r="R167" i="17"/>
  <c r="N167" i="17"/>
  <c r="R166" i="17"/>
  <c r="N166" i="17"/>
  <c r="N165" i="17"/>
  <c r="R165" i="17" s="1"/>
  <c r="N164" i="17"/>
  <c r="R164" i="17" s="1"/>
  <c r="R163" i="17"/>
  <c r="N163" i="17"/>
  <c r="R162" i="17"/>
  <c r="N162" i="17"/>
  <c r="N161" i="17"/>
  <c r="R161" i="17" s="1"/>
  <c r="N160" i="17"/>
  <c r="R160" i="17" s="1"/>
  <c r="R159" i="17"/>
  <c r="N159" i="17"/>
  <c r="R158" i="17"/>
  <c r="N158" i="17"/>
  <c r="N157" i="17"/>
  <c r="R157" i="17" s="1"/>
  <c r="N156" i="17"/>
  <c r="R156" i="17" s="1"/>
  <c r="R155" i="17"/>
  <c r="N155" i="17"/>
  <c r="R154" i="17"/>
  <c r="N154" i="17"/>
  <c r="N153" i="17"/>
  <c r="R153" i="17" s="1"/>
  <c r="N152" i="17"/>
  <c r="R152" i="17" s="1"/>
  <c r="R151" i="17"/>
  <c r="N151" i="17"/>
  <c r="R150" i="17"/>
  <c r="N150" i="17"/>
  <c r="N149" i="17"/>
  <c r="R149" i="17" s="1"/>
  <c r="N148" i="17"/>
  <c r="R148" i="17" s="1"/>
  <c r="R147" i="17"/>
  <c r="N147" i="17"/>
  <c r="R146" i="17"/>
  <c r="N146" i="17"/>
  <c r="N145" i="17"/>
  <c r="R145" i="17" s="1"/>
  <c r="N144" i="17"/>
  <c r="R144" i="17" s="1"/>
  <c r="R143" i="17"/>
  <c r="N143" i="17"/>
  <c r="R142" i="17"/>
  <c r="N142" i="17"/>
  <c r="N141" i="17"/>
  <c r="R141" i="17" s="1"/>
  <c r="N140" i="17"/>
  <c r="R140" i="17" s="1"/>
  <c r="R139" i="17"/>
  <c r="N139" i="17"/>
  <c r="R138" i="17"/>
  <c r="N138" i="17"/>
  <c r="N137" i="17"/>
  <c r="R137" i="17" s="1"/>
  <c r="N136" i="17"/>
  <c r="R136" i="17" s="1"/>
  <c r="R135" i="17"/>
  <c r="N135" i="17"/>
  <c r="R134" i="17"/>
  <c r="N134" i="17"/>
  <c r="N133" i="17"/>
  <c r="R133" i="17" s="1"/>
  <c r="N132" i="17"/>
  <c r="R132" i="17" s="1"/>
  <c r="R131" i="17"/>
  <c r="N131" i="17"/>
  <c r="R130" i="17"/>
  <c r="N130" i="17"/>
  <c r="N129" i="17"/>
  <c r="R129" i="17" s="1"/>
  <c r="N128" i="17"/>
  <c r="R128" i="17" s="1"/>
  <c r="R127" i="17"/>
  <c r="N127" i="17"/>
  <c r="R126" i="17"/>
  <c r="N126" i="17"/>
  <c r="N125" i="17"/>
  <c r="R125" i="17" s="1"/>
  <c r="N124" i="17"/>
  <c r="R124" i="17" s="1"/>
  <c r="R123" i="17"/>
  <c r="N123" i="17"/>
  <c r="R122" i="17"/>
  <c r="N122" i="17"/>
  <c r="N121" i="17"/>
  <c r="R121" i="17" s="1"/>
  <c r="N120" i="17"/>
  <c r="R120" i="17" s="1"/>
  <c r="R119" i="17"/>
  <c r="N119" i="17"/>
  <c r="R118" i="17"/>
  <c r="N118" i="17"/>
  <c r="N117" i="17"/>
  <c r="R117" i="17" s="1"/>
  <c r="N116" i="17"/>
  <c r="R116" i="17" s="1"/>
  <c r="R115" i="17"/>
  <c r="N115" i="17"/>
  <c r="R114" i="17"/>
  <c r="N114" i="17"/>
  <c r="N113" i="17"/>
  <c r="R113" i="17" s="1"/>
  <c r="N112" i="17"/>
  <c r="R112" i="17" s="1"/>
  <c r="R111" i="17"/>
  <c r="N111" i="17"/>
  <c r="R110" i="17"/>
  <c r="N110" i="17"/>
  <c r="N109" i="17"/>
  <c r="R109" i="17" s="1"/>
  <c r="N108" i="17"/>
  <c r="R108" i="17" s="1"/>
  <c r="R107" i="17"/>
  <c r="N107" i="17"/>
  <c r="R106" i="17"/>
  <c r="N106" i="17"/>
  <c r="N105" i="17"/>
  <c r="R105" i="17" s="1"/>
  <c r="N104" i="17"/>
  <c r="R104" i="17" s="1"/>
  <c r="R103" i="17"/>
  <c r="N103" i="17"/>
  <c r="R102" i="17"/>
  <c r="N102" i="17"/>
  <c r="N101" i="17"/>
  <c r="R101" i="17" s="1"/>
  <c r="N100" i="17"/>
  <c r="R100" i="17" s="1"/>
  <c r="R99" i="17"/>
  <c r="N99" i="17"/>
  <c r="R98" i="17"/>
  <c r="N98" i="17"/>
  <c r="N97" i="17"/>
  <c r="R97" i="17" s="1"/>
  <c r="N96" i="17"/>
  <c r="R96" i="17" s="1"/>
  <c r="R95" i="17"/>
  <c r="N95" i="17"/>
  <c r="R94" i="17"/>
  <c r="N94" i="17"/>
  <c r="N93" i="17"/>
  <c r="R93" i="17" s="1"/>
  <c r="N92" i="17"/>
  <c r="R92" i="17" s="1"/>
  <c r="R91" i="17"/>
  <c r="N91" i="17"/>
  <c r="R90" i="17"/>
  <c r="N90" i="17"/>
  <c r="N89" i="17"/>
  <c r="R89" i="17" s="1"/>
  <c r="N88" i="17"/>
  <c r="R88" i="17" s="1"/>
  <c r="R87" i="17"/>
  <c r="N87" i="17"/>
  <c r="R86" i="17"/>
  <c r="N86" i="17"/>
  <c r="N85" i="17"/>
  <c r="R85" i="17" s="1"/>
  <c r="N84" i="17"/>
  <c r="R84" i="17" s="1"/>
  <c r="R83" i="17"/>
  <c r="N83" i="17"/>
  <c r="R82" i="17"/>
  <c r="N82" i="17"/>
  <c r="N81" i="17"/>
  <c r="R81" i="17" s="1"/>
  <c r="N80" i="17"/>
  <c r="R80" i="17" s="1"/>
  <c r="R79" i="17"/>
  <c r="N79" i="17"/>
  <c r="R78" i="17"/>
  <c r="N78" i="17"/>
  <c r="N77" i="17"/>
  <c r="R77" i="17" s="1"/>
  <c r="N76" i="17"/>
  <c r="R76" i="17" s="1"/>
  <c r="R75" i="17"/>
  <c r="N75" i="17"/>
  <c r="R74" i="17"/>
  <c r="N74" i="17"/>
  <c r="N73" i="17"/>
  <c r="R73" i="17" s="1"/>
  <c r="N72" i="17"/>
  <c r="R72" i="17" s="1"/>
  <c r="R71" i="17"/>
  <c r="N71" i="17"/>
  <c r="R70" i="17"/>
  <c r="N70" i="17"/>
  <c r="N69" i="17"/>
  <c r="R69" i="17" s="1"/>
  <c r="N68" i="17"/>
  <c r="N168" i="17" s="1"/>
  <c r="P67" i="17"/>
  <c r="P308" i="17" s="1"/>
  <c r="F67" i="17"/>
  <c r="E67" i="17"/>
  <c r="N66" i="17"/>
  <c r="R66" i="17" s="1"/>
  <c r="N65" i="17"/>
  <c r="R65" i="17" s="1"/>
  <c r="O64" i="17"/>
  <c r="O67" i="17" s="1"/>
  <c r="O308" i="17" s="1"/>
  <c r="N64" i="17"/>
  <c r="R64" i="17" s="1"/>
  <c r="N63" i="17"/>
  <c r="R63" i="17" s="1"/>
  <c r="R62" i="17"/>
  <c r="N62" i="17"/>
  <c r="R61" i="17"/>
  <c r="N61" i="17"/>
  <c r="N60" i="17"/>
  <c r="R60" i="17" s="1"/>
  <c r="N59" i="17"/>
  <c r="R59" i="17" s="1"/>
  <c r="R58" i="17"/>
  <c r="N58" i="17"/>
  <c r="R57" i="17"/>
  <c r="N57" i="17"/>
  <c r="N56" i="17"/>
  <c r="R56" i="17" s="1"/>
  <c r="N55" i="17"/>
  <c r="R55" i="17" s="1"/>
  <c r="R54" i="17"/>
  <c r="N53" i="17"/>
  <c r="R53" i="17" s="1"/>
  <c r="N52" i="17"/>
  <c r="R52" i="17" s="1"/>
  <c r="R51" i="17"/>
  <c r="N51" i="17"/>
  <c r="N50" i="17"/>
  <c r="R50" i="17" s="1"/>
  <c r="N49" i="17"/>
  <c r="R49" i="17" s="1"/>
  <c r="Q47" i="17"/>
  <c r="N47" i="17"/>
  <c r="R47" i="17" s="1"/>
  <c r="N46" i="17"/>
  <c r="R46" i="17" s="1"/>
  <c r="R45" i="17"/>
  <c r="N45" i="17"/>
  <c r="R44" i="17"/>
  <c r="N44" i="17"/>
  <c r="N43" i="17"/>
  <c r="R43" i="17" s="1"/>
  <c r="N42" i="17"/>
  <c r="R42" i="17" s="1"/>
  <c r="R41" i="17"/>
  <c r="N41" i="17"/>
  <c r="R40" i="17"/>
  <c r="N40" i="17"/>
  <c r="N39" i="17"/>
  <c r="R39" i="17" s="1"/>
  <c r="N38" i="17"/>
  <c r="R38" i="17" s="1"/>
  <c r="R37" i="17"/>
  <c r="N37" i="17"/>
  <c r="R36" i="17"/>
  <c r="N36" i="17"/>
  <c r="N35" i="17"/>
  <c r="R35" i="17" s="1"/>
  <c r="N34" i="17"/>
  <c r="R34" i="17" s="1"/>
  <c r="R33" i="17"/>
  <c r="N33" i="17"/>
  <c r="R32" i="17"/>
  <c r="N32" i="17"/>
  <c r="N31" i="17"/>
  <c r="R31" i="17" s="1"/>
  <c r="N30" i="17"/>
  <c r="R30" i="17" s="1"/>
  <c r="R29" i="17"/>
  <c r="N29" i="17"/>
  <c r="R28" i="17"/>
  <c r="N28" i="17"/>
  <c r="N27" i="17"/>
  <c r="R27" i="17" s="1"/>
  <c r="N26" i="17"/>
  <c r="R26" i="17" s="1"/>
  <c r="R25" i="17"/>
  <c r="N25" i="17"/>
  <c r="R24" i="17"/>
  <c r="N24" i="17"/>
  <c r="N23" i="17"/>
  <c r="R23" i="17" s="1"/>
  <c r="N22" i="17"/>
  <c r="R22" i="17" s="1"/>
  <c r="R21" i="17"/>
  <c r="N21" i="17"/>
  <c r="R20" i="17"/>
  <c r="N20" i="17"/>
  <c r="N19" i="17"/>
  <c r="R19" i="17" s="1"/>
  <c r="N18" i="17"/>
  <c r="R18" i="17" s="1"/>
  <c r="R17" i="17"/>
  <c r="N17" i="17"/>
  <c r="R16" i="17"/>
  <c r="N16" i="17"/>
  <c r="Q15" i="17"/>
  <c r="Q67" i="17" s="1"/>
  <c r="Q308" i="17" s="1"/>
  <c r="N15" i="17"/>
  <c r="R15" i="17" s="1"/>
  <c r="N14" i="17"/>
  <c r="R14" i="17" s="1"/>
  <c r="N13" i="17"/>
  <c r="R13" i="17" s="1"/>
  <c r="N12" i="17"/>
  <c r="R12" i="17" s="1"/>
  <c r="R11" i="17"/>
  <c r="N11" i="17"/>
  <c r="N10" i="17"/>
  <c r="R10" i="17" s="1"/>
  <c r="N9" i="17"/>
  <c r="R9" i="17" s="1"/>
  <c r="N8" i="17"/>
  <c r="R8" i="17" s="1"/>
  <c r="R7" i="17"/>
  <c r="N7" i="17"/>
  <c r="N6" i="17"/>
  <c r="R6" i="17" s="1"/>
  <c r="N5" i="17"/>
  <c r="R5" i="17" s="1"/>
  <c r="N4" i="17"/>
  <c r="R4" i="17" s="1"/>
  <c r="R3" i="17"/>
  <c r="N3" i="17"/>
  <c r="N67" i="17" s="1"/>
  <c r="N308" i="17" s="1"/>
  <c r="N323" i="18" l="1"/>
  <c r="R323" i="18" s="1"/>
  <c r="R324" i="18" s="1"/>
  <c r="M308" i="17"/>
  <c r="K308" i="17"/>
  <c r="J308" i="17"/>
  <c r="L308" i="17"/>
  <c r="F308" i="17"/>
  <c r="R67" i="17"/>
  <c r="R307" i="17"/>
  <c r="R68" i="17"/>
  <c r="R168" i="17" s="1"/>
  <c r="E307" i="17"/>
  <c r="E308" i="17" s="1"/>
  <c r="R308" i="17" s="1"/>
  <c r="H46" i="3"/>
  <c r="N152" i="15"/>
  <c r="R152" i="15" s="1"/>
  <c r="I6" i="1"/>
  <c r="I9" i="1"/>
  <c r="I21" i="4"/>
  <c r="I19" i="4"/>
  <c r="I15" i="4"/>
  <c r="I13" i="4"/>
  <c r="I11" i="4"/>
  <c r="I9" i="4"/>
  <c r="I7" i="4"/>
  <c r="I5" i="4"/>
  <c r="I3" i="4"/>
  <c r="F25" i="2"/>
  <c r="I25" i="2"/>
  <c r="G46" i="3"/>
  <c r="J46" i="3"/>
  <c r="L24" i="4"/>
  <c r="N18" i="15"/>
  <c r="R18" i="15" s="1"/>
  <c r="Q290" i="15"/>
  <c r="P290" i="15"/>
  <c r="O290" i="15"/>
  <c r="M290" i="15"/>
  <c r="K290" i="15"/>
  <c r="J290" i="15"/>
  <c r="I290" i="15"/>
  <c r="H290" i="15"/>
  <c r="G290" i="15"/>
  <c r="F290" i="15"/>
  <c r="E290" i="15"/>
  <c r="N289" i="15"/>
  <c r="R289" i="15" s="1"/>
  <c r="N288" i="15"/>
  <c r="R288" i="15" s="1"/>
  <c r="N287" i="15"/>
  <c r="R287" i="15" s="1"/>
  <c r="N286" i="15"/>
  <c r="R286" i="15" s="1"/>
  <c r="N285" i="15"/>
  <c r="R285" i="15" s="1"/>
  <c r="N284" i="15"/>
  <c r="R284" i="15" s="1"/>
  <c r="N283" i="15"/>
  <c r="R283" i="15" s="1"/>
  <c r="N282" i="15"/>
  <c r="R282" i="15" s="1"/>
  <c r="N281" i="15"/>
  <c r="R281" i="15" s="1"/>
  <c r="N280" i="15"/>
  <c r="R280" i="15" s="1"/>
  <c r="N279" i="15"/>
  <c r="R279" i="15" s="1"/>
  <c r="N278" i="15"/>
  <c r="R278" i="15" s="1"/>
  <c r="N277" i="15"/>
  <c r="R277" i="15" s="1"/>
  <c r="N276" i="15"/>
  <c r="R276" i="15" s="1"/>
  <c r="N275" i="15"/>
  <c r="R275" i="15" s="1"/>
  <c r="N274" i="15"/>
  <c r="R274" i="15" s="1"/>
  <c r="N273" i="15"/>
  <c r="R273" i="15" s="1"/>
  <c r="N272" i="15"/>
  <c r="R272" i="15" s="1"/>
  <c r="N271" i="15"/>
  <c r="R271" i="15" s="1"/>
  <c r="N270" i="15"/>
  <c r="R270" i="15" s="1"/>
  <c r="N269" i="15"/>
  <c r="R269" i="15" s="1"/>
  <c r="N268" i="15"/>
  <c r="R268" i="15" s="1"/>
  <c r="N267" i="15"/>
  <c r="R267" i="15" s="1"/>
  <c r="N265" i="15"/>
  <c r="R265" i="15" s="1"/>
  <c r="N264" i="15"/>
  <c r="R264" i="15" s="1"/>
  <c r="N263" i="15"/>
  <c r="R263" i="15" s="1"/>
  <c r="N262" i="15"/>
  <c r="R262" i="15" s="1"/>
  <c r="N261" i="15"/>
  <c r="R261" i="15" s="1"/>
  <c r="N260" i="15"/>
  <c r="R260" i="15" s="1"/>
  <c r="N259" i="15"/>
  <c r="R259" i="15" s="1"/>
  <c r="N258" i="15"/>
  <c r="R258" i="15" s="1"/>
  <c r="N257" i="15"/>
  <c r="R257" i="15" s="1"/>
  <c r="N256" i="15"/>
  <c r="R256" i="15" s="1"/>
  <c r="N255" i="15"/>
  <c r="R255" i="15" s="1"/>
  <c r="N254" i="15"/>
  <c r="R254" i="15" s="1"/>
  <c r="N253" i="15"/>
  <c r="R253" i="15" s="1"/>
  <c r="N252" i="15"/>
  <c r="R252" i="15" s="1"/>
  <c r="N251" i="15"/>
  <c r="R251" i="15" s="1"/>
  <c r="N250" i="15"/>
  <c r="R250" i="15" s="1"/>
  <c r="N249" i="15"/>
  <c r="R249" i="15" s="1"/>
  <c r="N248" i="15"/>
  <c r="R248" i="15" s="1"/>
  <c r="N247" i="15"/>
  <c r="R247" i="15" s="1"/>
  <c r="L246" i="15"/>
  <c r="N246" i="15" s="1"/>
  <c r="N245" i="15"/>
  <c r="R245" i="15" s="1"/>
  <c r="N244" i="15"/>
  <c r="R244" i="15" s="1"/>
  <c r="N243" i="15"/>
  <c r="R243" i="15" s="1"/>
  <c r="N242" i="15"/>
  <c r="R242" i="15" s="1"/>
  <c r="N241" i="15"/>
  <c r="R241" i="15" s="1"/>
  <c r="N240" i="15"/>
  <c r="R240" i="15" s="1"/>
  <c r="N239" i="15"/>
  <c r="R239" i="15" s="1"/>
  <c r="N238" i="15"/>
  <c r="R238" i="15" s="1"/>
  <c r="N237" i="15"/>
  <c r="R237" i="15" s="1"/>
  <c r="N236" i="15"/>
  <c r="R236" i="15" s="1"/>
  <c r="N235" i="15"/>
  <c r="R235" i="15" s="1"/>
  <c r="N234" i="15"/>
  <c r="R234" i="15" s="1"/>
  <c r="N233" i="15"/>
  <c r="R233" i="15" s="1"/>
  <c r="N232" i="15"/>
  <c r="R232" i="15" s="1"/>
  <c r="N231" i="15"/>
  <c r="R231" i="15" s="1"/>
  <c r="N230" i="15"/>
  <c r="R230" i="15" s="1"/>
  <c r="N229" i="15"/>
  <c r="R229" i="15" s="1"/>
  <c r="N228" i="15"/>
  <c r="R228" i="15" s="1"/>
  <c r="N227" i="15"/>
  <c r="R227" i="15" s="1"/>
  <c r="N226" i="15"/>
  <c r="R226" i="15" s="1"/>
  <c r="N225" i="15"/>
  <c r="R225" i="15" s="1"/>
  <c r="N224" i="15"/>
  <c r="R224" i="15" s="1"/>
  <c r="N223" i="15"/>
  <c r="R223" i="15" s="1"/>
  <c r="N222" i="15"/>
  <c r="R222" i="15" s="1"/>
  <c r="N221" i="15"/>
  <c r="R221" i="15" s="1"/>
  <c r="N220" i="15"/>
  <c r="R220" i="15" s="1"/>
  <c r="N219" i="15"/>
  <c r="R219" i="15" s="1"/>
  <c r="N218" i="15"/>
  <c r="R218" i="15" s="1"/>
  <c r="N217" i="15"/>
  <c r="R217" i="15" s="1"/>
  <c r="N216" i="15"/>
  <c r="R216" i="15" s="1"/>
  <c r="N215" i="15"/>
  <c r="R215" i="15" s="1"/>
  <c r="N214" i="15"/>
  <c r="R214" i="15" s="1"/>
  <c r="N213" i="15"/>
  <c r="R213" i="15" s="1"/>
  <c r="N212" i="15"/>
  <c r="R212" i="15" s="1"/>
  <c r="N211" i="15"/>
  <c r="R211" i="15" s="1"/>
  <c r="N210" i="15"/>
  <c r="R210" i="15" s="1"/>
  <c r="N209" i="15"/>
  <c r="R209" i="15" s="1"/>
  <c r="N208" i="15"/>
  <c r="R208" i="15" s="1"/>
  <c r="N207" i="15"/>
  <c r="R207" i="15" s="1"/>
  <c r="N206" i="15"/>
  <c r="R206" i="15" s="1"/>
  <c r="N205" i="15"/>
  <c r="R205" i="15" s="1"/>
  <c r="N204" i="15"/>
  <c r="R204" i="15" s="1"/>
  <c r="N203" i="15"/>
  <c r="R203" i="15" s="1"/>
  <c r="N202" i="15"/>
  <c r="R202" i="15" s="1"/>
  <c r="N201" i="15"/>
  <c r="R201" i="15" s="1"/>
  <c r="N200" i="15"/>
  <c r="R200" i="15" s="1"/>
  <c r="N199" i="15"/>
  <c r="R199" i="15" s="1"/>
  <c r="N198" i="15"/>
  <c r="R198" i="15" s="1"/>
  <c r="N197" i="15"/>
  <c r="R197" i="15" s="1"/>
  <c r="N196" i="15"/>
  <c r="R196" i="15" s="1"/>
  <c r="N195" i="15"/>
  <c r="R195" i="15" s="1"/>
  <c r="N194" i="15"/>
  <c r="R194" i="15" s="1"/>
  <c r="N193" i="15"/>
  <c r="R193" i="15" s="1"/>
  <c r="N192" i="15"/>
  <c r="R192" i="15" s="1"/>
  <c r="N191" i="15"/>
  <c r="R191" i="15" s="1"/>
  <c r="N190" i="15"/>
  <c r="R190" i="15" s="1"/>
  <c r="N189" i="15"/>
  <c r="R189" i="15" s="1"/>
  <c r="N188" i="15"/>
  <c r="R188" i="15" s="1"/>
  <c r="N187" i="15"/>
  <c r="R187" i="15" s="1"/>
  <c r="N186" i="15"/>
  <c r="R186" i="15" s="1"/>
  <c r="N185" i="15"/>
  <c r="R185" i="15" s="1"/>
  <c r="N184" i="15"/>
  <c r="R184" i="15" s="1"/>
  <c r="N183" i="15"/>
  <c r="R183" i="15" s="1"/>
  <c r="N182" i="15"/>
  <c r="R182" i="15" s="1"/>
  <c r="N181" i="15"/>
  <c r="R181" i="15" s="1"/>
  <c r="N180" i="15"/>
  <c r="R180" i="15" s="1"/>
  <c r="N179" i="15"/>
  <c r="R179" i="15" s="1"/>
  <c r="N178" i="15"/>
  <c r="R178" i="15" s="1"/>
  <c r="N177" i="15"/>
  <c r="R177" i="15" s="1"/>
  <c r="N176" i="15"/>
  <c r="R176" i="15" s="1"/>
  <c r="N175" i="15"/>
  <c r="R175" i="15" s="1"/>
  <c r="N174" i="15"/>
  <c r="R174" i="15" s="1"/>
  <c r="N173" i="15"/>
  <c r="R173" i="15" s="1"/>
  <c r="N172" i="15"/>
  <c r="R172" i="15" s="1"/>
  <c r="N171" i="15"/>
  <c r="R171" i="15" s="1"/>
  <c r="N170" i="15"/>
  <c r="R170" i="15" s="1"/>
  <c r="N169" i="15"/>
  <c r="R169" i="15" s="1"/>
  <c r="N168" i="15"/>
  <c r="R168" i="15" s="1"/>
  <c r="N167" i="15"/>
  <c r="R167" i="15" s="1"/>
  <c r="N166" i="15"/>
  <c r="R166" i="15" s="1"/>
  <c r="N165" i="15"/>
  <c r="R165" i="15" s="1"/>
  <c r="N164" i="15"/>
  <c r="R164" i="15" s="1"/>
  <c r="N163" i="15"/>
  <c r="R163" i="15" s="1"/>
  <c r="N162" i="15"/>
  <c r="R162" i="15" s="1"/>
  <c r="N161" i="15"/>
  <c r="R161" i="15" s="1"/>
  <c r="N160" i="15"/>
  <c r="R160" i="15" s="1"/>
  <c r="N159" i="15"/>
  <c r="R159" i="15" s="1"/>
  <c r="N158" i="15"/>
  <c r="R158" i="15" s="1"/>
  <c r="Q157" i="15"/>
  <c r="P157" i="15"/>
  <c r="O157" i="15"/>
  <c r="M157" i="15"/>
  <c r="L157" i="15"/>
  <c r="K157" i="15"/>
  <c r="J157" i="15"/>
  <c r="I157" i="15"/>
  <c r="H157" i="15"/>
  <c r="G157" i="15"/>
  <c r="F157" i="15"/>
  <c r="E157" i="15"/>
  <c r="N156" i="15"/>
  <c r="R156" i="15" s="1"/>
  <c r="N155" i="15"/>
  <c r="R155" i="15" s="1"/>
  <c r="N154" i="15"/>
  <c r="R154" i="15" s="1"/>
  <c r="N153" i="15"/>
  <c r="R153" i="15" s="1"/>
  <c r="N151" i="15"/>
  <c r="R151" i="15" s="1"/>
  <c r="N150" i="15"/>
  <c r="R150" i="15" s="1"/>
  <c r="N149" i="15"/>
  <c r="R149" i="15" s="1"/>
  <c r="N148" i="15"/>
  <c r="R148" i="15" s="1"/>
  <c r="N147" i="15"/>
  <c r="R147" i="15" s="1"/>
  <c r="N146" i="15"/>
  <c r="R146" i="15" s="1"/>
  <c r="N145" i="15"/>
  <c r="R145" i="15" s="1"/>
  <c r="N144" i="15"/>
  <c r="R144" i="15" s="1"/>
  <c r="N143" i="15"/>
  <c r="R143" i="15" s="1"/>
  <c r="N142" i="15"/>
  <c r="R142" i="15" s="1"/>
  <c r="N141" i="15"/>
  <c r="R141" i="15" s="1"/>
  <c r="N140" i="15"/>
  <c r="R140" i="15" s="1"/>
  <c r="N139" i="15"/>
  <c r="R139" i="15" s="1"/>
  <c r="N138" i="15"/>
  <c r="R138" i="15" s="1"/>
  <c r="N137" i="15"/>
  <c r="R137" i="15" s="1"/>
  <c r="N136" i="15"/>
  <c r="R136" i="15" s="1"/>
  <c r="N135" i="15"/>
  <c r="R135" i="15" s="1"/>
  <c r="N134" i="15"/>
  <c r="R134" i="15" s="1"/>
  <c r="N133" i="15"/>
  <c r="R133" i="15" s="1"/>
  <c r="N132" i="15"/>
  <c r="R132" i="15" s="1"/>
  <c r="N131" i="15"/>
  <c r="R131" i="15" s="1"/>
  <c r="N130" i="15"/>
  <c r="R130" i="15" s="1"/>
  <c r="N129" i="15"/>
  <c r="R129" i="15" s="1"/>
  <c r="N128" i="15"/>
  <c r="R128" i="15" s="1"/>
  <c r="N127" i="15"/>
  <c r="R127" i="15" s="1"/>
  <c r="N126" i="15"/>
  <c r="R126" i="15" s="1"/>
  <c r="N125" i="15"/>
  <c r="R125" i="15" s="1"/>
  <c r="N124" i="15"/>
  <c r="R124" i="15" s="1"/>
  <c r="N123" i="15"/>
  <c r="R123" i="15" s="1"/>
  <c r="N122" i="15"/>
  <c r="R122" i="15" s="1"/>
  <c r="N121" i="15"/>
  <c r="R121" i="15" s="1"/>
  <c r="N120" i="15"/>
  <c r="R120" i="15" s="1"/>
  <c r="N119" i="15"/>
  <c r="R119" i="15" s="1"/>
  <c r="N118" i="15"/>
  <c r="R118" i="15" s="1"/>
  <c r="N117" i="15"/>
  <c r="R117" i="15" s="1"/>
  <c r="N116" i="15"/>
  <c r="R116" i="15" s="1"/>
  <c r="N115" i="15"/>
  <c r="R115" i="15" s="1"/>
  <c r="N114" i="15"/>
  <c r="R114" i="15" s="1"/>
  <c r="N113" i="15"/>
  <c r="R113" i="15" s="1"/>
  <c r="N112" i="15"/>
  <c r="R112" i="15" s="1"/>
  <c r="N111" i="15"/>
  <c r="R111" i="15" s="1"/>
  <c r="N110" i="15"/>
  <c r="R110" i="15" s="1"/>
  <c r="N109" i="15"/>
  <c r="R109" i="15" s="1"/>
  <c r="N108" i="15"/>
  <c r="R108" i="15" s="1"/>
  <c r="N107" i="15"/>
  <c r="R107" i="15" s="1"/>
  <c r="N106" i="15"/>
  <c r="R106" i="15" s="1"/>
  <c r="N105" i="15"/>
  <c r="R105" i="15" s="1"/>
  <c r="N104" i="15"/>
  <c r="R104" i="15" s="1"/>
  <c r="N103" i="15"/>
  <c r="R103" i="15" s="1"/>
  <c r="N102" i="15"/>
  <c r="R102" i="15" s="1"/>
  <c r="N101" i="15"/>
  <c r="R101" i="15" s="1"/>
  <c r="N100" i="15"/>
  <c r="R100" i="15" s="1"/>
  <c r="N99" i="15"/>
  <c r="R99" i="15" s="1"/>
  <c r="N98" i="15"/>
  <c r="R98" i="15" s="1"/>
  <c r="N97" i="15"/>
  <c r="R97" i="15" s="1"/>
  <c r="N96" i="15"/>
  <c r="R96" i="15" s="1"/>
  <c r="N95" i="15"/>
  <c r="R95" i="15" s="1"/>
  <c r="N94" i="15"/>
  <c r="R94" i="15" s="1"/>
  <c r="N93" i="15"/>
  <c r="R93" i="15" s="1"/>
  <c r="N92" i="15"/>
  <c r="R92" i="15" s="1"/>
  <c r="N91" i="15"/>
  <c r="R91" i="15" s="1"/>
  <c r="N90" i="15"/>
  <c r="R90" i="15" s="1"/>
  <c r="N89" i="15"/>
  <c r="R89" i="15" s="1"/>
  <c r="N88" i="15"/>
  <c r="R88" i="15" s="1"/>
  <c r="N87" i="15"/>
  <c r="R87" i="15" s="1"/>
  <c r="N86" i="15"/>
  <c r="R86" i="15" s="1"/>
  <c r="N85" i="15"/>
  <c r="R85" i="15" s="1"/>
  <c r="N84" i="15"/>
  <c r="R84" i="15" s="1"/>
  <c r="N83" i="15"/>
  <c r="R83" i="15" s="1"/>
  <c r="N82" i="15"/>
  <c r="R82" i="15" s="1"/>
  <c r="N81" i="15"/>
  <c r="R81" i="15" s="1"/>
  <c r="N80" i="15"/>
  <c r="R80" i="15" s="1"/>
  <c r="N79" i="15"/>
  <c r="R79" i="15" s="1"/>
  <c r="N78" i="15"/>
  <c r="R78" i="15" s="1"/>
  <c r="N77" i="15"/>
  <c r="R77" i="15" s="1"/>
  <c r="N76" i="15"/>
  <c r="R76" i="15" s="1"/>
  <c r="N75" i="15"/>
  <c r="R75" i="15" s="1"/>
  <c r="N74" i="15"/>
  <c r="R74" i="15" s="1"/>
  <c r="N73" i="15"/>
  <c r="R73" i="15" s="1"/>
  <c r="N72" i="15"/>
  <c r="R72" i="15" s="1"/>
  <c r="N71" i="15"/>
  <c r="R71" i="15" s="1"/>
  <c r="N70" i="15"/>
  <c r="R70" i="15" s="1"/>
  <c r="N69" i="15"/>
  <c r="R69" i="15" s="1"/>
  <c r="N68" i="15"/>
  <c r="R68" i="15" s="1"/>
  <c r="N67" i="15"/>
  <c r="R67" i="15" s="1"/>
  <c r="N66" i="15"/>
  <c r="R66" i="15" s="1"/>
  <c r="N65" i="15"/>
  <c r="R65" i="15" s="1"/>
  <c r="N64" i="15"/>
  <c r="R64" i="15" s="1"/>
  <c r="N63" i="15"/>
  <c r="R63" i="15" s="1"/>
  <c r="N62" i="15"/>
  <c r="Q61" i="15"/>
  <c r="P61" i="15"/>
  <c r="O61" i="15"/>
  <c r="M61" i="15"/>
  <c r="L61" i="15"/>
  <c r="K61" i="15"/>
  <c r="J61" i="15"/>
  <c r="I61" i="15"/>
  <c r="H61" i="15"/>
  <c r="G61" i="15"/>
  <c r="F61" i="15"/>
  <c r="E61" i="15"/>
  <c r="N60" i="15"/>
  <c r="R60" i="15" s="1"/>
  <c r="N59" i="15"/>
  <c r="R59" i="15" s="1"/>
  <c r="N58" i="15"/>
  <c r="R58" i="15" s="1"/>
  <c r="N57" i="15"/>
  <c r="R57" i="15" s="1"/>
  <c r="N56" i="15"/>
  <c r="R56" i="15" s="1"/>
  <c r="N55" i="15"/>
  <c r="R55" i="15" s="1"/>
  <c r="N54" i="15"/>
  <c r="R54" i="15" s="1"/>
  <c r="N53" i="15"/>
  <c r="R53" i="15" s="1"/>
  <c r="N52" i="15"/>
  <c r="R52" i="15" s="1"/>
  <c r="N51" i="15"/>
  <c r="R51" i="15" s="1"/>
  <c r="N50" i="15"/>
  <c r="R50" i="15" s="1"/>
  <c r="N49" i="15"/>
  <c r="R49" i="15" s="1"/>
  <c r="N48" i="15"/>
  <c r="R48" i="15" s="1"/>
  <c r="N47" i="15"/>
  <c r="R47" i="15" s="1"/>
  <c r="N46" i="15"/>
  <c r="R46" i="15" s="1"/>
  <c r="N45" i="15"/>
  <c r="R45" i="15" s="1"/>
  <c r="N44" i="15"/>
  <c r="R44" i="15" s="1"/>
  <c r="N43" i="15"/>
  <c r="R43" i="15" s="1"/>
  <c r="N42" i="15"/>
  <c r="R42" i="15" s="1"/>
  <c r="N41" i="15"/>
  <c r="R41" i="15" s="1"/>
  <c r="N40" i="15"/>
  <c r="R40" i="15" s="1"/>
  <c r="N39" i="15"/>
  <c r="R39" i="15" s="1"/>
  <c r="N38" i="15"/>
  <c r="R38" i="15" s="1"/>
  <c r="N37" i="15"/>
  <c r="R37" i="15" s="1"/>
  <c r="N36" i="15"/>
  <c r="R36" i="15" s="1"/>
  <c r="N35" i="15"/>
  <c r="R35" i="15" s="1"/>
  <c r="N34" i="15"/>
  <c r="R34" i="15" s="1"/>
  <c r="N33" i="15"/>
  <c r="R33" i="15" s="1"/>
  <c r="N32" i="15"/>
  <c r="R32" i="15" s="1"/>
  <c r="N31" i="15"/>
  <c r="R31" i="15" s="1"/>
  <c r="N30" i="15"/>
  <c r="R30" i="15" s="1"/>
  <c r="N29" i="15"/>
  <c r="R29" i="15" s="1"/>
  <c r="N28" i="15"/>
  <c r="R28" i="15" s="1"/>
  <c r="N27" i="15"/>
  <c r="R27" i="15" s="1"/>
  <c r="N26" i="15"/>
  <c r="R26" i="15" s="1"/>
  <c r="N25" i="15"/>
  <c r="R25" i="15" s="1"/>
  <c r="N24" i="15"/>
  <c r="R24" i="15" s="1"/>
  <c r="N23" i="15"/>
  <c r="R23" i="15" s="1"/>
  <c r="N22" i="15"/>
  <c r="R22" i="15" s="1"/>
  <c r="N21" i="15"/>
  <c r="R21" i="15" s="1"/>
  <c r="N20" i="15"/>
  <c r="R20" i="15" s="1"/>
  <c r="N19" i="15"/>
  <c r="R19" i="15" s="1"/>
  <c r="N17" i="15"/>
  <c r="R17" i="15" s="1"/>
  <c r="N16" i="15"/>
  <c r="R16" i="15" s="1"/>
  <c r="N15" i="15"/>
  <c r="R15" i="15" s="1"/>
  <c r="N14" i="15"/>
  <c r="R14" i="15" s="1"/>
  <c r="N13" i="15"/>
  <c r="R13" i="15" s="1"/>
  <c r="N12" i="15"/>
  <c r="R12" i="15" s="1"/>
  <c r="N11" i="15"/>
  <c r="R11" i="15" s="1"/>
  <c r="N10" i="15"/>
  <c r="R10" i="15" s="1"/>
  <c r="N9" i="15"/>
  <c r="R9" i="15" s="1"/>
  <c r="N8" i="15"/>
  <c r="R8" i="15" s="1"/>
  <c r="N7" i="15"/>
  <c r="R7" i="15" s="1"/>
  <c r="N6" i="15"/>
  <c r="R6" i="15" s="1"/>
  <c r="N5" i="15"/>
  <c r="R5" i="15" s="1"/>
  <c r="N4" i="15"/>
  <c r="R4" i="15" s="1"/>
  <c r="N3" i="15"/>
  <c r="R3" i="15" s="1"/>
  <c r="R309" i="17" l="1"/>
  <c r="J291" i="15"/>
  <c r="E291" i="15"/>
  <c r="M291" i="15"/>
  <c r="G291" i="15"/>
  <c r="H291" i="15"/>
  <c r="I291" i="15"/>
  <c r="K291" i="15"/>
  <c r="F291" i="15"/>
  <c r="G4" i="6" s="1"/>
  <c r="O291" i="15"/>
  <c r="N157" i="15"/>
  <c r="R157" i="15" s="1"/>
  <c r="P291" i="15"/>
  <c r="Q291" i="15"/>
  <c r="I24" i="4"/>
  <c r="R246" i="15"/>
  <c r="R290" i="15" s="1"/>
  <c r="N290" i="15"/>
  <c r="R62" i="15"/>
  <c r="L290" i="15"/>
  <c r="N61" i="15"/>
  <c r="G3" i="6" l="1"/>
  <c r="R291" i="15"/>
  <c r="L291" i="15"/>
  <c r="R61" i="15"/>
  <c r="N291" i="15"/>
  <c r="F39" i="3" l="1"/>
  <c r="F38" i="3"/>
  <c r="E5" i="3"/>
  <c r="E26" i="3"/>
  <c r="E25" i="2"/>
  <c r="G3" i="1" s="1"/>
  <c r="H9" i="4"/>
  <c r="H5" i="4"/>
  <c r="H3" i="4"/>
  <c r="J39" i="10"/>
  <c r="J34" i="10"/>
  <c r="J49" i="10"/>
  <c r="J57" i="10"/>
  <c r="E4" i="6"/>
  <c r="H3" i="1"/>
  <c r="H4" i="1"/>
  <c r="H5" i="1"/>
  <c r="G5" i="6"/>
  <c r="H6" i="1" l="1"/>
  <c r="H8" i="1"/>
  <c r="H9" i="1" l="1"/>
  <c r="J62" i="10"/>
  <c r="I256" i="10"/>
  <c r="H256" i="10"/>
  <c r="G256" i="10"/>
  <c r="F256" i="10"/>
  <c r="F3" i="6" s="1"/>
  <c r="D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E25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H144" i="10"/>
  <c r="G144" i="10"/>
  <c r="J143" i="10"/>
  <c r="J141" i="10"/>
  <c r="J140" i="10"/>
  <c r="F127" i="10"/>
  <c r="J127" i="10" s="1"/>
  <c r="F124" i="10"/>
  <c r="J124" i="10" s="1"/>
  <c r="J123" i="10"/>
  <c r="J117" i="10"/>
  <c r="J96" i="10"/>
  <c r="J93" i="10"/>
  <c r="J91" i="10"/>
  <c r="F88" i="10"/>
  <c r="J88" i="10" s="1"/>
  <c r="J82" i="10"/>
  <c r="J80" i="10"/>
  <c r="F66" i="10"/>
  <c r="J66" i="10" s="1"/>
  <c r="J61" i="10"/>
  <c r="J142" i="10"/>
  <c r="J139" i="10"/>
  <c r="J138" i="10"/>
  <c r="J137" i="10"/>
  <c r="J136" i="10"/>
  <c r="J135" i="10"/>
  <c r="J134" i="10"/>
  <c r="E133" i="10"/>
  <c r="D133" i="10"/>
  <c r="F132" i="10"/>
  <c r="J132" i="10" s="1"/>
  <c r="J131" i="10"/>
  <c r="D130" i="10"/>
  <c r="J130" i="10" s="1"/>
  <c r="J129" i="10"/>
  <c r="F128" i="10"/>
  <c r="J128" i="10" s="1"/>
  <c r="J126" i="10"/>
  <c r="F125" i="10"/>
  <c r="J125" i="10" s="1"/>
  <c r="J122" i="10"/>
  <c r="J121" i="10"/>
  <c r="F120" i="10"/>
  <c r="J120" i="10" s="1"/>
  <c r="J119" i="10"/>
  <c r="F118" i="10"/>
  <c r="J118" i="10" s="1"/>
  <c r="J116" i="10"/>
  <c r="J115" i="10"/>
  <c r="J114" i="10"/>
  <c r="J113" i="10"/>
  <c r="D112" i="10"/>
  <c r="J112" i="10" s="1"/>
  <c r="J111" i="10"/>
  <c r="D110" i="10"/>
  <c r="J109" i="10"/>
  <c r="F108" i="10"/>
  <c r="J108" i="10" s="1"/>
  <c r="E107" i="10"/>
  <c r="D107" i="10"/>
  <c r="D106" i="10"/>
  <c r="J106" i="10" s="1"/>
  <c r="F105" i="10"/>
  <c r="D105" i="10"/>
  <c r="F104" i="10"/>
  <c r="J104" i="10" s="1"/>
  <c r="J103" i="10"/>
  <c r="J102" i="10"/>
  <c r="J101" i="10"/>
  <c r="E100" i="10"/>
  <c r="D100" i="10"/>
  <c r="J99" i="10"/>
  <c r="J98" i="10"/>
  <c r="D97" i="10"/>
  <c r="J97" i="10" s="1"/>
  <c r="J95" i="10"/>
  <c r="J94" i="10"/>
  <c r="F92" i="10"/>
  <c r="J92" i="10" s="1"/>
  <c r="F90" i="10"/>
  <c r="D90" i="10"/>
  <c r="J89" i="10"/>
  <c r="J87" i="10"/>
  <c r="J86" i="10"/>
  <c r="J85" i="10"/>
  <c r="E84" i="10"/>
  <c r="D84" i="10"/>
  <c r="J83" i="10"/>
  <c r="J81" i="10"/>
  <c r="J79" i="10"/>
  <c r="J78" i="10"/>
  <c r="J77" i="10"/>
  <c r="E76" i="10"/>
  <c r="D76" i="10"/>
  <c r="J75" i="10"/>
  <c r="F74" i="10"/>
  <c r="J74" i="10" s="1"/>
  <c r="I73" i="10"/>
  <c r="I144" i="10" s="1"/>
  <c r="D73" i="10"/>
  <c r="J72" i="10"/>
  <c r="J71" i="10"/>
  <c r="E70" i="10"/>
  <c r="D70" i="10"/>
  <c r="J69" i="10"/>
  <c r="J68" i="10"/>
  <c r="J67" i="10"/>
  <c r="J65" i="10"/>
  <c r="F64" i="10"/>
  <c r="J63" i="10"/>
  <c r="G60" i="10"/>
  <c r="J59" i="10"/>
  <c r="J58" i="10"/>
  <c r="J56" i="10"/>
  <c r="J55" i="10"/>
  <c r="D54" i="10"/>
  <c r="J54" i="10" s="1"/>
  <c r="J53" i="10"/>
  <c r="J52" i="10"/>
  <c r="H51" i="10"/>
  <c r="J51" i="10" s="1"/>
  <c r="J50" i="10"/>
  <c r="J48" i="10"/>
  <c r="E47" i="10"/>
  <c r="D47" i="10"/>
  <c r="H46" i="10"/>
  <c r="J46" i="10" s="1"/>
  <c r="E45" i="10"/>
  <c r="D45" i="10"/>
  <c r="J44" i="10"/>
  <c r="F43" i="10"/>
  <c r="J43" i="10" s="1"/>
  <c r="H42" i="10"/>
  <c r="F42" i="10"/>
  <c r="D41" i="10"/>
  <c r="J40" i="10"/>
  <c r="J38" i="10"/>
  <c r="E37" i="10"/>
  <c r="D37" i="10"/>
  <c r="F36" i="10"/>
  <c r="J36" i="10" s="1"/>
  <c r="J35" i="10"/>
  <c r="J33" i="10"/>
  <c r="J32" i="10"/>
  <c r="E31" i="10"/>
  <c r="D31" i="10"/>
  <c r="J30" i="10"/>
  <c r="J29" i="10"/>
  <c r="I28" i="10"/>
  <c r="F5" i="3" s="1"/>
  <c r="F46" i="3" s="1"/>
  <c r="G4" i="1" s="1"/>
  <c r="H28" i="10"/>
  <c r="D28" i="10"/>
  <c r="J27" i="10"/>
  <c r="E26" i="10"/>
  <c r="D26" i="10"/>
  <c r="J25" i="10"/>
  <c r="E24" i="10"/>
  <c r="D24" i="10"/>
  <c r="J23" i="10"/>
  <c r="J22" i="10"/>
  <c r="J21" i="10"/>
  <c r="J20" i="10"/>
  <c r="J19" i="10"/>
  <c r="F18" i="10"/>
  <c r="E18" i="10"/>
  <c r="D18" i="10"/>
  <c r="D17" i="10"/>
  <c r="J17" i="10" s="1"/>
  <c r="J16" i="10"/>
  <c r="J15" i="10"/>
  <c r="J14" i="10"/>
  <c r="I13" i="10"/>
  <c r="F13" i="10"/>
  <c r="F12" i="10"/>
  <c r="J12" i="10" s="1"/>
  <c r="J11" i="10"/>
  <c r="J10" i="10"/>
  <c r="F9" i="10"/>
  <c r="J9" i="10" s="1"/>
  <c r="J8" i="10"/>
  <c r="F7" i="10"/>
  <c r="J7" i="10" s="1"/>
  <c r="J6" i="10"/>
  <c r="E5" i="10"/>
  <c r="D5" i="10"/>
  <c r="I4" i="10"/>
  <c r="J4" i="10" s="1"/>
  <c r="F3" i="10"/>
  <c r="D3" i="10"/>
  <c r="H7" i="4" s="1"/>
  <c r="F5" i="4"/>
  <c r="G7" i="4"/>
  <c r="I65" i="8"/>
  <c r="I68" i="8"/>
  <c r="I73" i="8"/>
  <c r="I144" i="8"/>
  <c r="I148" i="8"/>
  <c r="I136" i="8"/>
  <c r="I138" i="8"/>
  <c r="I120" i="8"/>
  <c r="G3" i="4"/>
  <c r="E17" i="3"/>
  <c r="E6" i="3"/>
  <c r="E9" i="3"/>
  <c r="E10" i="3"/>
  <c r="E12" i="3"/>
  <c r="E11" i="3"/>
  <c r="E13" i="3"/>
  <c r="E14" i="3"/>
  <c r="E15" i="3"/>
  <c r="E16" i="3"/>
  <c r="E18" i="3"/>
  <c r="E19" i="3"/>
  <c r="E20" i="3"/>
  <c r="E23" i="3"/>
  <c r="E24" i="3"/>
  <c r="E27" i="3"/>
  <c r="E28" i="3"/>
  <c r="E29" i="3"/>
  <c r="E31" i="3"/>
  <c r="E36" i="3"/>
  <c r="E37" i="3"/>
  <c r="E166" i="8"/>
  <c r="E165" i="8"/>
  <c r="E160" i="8"/>
  <c r="I160" i="8" s="1"/>
  <c r="E45" i="3"/>
  <c r="G153" i="8"/>
  <c r="D20" i="2"/>
  <c r="D12" i="2"/>
  <c r="D15" i="2"/>
  <c r="D14" i="2"/>
  <c r="D16" i="2"/>
  <c r="D18" i="2"/>
  <c r="D17" i="2"/>
  <c r="D13" i="2"/>
  <c r="D11" i="2"/>
  <c r="D10" i="2"/>
  <c r="D9" i="2"/>
  <c r="D6" i="2"/>
  <c r="D8" i="2"/>
  <c r="D5" i="2"/>
  <c r="D3" i="2"/>
  <c r="I178" i="8"/>
  <c r="I181" i="8"/>
  <c r="I183" i="8"/>
  <c r="I184" i="8"/>
  <c r="I187" i="8"/>
  <c r="I190" i="8"/>
  <c r="I191" i="8"/>
  <c r="I192" i="8"/>
  <c r="I197" i="8"/>
  <c r="I199" i="8"/>
  <c r="I200" i="8"/>
  <c r="I201" i="8"/>
  <c r="I202" i="8"/>
  <c r="I206" i="8"/>
  <c r="I207" i="8"/>
  <c r="I213" i="8"/>
  <c r="I214" i="8"/>
  <c r="I215" i="8"/>
  <c r="I216" i="8"/>
  <c r="I217" i="8"/>
  <c r="I218" i="8"/>
  <c r="I220" i="8"/>
  <c r="I223" i="8"/>
  <c r="I224" i="8"/>
  <c r="I225" i="8"/>
  <c r="I226" i="8"/>
  <c r="I228" i="8"/>
  <c r="I230" i="8"/>
  <c r="I232" i="8"/>
  <c r="I234" i="8"/>
  <c r="I235" i="8"/>
  <c r="I236" i="8"/>
  <c r="I240" i="8"/>
  <c r="I241" i="8"/>
  <c r="I243" i="8"/>
  <c r="I245" i="8"/>
  <c r="I246" i="8"/>
  <c r="I247" i="8"/>
  <c r="I248" i="8"/>
  <c r="I250" i="8"/>
  <c r="I253" i="8"/>
  <c r="I254" i="8"/>
  <c r="I260" i="8"/>
  <c r="I177" i="8"/>
  <c r="I158" i="8"/>
  <c r="I162" i="8"/>
  <c r="I164" i="8"/>
  <c r="I169" i="8"/>
  <c r="I170" i="8"/>
  <c r="I171" i="8"/>
  <c r="I173" i="8"/>
  <c r="E161" i="8"/>
  <c r="I161" i="8" s="1"/>
  <c r="E156" i="8"/>
  <c r="H174" i="8"/>
  <c r="H153" i="8"/>
  <c r="F153" i="8"/>
  <c r="I152" i="8"/>
  <c r="I151" i="8"/>
  <c r="I150" i="8"/>
  <c r="I149" i="8"/>
  <c r="C147" i="8"/>
  <c r="I147" i="8" s="1"/>
  <c r="I146" i="8"/>
  <c r="I145" i="8"/>
  <c r="I143" i="8"/>
  <c r="I142" i="8"/>
  <c r="C141" i="8"/>
  <c r="I141" i="8" s="1"/>
  <c r="D140" i="8"/>
  <c r="C140" i="8"/>
  <c r="I139" i="8"/>
  <c r="D137" i="8"/>
  <c r="C137" i="8"/>
  <c r="I135" i="8"/>
  <c r="I134" i="8"/>
  <c r="I133" i="8"/>
  <c r="I132" i="8"/>
  <c r="C131" i="8"/>
  <c r="I131" i="8" s="1"/>
  <c r="E130" i="8"/>
  <c r="I130" i="8" s="1"/>
  <c r="I129" i="8"/>
  <c r="I128" i="8"/>
  <c r="I127" i="8"/>
  <c r="I126" i="8"/>
  <c r="E125" i="8"/>
  <c r="I125" i="8" s="1"/>
  <c r="I124" i="8"/>
  <c r="C123" i="8"/>
  <c r="I123" i="8" s="1"/>
  <c r="I122" i="8"/>
  <c r="I121" i="8"/>
  <c r="I119" i="8"/>
  <c r="I118" i="8"/>
  <c r="C117" i="8"/>
  <c r="I117" i="8" s="1"/>
  <c r="I116" i="8"/>
  <c r="I115" i="8"/>
  <c r="C114" i="8"/>
  <c r="I114" i="8" s="1"/>
  <c r="I113" i="8"/>
  <c r="C112" i="8"/>
  <c r="I112" i="8" s="1"/>
  <c r="I111" i="8"/>
  <c r="I110" i="8"/>
  <c r="I109" i="8"/>
  <c r="I108" i="8"/>
  <c r="I107" i="8"/>
  <c r="E106" i="8"/>
  <c r="I106" i="8" s="1"/>
  <c r="C105" i="8"/>
  <c r="I105" i="8" s="1"/>
  <c r="C104" i="8"/>
  <c r="I104" i="8" s="1"/>
  <c r="C103" i="8"/>
  <c r="I103" i="8" s="1"/>
  <c r="I102" i="8"/>
  <c r="I101" i="8"/>
  <c r="I100" i="8"/>
  <c r="I99" i="8"/>
  <c r="I98" i="8"/>
  <c r="I97" i="8"/>
  <c r="I96" i="8"/>
  <c r="D95" i="8"/>
  <c r="C95" i="8"/>
  <c r="I94" i="8"/>
  <c r="I93" i="8"/>
  <c r="C92" i="8"/>
  <c r="I92" i="8" s="1"/>
  <c r="I91" i="8"/>
  <c r="I90" i="8"/>
  <c r="I89" i="8"/>
  <c r="I88" i="8"/>
  <c r="I87" i="8"/>
  <c r="I86" i="8"/>
  <c r="I85" i="8"/>
  <c r="E84" i="8"/>
  <c r="I84" i="8" s="1"/>
  <c r="I83" i="8"/>
  <c r="D82" i="8"/>
  <c r="C82" i="8"/>
  <c r="I81" i="8"/>
  <c r="E80" i="8"/>
  <c r="I80" i="8" s="1"/>
  <c r="I79" i="8"/>
  <c r="I78" i="8"/>
  <c r="I77" i="8"/>
  <c r="I76" i="8"/>
  <c r="D75" i="8"/>
  <c r="C75" i="8"/>
  <c r="I74" i="8"/>
  <c r="I72" i="8"/>
  <c r="I71" i="8"/>
  <c r="C70" i="8"/>
  <c r="I70" i="8" s="1"/>
  <c r="I69" i="8"/>
  <c r="D67" i="8"/>
  <c r="C67" i="8"/>
  <c r="D66" i="8"/>
  <c r="C66" i="8"/>
  <c r="I64" i="8"/>
  <c r="I63" i="8"/>
  <c r="I62" i="8"/>
  <c r="D61" i="8"/>
  <c r="C61" i="8"/>
  <c r="E60" i="8"/>
  <c r="I59" i="8"/>
  <c r="I58" i="8"/>
  <c r="I57" i="8"/>
  <c r="C56" i="8"/>
  <c r="I56" i="8" s="1"/>
  <c r="I55" i="8"/>
  <c r="I54" i="8"/>
  <c r="D53" i="8"/>
  <c r="C53" i="8"/>
  <c r="I52" i="8"/>
  <c r="I51" i="8"/>
  <c r="E261" i="8"/>
  <c r="C259" i="8"/>
  <c r="I259" i="8" s="1"/>
  <c r="C258" i="8"/>
  <c r="I258" i="8" s="1"/>
  <c r="C257" i="8"/>
  <c r="I257" i="8" s="1"/>
  <c r="C256" i="8"/>
  <c r="I256" i="8" s="1"/>
  <c r="C255" i="8"/>
  <c r="I255" i="8" s="1"/>
  <c r="C252" i="8"/>
  <c r="I252" i="8" s="1"/>
  <c r="C251" i="8"/>
  <c r="I251" i="8" s="1"/>
  <c r="C249" i="8"/>
  <c r="I249" i="8" s="1"/>
  <c r="C244" i="8"/>
  <c r="I244" i="8" s="1"/>
  <c r="C242" i="8"/>
  <c r="I242" i="8" s="1"/>
  <c r="C239" i="8"/>
  <c r="I239" i="8" s="1"/>
  <c r="C238" i="8"/>
  <c r="I238" i="8" s="1"/>
  <c r="C237" i="8"/>
  <c r="I237" i="8" s="1"/>
  <c r="C233" i="8"/>
  <c r="I233" i="8" s="1"/>
  <c r="C231" i="8"/>
  <c r="I231" i="8" s="1"/>
  <c r="C229" i="8"/>
  <c r="I229" i="8" s="1"/>
  <c r="C227" i="8"/>
  <c r="I227" i="8" s="1"/>
  <c r="C222" i="8"/>
  <c r="I222" i="8" s="1"/>
  <c r="C221" i="8"/>
  <c r="I221" i="8" s="1"/>
  <c r="C219" i="8"/>
  <c r="I219" i="8" s="1"/>
  <c r="C212" i="8"/>
  <c r="I212" i="8" s="1"/>
  <c r="C211" i="8"/>
  <c r="I211" i="8" s="1"/>
  <c r="C210" i="8"/>
  <c r="I210" i="8" s="1"/>
  <c r="C209" i="8"/>
  <c r="I209" i="8" s="1"/>
  <c r="C208" i="8"/>
  <c r="I208" i="8" s="1"/>
  <c r="C205" i="8"/>
  <c r="I205" i="8" s="1"/>
  <c r="C204" i="8"/>
  <c r="I204" i="8" s="1"/>
  <c r="C203" i="8"/>
  <c r="I203" i="8" s="1"/>
  <c r="C198" i="8"/>
  <c r="I198" i="8" s="1"/>
  <c r="C196" i="8"/>
  <c r="I196" i="8" s="1"/>
  <c r="C195" i="8"/>
  <c r="I195" i="8" s="1"/>
  <c r="C194" i="8"/>
  <c r="I194" i="8" s="1"/>
  <c r="C193" i="8"/>
  <c r="I193" i="8" s="1"/>
  <c r="C189" i="8"/>
  <c r="I189" i="8" s="1"/>
  <c r="C188" i="8"/>
  <c r="I188" i="8" s="1"/>
  <c r="C186" i="8"/>
  <c r="I186" i="8" s="1"/>
  <c r="C185" i="8"/>
  <c r="I185" i="8" s="1"/>
  <c r="C182" i="8"/>
  <c r="I182" i="8" s="1"/>
  <c r="C180" i="8"/>
  <c r="I180" i="8" s="1"/>
  <c r="C179" i="8"/>
  <c r="I179" i="8" s="1"/>
  <c r="F174" i="8"/>
  <c r="C172" i="8"/>
  <c r="I172" i="8" s="1"/>
  <c r="C168" i="8"/>
  <c r="I168" i="8" s="1"/>
  <c r="C167" i="8"/>
  <c r="I167" i="8" s="1"/>
  <c r="C163" i="8"/>
  <c r="I163" i="8" s="1"/>
  <c r="C159" i="8"/>
  <c r="I159" i="8" s="1"/>
  <c r="C157" i="8"/>
  <c r="I157" i="8" s="1"/>
  <c r="F48" i="8"/>
  <c r="I47" i="8"/>
  <c r="C46" i="8"/>
  <c r="I45" i="8"/>
  <c r="C44" i="8"/>
  <c r="I44" i="8" s="1"/>
  <c r="C43" i="8"/>
  <c r="I43" i="8" s="1"/>
  <c r="I42" i="8"/>
  <c r="I41" i="8"/>
  <c r="I40" i="8"/>
  <c r="D39" i="8"/>
  <c r="C39" i="8"/>
  <c r="I38" i="8"/>
  <c r="D37" i="8"/>
  <c r="C37" i="8"/>
  <c r="I36" i="8"/>
  <c r="I35" i="8"/>
  <c r="D34" i="8"/>
  <c r="C34" i="8"/>
  <c r="E33" i="8"/>
  <c r="I33" i="8" s="1"/>
  <c r="I32" i="8"/>
  <c r="I31" i="8"/>
  <c r="I30" i="8"/>
  <c r="I29" i="8"/>
  <c r="D28" i="8"/>
  <c r="C28" i="8"/>
  <c r="I27" i="8"/>
  <c r="I26" i="8"/>
  <c r="H25" i="8"/>
  <c r="G25" i="8"/>
  <c r="C25" i="8"/>
  <c r="I24" i="8"/>
  <c r="I23" i="8"/>
  <c r="I22" i="8"/>
  <c r="D21" i="8"/>
  <c r="C21" i="8"/>
  <c r="I20" i="8"/>
  <c r="I19" i="8"/>
  <c r="I18" i="8"/>
  <c r="I17" i="8"/>
  <c r="I16" i="8"/>
  <c r="E15" i="8"/>
  <c r="I15" i="8" s="1"/>
  <c r="C14" i="8"/>
  <c r="I14" i="8" s="1"/>
  <c r="I13" i="8"/>
  <c r="I12" i="8"/>
  <c r="H11" i="8"/>
  <c r="I11" i="8" s="1"/>
  <c r="I10" i="8"/>
  <c r="I9" i="8"/>
  <c r="I8" i="8"/>
  <c r="I7" i="8"/>
  <c r="I6" i="8"/>
  <c r="I5" i="8"/>
  <c r="D4" i="8"/>
  <c r="C4" i="8"/>
  <c r="G13" i="4" s="1"/>
  <c r="H11" i="4" l="1"/>
  <c r="H19" i="4"/>
  <c r="J41" i="10"/>
  <c r="H21" i="4"/>
  <c r="H13" i="4"/>
  <c r="J110" i="10"/>
  <c r="H15" i="4"/>
  <c r="G19" i="4"/>
  <c r="F24" i="4"/>
  <c r="E5" i="1" s="1"/>
  <c r="G257" i="10"/>
  <c r="J26" i="10"/>
  <c r="J90" i="10"/>
  <c r="J42" i="10"/>
  <c r="J47" i="10"/>
  <c r="J73" i="10"/>
  <c r="J31" i="10"/>
  <c r="J45" i="10"/>
  <c r="J84" i="10"/>
  <c r="J107" i="10"/>
  <c r="J133" i="10"/>
  <c r="H60" i="10"/>
  <c r="H257" i="10" s="1"/>
  <c r="J18" i="10"/>
  <c r="J24" i="10"/>
  <c r="I60" i="10"/>
  <c r="I257" i="10" s="1"/>
  <c r="J100" i="10"/>
  <c r="E60" i="10"/>
  <c r="J13" i="10"/>
  <c r="J256" i="10"/>
  <c r="J70" i="10"/>
  <c r="E144" i="10"/>
  <c r="J37" i="10"/>
  <c r="J76" i="10"/>
  <c r="J3" i="10"/>
  <c r="F144" i="10"/>
  <c r="F60" i="10"/>
  <c r="J5" i="10"/>
  <c r="J105" i="10"/>
  <c r="J196" i="10"/>
  <c r="D60" i="10"/>
  <c r="D144" i="10"/>
  <c r="J28" i="10"/>
  <c r="J64" i="10"/>
  <c r="I165" i="8"/>
  <c r="G11" i="4"/>
  <c r="G5" i="4"/>
  <c r="G15" i="4"/>
  <c r="G21" i="4"/>
  <c r="G9" i="4"/>
  <c r="I166" i="8"/>
  <c r="D7" i="2"/>
  <c r="D4" i="2"/>
  <c r="D25" i="2" s="1"/>
  <c r="F262" i="8"/>
  <c r="E174" i="8"/>
  <c r="I156" i="8"/>
  <c r="C153" i="8"/>
  <c r="D153" i="8"/>
  <c r="I95" i="8"/>
  <c r="I82" i="8"/>
  <c r="I61" i="8"/>
  <c r="I67" i="8"/>
  <c r="I53" i="8"/>
  <c r="I66" i="8"/>
  <c r="I75" i="8"/>
  <c r="I137" i="8"/>
  <c r="I140" i="8"/>
  <c r="E153" i="8"/>
  <c r="I60" i="8"/>
  <c r="H48" i="8"/>
  <c r="H262" i="8" s="1"/>
  <c r="I34" i="8"/>
  <c r="D174" i="8"/>
  <c r="C261" i="8"/>
  <c r="I261" i="8" s="1"/>
  <c r="I21" i="8"/>
  <c r="D48" i="8"/>
  <c r="C48" i="8"/>
  <c r="I46" i="8"/>
  <c r="I4" i="8"/>
  <c r="G48" i="8"/>
  <c r="I25" i="8"/>
  <c r="I37" i="8"/>
  <c r="I39" i="8"/>
  <c r="E48" i="8"/>
  <c r="C174" i="8"/>
  <c r="I28" i="8"/>
  <c r="H7" i="1" l="1"/>
  <c r="H24" i="4"/>
  <c r="G5" i="1" s="1"/>
  <c r="G6" i="1" s="1"/>
  <c r="E257" i="10"/>
  <c r="F4" i="6" s="1"/>
  <c r="F5" i="6" s="1"/>
  <c r="G8" i="1" s="1"/>
  <c r="D257" i="10"/>
  <c r="F257" i="10"/>
  <c r="J144" i="10"/>
  <c r="J60" i="10"/>
  <c r="G262" i="8"/>
  <c r="D262" i="8"/>
  <c r="C262" i="8"/>
  <c r="E262" i="8"/>
  <c r="I174" i="8"/>
  <c r="I153" i="8"/>
  <c r="I48" i="8"/>
  <c r="E46" i="3"/>
  <c r="F4" i="1" s="1"/>
  <c r="G24" i="4"/>
  <c r="F5" i="1" s="1"/>
  <c r="D46" i="3"/>
  <c r="C46" i="3"/>
  <c r="C25" i="2"/>
  <c r="E3" i="1" s="1"/>
  <c r="G9" i="1" l="1"/>
  <c r="G7" i="1"/>
  <c r="F7" i="1"/>
  <c r="B5" i="6"/>
  <c r="E8" i="1" s="1"/>
  <c r="J257" i="10"/>
  <c r="F3" i="1"/>
  <c r="F6" i="1" s="1"/>
  <c r="I262" i="8"/>
  <c r="B46" i="3"/>
  <c r="E4" i="1" s="1"/>
  <c r="E6" i="1" s="1"/>
  <c r="E5" i="6"/>
  <c r="F8" i="1" s="1"/>
  <c r="F9" i="1" l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tc={9E7518A5-621A-40BD-8FED-7B906D33CC99}</author>
    <author>tc={560350BB-5A3D-469D-A88E-CAADA50A9948}</author>
    <author>tc={743862D9-25A4-403D-BCD7-D574916227A6}</author>
  </authors>
  <commentList>
    <comment ref="Q47" authorId="0" shapeId="0" xr:uid="{9E7518A5-621A-40BD-8FED-7B906D33CC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mês de Abril o Dr Márcio ficou sozinho na escala da Hemodinâmica.</t>
      </text>
    </comment>
    <comment ref="P54" authorId="1" shapeId="0" xr:uid="{560350BB-5A3D-469D-A88E-CAADA50A99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Pagamento RM Endoscopia Janeiro-Fevereiro,Março e Abril</t>
      </text>
    </comment>
    <comment ref="O64" authorId="2" shapeId="0" xr:uid="{743862D9-25A4-403D-BCD7-D574916227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Particular
Fevereiro R$ 213,00
Abril R$ 84,00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tc={1C6DAF7E-463C-4858-B4F2-1601CC954520}</author>
    <author>tc={0EDD74FE-62DB-4274-AFC4-BB04529C870D}</author>
  </authors>
  <commentList>
    <comment ref="Q44" authorId="0" shapeId="0" xr:uid="{1C6DAF7E-463C-4858-B4F2-1601CC954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Licença Maternidade</t>
      </text>
    </comment>
    <comment ref="Q53" authorId="1" shapeId="0" xr:uid="{0EDD74FE-62DB-4274-AFC4-BB04529C87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6.250,00 Fixo Hemodinâmica.</t>
      </text>
    </comment>
  </commentList>
</comments>
</file>

<file path=xl/sharedStrings.xml><?xml version="1.0" encoding="utf-8"?>
<sst xmlns="http://schemas.openxmlformats.org/spreadsheetml/2006/main" count="4016" uniqueCount="611">
  <si>
    <t>Bloco de Repasse</t>
  </si>
  <si>
    <t>Nome do "Grupo"</t>
  </si>
  <si>
    <t>Descrição</t>
  </si>
  <si>
    <t>Previsto
(Mensal)</t>
  </si>
  <si>
    <r>
      <rPr>
        <b/>
        <sz val="10"/>
        <color theme="1"/>
        <rFont val="Arial"/>
      </rPr>
      <t>BLOCO 01</t>
    </r>
    <r>
      <rPr>
        <sz val="10"/>
        <color theme="1"/>
        <rFont val="Arial"/>
      </rPr>
      <t xml:space="preserve">
Lideranças Hospital</t>
    </r>
  </si>
  <si>
    <t>Governança</t>
  </si>
  <si>
    <t>Salários relacionados aos cargos de lideranças (Diretoria, Gerências, Coordenadores, Referências Médicas, Médico Qualidade)</t>
  </si>
  <si>
    <t>Vida "Vegetativa"</t>
  </si>
  <si>
    <t>Salários Horizontais + Lineares Especialidades</t>
  </si>
  <si>
    <r>
      <rPr>
        <b/>
        <sz val="10"/>
        <color theme="1"/>
        <rFont val="Arial"/>
      </rPr>
      <t>BLOCO 03</t>
    </r>
    <r>
      <rPr>
        <sz val="10"/>
        <color theme="1"/>
        <rFont val="Arial"/>
      </rPr>
      <t xml:space="preserve">
Plantões</t>
    </r>
  </si>
  <si>
    <t>Valores de Plantonistas</t>
  </si>
  <si>
    <t xml:space="preserve">BLOCO 01 - Governança		</t>
  </si>
  <si>
    <t>Cargo / Função</t>
  </si>
  <si>
    <t>Diretor Médico</t>
  </si>
  <si>
    <t>Diretor Clínico</t>
  </si>
  <si>
    <t>Vice-diretor Clínico</t>
  </si>
  <si>
    <t>Gerente Médico A</t>
  </si>
  <si>
    <t>Gerente Médico B</t>
  </si>
  <si>
    <t>Coordenador Internista</t>
  </si>
  <si>
    <t>Coordenador Pediátrico</t>
  </si>
  <si>
    <t>Coordenador de Apoio</t>
  </si>
  <si>
    <t>Coordenador Materno-Infantil</t>
  </si>
  <si>
    <t>Coordenador Cirúrgico</t>
  </si>
  <si>
    <t>Médico SCIH</t>
  </si>
  <si>
    <t>Médico Qualidade / DRG</t>
  </si>
  <si>
    <t>RM Educação Continuada</t>
  </si>
  <si>
    <t>RM UTI</t>
  </si>
  <si>
    <t>RM SCIH</t>
  </si>
  <si>
    <t>RM Radiologia</t>
  </si>
  <si>
    <t>RM Hemodinâmica</t>
  </si>
  <si>
    <t>RM UIEP</t>
  </si>
  <si>
    <t>RM Agência Transfusional</t>
  </si>
  <si>
    <t>RM Endoscopia</t>
  </si>
  <si>
    <t>RM. Cirurgia Geral</t>
  </si>
  <si>
    <t>RM Ortopedia</t>
  </si>
  <si>
    <t>CUSTO</t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</si>
  <si>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B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</si>
  <si>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C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</si>
  <si>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E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</si>
  <si>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F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</si>
  <si>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G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</si>
  <si>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H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</si>
  <si>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I</t>
    </r>
  </si>
  <si>
    <r>
      <rPr>
        <sz val="10"/>
        <color theme="1"/>
        <rFont val="Arial"/>
      </rPr>
      <t xml:space="preserve">Horizontal UTI </t>
    </r>
    <r>
      <rPr>
        <b/>
        <sz val="10"/>
        <color theme="1"/>
        <rFont val="Arial"/>
      </rPr>
      <t>A</t>
    </r>
  </si>
  <si>
    <t>-</t>
  </si>
  <si>
    <r>
      <rPr>
        <sz val="10"/>
        <color theme="1"/>
        <rFont val="Arial"/>
      </rPr>
      <t xml:space="preserve">Horizontal UTI </t>
    </r>
    <r>
      <rPr>
        <b/>
        <sz val="10"/>
        <color theme="1"/>
        <rFont val="Arial"/>
      </rPr>
      <t>B</t>
    </r>
  </si>
  <si>
    <r>
      <rPr>
        <sz val="10"/>
        <color theme="1"/>
        <rFont val="Arial"/>
      </rPr>
      <t xml:space="preserve">Horizontal UTI </t>
    </r>
    <r>
      <rPr>
        <b/>
        <sz val="10"/>
        <color theme="1"/>
        <rFont val="Arial"/>
      </rPr>
      <t>C</t>
    </r>
  </si>
  <si>
    <r>
      <rPr>
        <sz val="10"/>
        <color theme="1"/>
        <rFont val="Arial"/>
      </rPr>
      <t xml:space="preserve">Horizontal UTI </t>
    </r>
    <r>
      <rPr>
        <b/>
        <sz val="10"/>
        <color theme="1"/>
        <rFont val="Arial"/>
      </rPr>
      <t>D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</si>
  <si>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>A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</si>
  <si>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>B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</si>
  <si>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>C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</si>
  <si>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 xml:space="preserve">E </t>
    </r>
    <r>
      <rPr>
        <i/>
        <sz val="10"/>
        <color theme="1"/>
        <rFont val="Arial"/>
      </rPr>
      <t>(Linear)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</si>
  <si>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 xml:space="preserve">F </t>
    </r>
    <r>
      <rPr>
        <i/>
        <sz val="10"/>
        <color theme="1"/>
        <rFont val="Arial"/>
      </rPr>
      <t>(Linear)</t>
    </r>
  </si>
  <si>
    <t>Horizontal UIEP</t>
  </si>
  <si>
    <t>Médico Cardiologista (1/3)</t>
  </si>
  <si>
    <t>Médico Cirurgia Vascular</t>
  </si>
  <si>
    <t>Médico Nutrologia A</t>
  </si>
  <si>
    <t>Médico Nutrologia B</t>
  </si>
  <si>
    <r>
      <rPr>
        <sz val="10"/>
        <color theme="1"/>
        <rFont val="Arial"/>
      </rPr>
      <t xml:space="preserve">Médico Hemodinamicista </t>
    </r>
    <r>
      <rPr>
        <b/>
        <sz val="10"/>
        <color theme="1"/>
        <rFont val="Arial"/>
      </rPr>
      <t>A</t>
    </r>
  </si>
  <si>
    <r>
      <rPr>
        <sz val="10"/>
        <color theme="1"/>
        <rFont val="Arial"/>
      </rPr>
      <t xml:space="preserve">Médico Hemodinamicista </t>
    </r>
    <r>
      <rPr>
        <b/>
        <sz val="10"/>
        <color theme="1"/>
        <rFont val="Arial"/>
      </rPr>
      <t>B</t>
    </r>
  </si>
  <si>
    <t>Cirurgião Dentista Buco Maxilo / Odontologia Hospitalar</t>
  </si>
  <si>
    <t>CUSTO PREVISTO</t>
  </si>
  <si>
    <t>EXECUTADO</t>
  </si>
  <si>
    <t>Modalidade</t>
  </si>
  <si>
    <t>Número Consultas
(Indexador)</t>
  </si>
  <si>
    <t>Escala "Janela"</t>
  </si>
  <si>
    <t>07 (Especial)</t>
  </si>
  <si>
    <t>Sobreaviso</t>
  </si>
  <si>
    <t>Plantão 24h</t>
  </si>
  <si>
    <t>Sobreaviso 24h</t>
  </si>
  <si>
    <t>Cinderela</t>
  </si>
  <si>
    <t>12 + 4 + 8</t>
  </si>
  <si>
    <r>
      <rPr>
        <sz val="10"/>
        <color theme="1"/>
        <rFont val="Arial"/>
      </rPr>
      <t xml:space="preserve">Ortopedia </t>
    </r>
    <r>
      <rPr>
        <b/>
        <sz val="10"/>
        <color theme="1"/>
        <rFont val="Arial"/>
      </rPr>
      <t>A</t>
    </r>
  </si>
  <si>
    <r>
      <rPr>
        <sz val="10"/>
        <color theme="1"/>
        <rFont val="Arial"/>
      </rPr>
      <t xml:space="preserve">Ortopedia </t>
    </r>
    <r>
      <rPr>
        <b/>
        <sz val="10"/>
        <color theme="1"/>
        <rFont val="Arial"/>
      </rPr>
      <t>B</t>
    </r>
  </si>
  <si>
    <t>Profissionais</t>
  </si>
  <si>
    <t>Resumo Pagamentos - janeiro/2025</t>
  </si>
  <si>
    <t>COOPERADOS VIA ICDS</t>
  </si>
  <si>
    <t>MÉDICO</t>
  </si>
  <si>
    <t>TIPO PLANTÃO</t>
  </si>
  <si>
    <t>PLANTÃO (PISO)</t>
  </si>
  <si>
    <t>PLANTÃO (CONSULTA EXCEDENTE)</t>
  </si>
  <si>
    <t>PROD. OUTROS CONV.</t>
  </si>
  <si>
    <t>PARTICULAR</t>
  </si>
  <si>
    <t>GOVERNANÇA</t>
  </si>
  <si>
    <t>SALÁRIO FIXO</t>
  </si>
  <si>
    <t>TOTAL</t>
  </si>
  <si>
    <t xml:space="preserve">ALTAIR DE PAULA VARGAS JUNIOR	</t>
  </si>
  <si>
    <t>ORTOPEDIA</t>
  </si>
  <si>
    <t>ALYSSON CAMPOS</t>
  </si>
  <si>
    <t xml:space="preserve"> </t>
  </si>
  <si>
    <t xml:space="preserve">ANTONIO GUILHERME DA SILVA P. CARVALHO	</t>
  </si>
  <si>
    <t>UTI</t>
  </si>
  <si>
    <t>ARTHUR ANDRADE ALVES</t>
  </si>
  <si>
    <t>GO</t>
  </si>
  <si>
    <t>BENICIA SARA RODRIGUES SALINAS</t>
  </si>
  <si>
    <t>PEDIATRIA</t>
  </si>
  <si>
    <t xml:space="preserve">BRUNO NACIF BASTOS DIAS	</t>
  </si>
  <si>
    <t>CARLOS HENRIQUE DA SILVA ALVES</t>
  </si>
  <si>
    <t>CAROLINA DINIZ</t>
  </si>
  <si>
    <t>CONSUELO SCHETTINO</t>
  </si>
  <si>
    <t>CRISTIANO DE PINHO TAVARES</t>
  </si>
  <si>
    <t>DANIEL GLÓRIA</t>
  </si>
  <si>
    <t>DANILO JOSÉ VIEIRA</t>
  </si>
  <si>
    <t>CIRURGIA</t>
  </si>
  <si>
    <t>DOUGLAS SUHETT</t>
  </si>
  <si>
    <t>ENDOSCOPIA</t>
  </si>
  <si>
    <t>EDUARDO CARVALHIDO</t>
  </si>
  <si>
    <t>ÉRICO RIBEIRO</t>
  </si>
  <si>
    <t>EUGÊNIO BRAZ CORREA</t>
  </si>
  <si>
    <t>ANESTESISTAS (SAHU)</t>
  </si>
  <si>
    <t>ANESTESIA</t>
  </si>
  <si>
    <t>FELIPE COELHO SOARES</t>
  </si>
  <si>
    <t>CLINICA</t>
  </si>
  <si>
    <t>FERNANDA ASSIS</t>
  </si>
  <si>
    <t>GEORGE WAGNER</t>
  </si>
  <si>
    <t>GUILHERME CAMARGO THOMÉ</t>
  </si>
  <si>
    <t>GUILHERME MENDES</t>
  </si>
  <si>
    <t>GUILHERME VITOI ROSA</t>
  </si>
  <si>
    <t>HATEM HOMAIDAN</t>
  </si>
  <si>
    <t>ISAIAS DE ASSIS</t>
  </si>
  <si>
    <t>JANE DÉBORA</t>
  </si>
  <si>
    <t>JOSÉ DO CARMO</t>
  </si>
  <si>
    <t>JUNEA GARCIA</t>
  </si>
  <si>
    <t>KAMILA COELHO</t>
  </si>
  <si>
    <t>LETHICIA SILVA</t>
  </si>
  <si>
    <t>LIVIA REIS</t>
  </si>
  <si>
    <t>LUIS PAULO ALVES</t>
  </si>
  <si>
    <t>MICHELINE VIEIRA</t>
  </si>
  <si>
    <t>NATHÁLIA CRISTINA</t>
  </si>
  <si>
    <t>PATRICIA FERRAZ</t>
  </si>
  <si>
    <t>PATRICK FONTES</t>
  </si>
  <si>
    <t>RINARA GROSSI</t>
  </si>
  <si>
    <t>SILVIA MIRANDA</t>
  </si>
  <si>
    <t>TAMILLIS GUIDI</t>
  </si>
  <si>
    <t>WAISMAN BASTOS</t>
  </si>
  <si>
    <t>WALTER PETTERSEN</t>
  </si>
  <si>
    <t>WALTHON PEREIRA</t>
  </si>
  <si>
    <t xml:space="preserve">WRGELLES GODINHO </t>
  </si>
  <si>
    <t xml:space="preserve">YASMIN DIAS </t>
  </si>
  <si>
    <t>COOPERADOS VIA UNIMED</t>
  </si>
  <si>
    <t>MÉDICO(A)</t>
  </si>
  <si>
    <t>PLANTÕES</t>
  </si>
  <si>
    <t>AMIM SOUZA FELIPE DA SILVA</t>
  </si>
  <si>
    <t>ANA PAULA PINHO SANTOS</t>
  </si>
  <si>
    <t>ANDERSON LUIZ SILVA CARVALHO</t>
  </si>
  <si>
    <t>ANDERSON PEREIRA DOS SANTOS</t>
  </si>
  <si>
    <t>ANDRÉ CUSTÓDIO DE MATTOS</t>
  </si>
  <si>
    <t>ARTHUR DINIZ DRUMOND RAMOS</t>
  </si>
  <si>
    <t>ARTHUR ROSADO DE QUEIROZ</t>
  </si>
  <si>
    <t>BRUNO MORAIS CAMPOS</t>
  </si>
  <si>
    <t>BRUNO NACIF BASTOS DIAS</t>
  </si>
  <si>
    <t>CARLOS EDUARDO DE MIRANDA PIMENTEL</t>
  </si>
  <si>
    <t>CARLOS FILIPE TEIXEIRA BARROS</t>
  </si>
  <si>
    <t>CARLOS HENRIQUE FIGUEIREDO FONTES</t>
  </si>
  <si>
    <t>CARLOS MAGNO ALVARENGA SIMOES FILHO</t>
  </si>
  <si>
    <t>CARLOS NOGUEIRA PIRES</t>
  </si>
  <si>
    <t>CAROLINA SALES CARLOS</t>
  </si>
  <si>
    <t>CELIO FERREIRA MAGALHAES</t>
  </si>
  <si>
    <t>CESAR DE TASSIS</t>
  </si>
  <si>
    <t>CICERO MORAES</t>
  </si>
  <si>
    <t>CRISLENE MENDONÇA QUEIROZ FEITOSA</t>
  </si>
  <si>
    <t>DAN ALVES PEREIRA</t>
  </si>
  <si>
    <t>DANIEL ELIAS COELHO ARGOLO</t>
  </si>
  <si>
    <t>DANILO DIAS VIANA</t>
  </si>
  <si>
    <t>DELMO MOURA SA JUNIOR</t>
  </si>
  <si>
    <t>DEODORO GONCALVES</t>
  </si>
  <si>
    <t>DINALDO DE OLIVEIRA</t>
  </si>
  <si>
    <t>DOGAIR SALVADORA BRITO</t>
  </si>
  <si>
    <t>DOMICIO ANTONIO DA COSTA JUNIOR</t>
  </si>
  <si>
    <t>EDVANA MARIA CLARA FLORENCIO</t>
  </si>
  <si>
    <t>ELAINE ROSA ARRUDA DE PAULA</t>
  </si>
  <si>
    <t>ELIA TOLEDO PITANGA DOS SANTOS</t>
  </si>
  <si>
    <t>EMANUEL CEZAR NUNES MAGALHAES</t>
  </si>
  <si>
    <t>ERLON LUIZ DE MANACES</t>
  </si>
  <si>
    <t>EUGENIO BRAZ CORREA</t>
  </si>
  <si>
    <t>EVANDRO ABRANTES CORDEIRO</t>
  </si>
  <si>
    <t>FELIPE OTAVIO CHAVES DUARTE</t>
  </si>
  <si>
    <t>GUILHERME VITOI ROSA NOMINATO</t>
  </si>
  <si>
    <t>GRIMALDO SILVA DE PAULA</t>
  </si>
  <si>
    <t>HATEM HOMAIDAN FILHO</t>
  </si>
  <si>
    <t>HOMERO AFONSO DE MAGALHAES</t>
  </si>
  <si>
    <t>IGNEZ CRISTINA SANTOS NETTO</t>
  </si>
  <si>
    <t>JESSICA LEARDINI ZAMBONI</t>
  </si>
  <si>
    <t>JOSE BEZERRA NOGUEIRA</t>
  </si>
  <si>
    <t>JOSELMA MOFARREG DA COSTA</t>
  </si>
  <si>
    <t>JOSE MARIA BRAGA NETO</t>
  </si>
  <si>
    <t>LORENA FERNANDES MELO</t>
  </si>
  <si>
    <t>LUCIANA TAVARES DE MOURA ESTEVAO</t>
  </si>
  <si>
    <t>LUCIANO ANDREY FERREIRA BICALHO</t>
  </si>
  <si>
    <t>LUCIANO DE OLIVEIRA E SILVA</t>
  </si>
  <si>
    <t>LUIZ GUILHERME VIEIRA DA ROCHA</t>
  </si>
  <si>
    <t>LUIZ PAULO MONTEIRO SANTOS</t>
  </si>
  <si>
    <t>LUIZA TOLEDO SOARES</t>
  </si>
  <si>
    <t>MARCIO AVELAR DE ANDRADE</t>
  </si>
  <si>
    <t>MARCELO HENRIQUE MACIEL ABREU</t>
  </si>
  <si>
    <t>MARCELO MELO DE OLIVEIRA</t>
  </si>
  <si>
    <t>MARCELO SIMOES BIANCHINI</t>
  </si>
  <si>
    <t>MARCELO WILSON DE PAULA COELHO</t>
  </si>
  <si>
    <t>MARCONE MAGALHAES FILHO</t>
  </si>
  <si>
    <t>MARCONI DE OLIVEIRA RUAS</t>
  </si>
  <si>
    <t>MARCOS WAGNER RODRIGUES GONCALVES</t>
  </si>
  <si>
    <t>MARCUS FLAVIO CARVALHO E CARVALHO</t>
  </si>
  <si>
    <t>MARIANA DE OLIVEIRA R. MACHADO CORTES</t>
  </si>
  <si>
    <t>MARIA APARECIDA LEAL CHAVES</t>
  </si>
  <si>
    <t>MARIA BERNADETE NEVES</t>
  </si>
  <si>
    <t>MARIA ELIZABETH DE AMORIM FREITAS</t>
  </si>
  <si>
    <t>MARILENE SILVEIRA DUARTE</t>
  </si>
  <si>
    <t>MARILIA DA CONCEICAO PEREIRA DOS A. MACIEL</t>
  </si>
  <si>
    <t>MARILIA SIMOES BIANCHINI</t>
  </si>
  <si>
    <t>MARILIA PENA VIANA</t>
  </si>
  <si>
    <t>MARIO MANOEL DE SOUZA</t>
  </si>
  <si>
    <t xml:space="preserve"> ANESTESIA</t>
  </si>
  <si>
    <t>MIGUEL BATISTA PEREIRA GOMES NASCIMENTO</t>
  </si>
  <si>
    <t>NATALIA DE ANDRADE MACHADO</t>
  </si>
  <si>
    <t>PAULO ROBERTO RODRIGUES BICALHO</t>
  </si>
  <si>
    <t>PEDRO DINIZ DRUMOND RAMOS</t>
  </si>
  <si>
    <t>POLIANA DE ASSIS FARAJ</t>
  </si>
  <si>
    <t>POLÍBIO GUEDES FERREIRA LOPES</t>
  </si>
  <si>
    <t>POLLIANA DE PAULA JUNQUEIRA CARVALHIDO</t>
  </si>
  <si>
    <t>PRISCILA PIMENTEL BERNO</t>
  </si>
  <si>
    <t>RAMON PRADO DE ANDRADE</t>
  </si>
  <si>
    <t>RIANE AXER BORGES GOMES</t>
  </si>
  <si>
    <t>RICARDO SACRAMENTO DE ANDRADE</t>
  </si>
  <si>
    <t>RODRIGO DE PAULA DOYLE MAIA</t>
  </si>
  <si>
    <t>RODRIGO DIAS GODINHO</t>
  </si>
  <si>
    <t>ROMEO LAGES SIMOES</t>
  </si>
  <si>
    <t xml:space="preserve">RONALD DE MELO COSTA    </t>
  </si>
  <si>
    <t>RONI DA SILVA OLIVEIRA</t>
  </si>
  <si>
    <t>ROSANE GOMES RODRIGUES CHAGAS</t>
  </si>
  <si>
    <t>ROSILEA DA CUNHA DE SOUZA</t>
  </si>
  <si>
    <t>RUBIA CARLA DA SILVA LANES</t>
  </si>
  <si>
    <t>SAMUEL RODRIGUES DE FARIA</t>
  </si>
  <si>
    <t>SEBASTIAO FONTES SANTIAGO</t>
  </si>
  <si>
    <t>SERGIO DE OLIVEIRA CALIL</t>
  </si>
  <si>
    <t>SILLAS MOURAO PINTO</t>
  </si>
  <si>
    <t>SILVIA LIMA DUARTE BERMAN</t>
  </si>
  <si>
    <t>SILVIA MIRANDA DE ANDRADE</t>
  </si>
  <si>
    <t>SILVIA MARIA DE BARROS CORDEIRO</t>
  </si>
  <si>
    <t>SONIA CRISTINA SILVA</t>
  </si>
  <si>
    <t>TALLYS CAMPOS VIEIRA</t>
  </si>
  <si>
    <t>VANESSA BRANDAO DE SOUZA</t>
  </si>
  <si>
    <t>WALQUIRIA DO NASCIMENTO SOARES DE PAULA</t>
  </si>
  <si>
    <t xml:space="preserve">WILDER TEIXEIRA </t>
  </si>
  <si>
    <t>WILSON LUIZ MORLIM PEREIRA</t>
  </si>
  <si>
    <t>YASMIN MARIA MOURA BATISTA PEREIRA</t>
  </si>
  <si>
    <t>CONTRATADOS</t>
  </si>
  <si>
    <t>PRODUÇÃO</t>
  </si>
  <si>
    <t>ALEX SANDRO</t>
  </si>
  <si>
    <t>ANDRESSA BRANDÃO</t>
  </si>
  <si>
    <t>BRUNO CARDOZO (USG)</t>
  </si>
  <si>
    <t>USG</t>
  </si>
  <si>
    <t>BRUNO CARDOZO (TC+RX)</t>
  </si>
  <si>
    <t>BUCOMAXILOS (IBMF)</t>
  </si>
  <si>
    <t>DANIEL BALDOW</t>
  </si>
  <si>
    <t>FABIO WARLEN</t>
  </si>
  <si>
    <t>FARLEY DE SOUZA</t>
  </si>
  <si>
    <t>GUILHERME ARAÚJO USG</t>
  </si>
  <si>
    <t>GUILHERME ARAÚJO (RM;RX;TC)</t>
  </si>
  <si>
    <t>HENRIQUE DUPIN</t>
  </si>
  <si>
    <t>HUGO SILVEIRA</t>
  </si>
  <si>
    <t>MARCELA GONTIJO</t>
  </si>
  <si>
    <t>RACHEL ROANA</t>
  </si>
  <si>
    <t>RAISSA FERREIRA</t>
  </si>
  <si>
    <t>RODRIGO AMARAL</t>
  </si>
  <si>
    <t>WILSON FERREIRA</t>
  </si>
  <si>
    <t>PAGAMENTO VIA RCS</t>
  </si>
  <si>
    <t>PLANTÃO</t>
  </si>
  <si>
    <t>ALESSANDRO CLEMENTINO DA SILVA</t>
  </si>
  <si>
    <t>AFONSO SCHULTZ DE SOUZA</t>
  </si>
  <si>
    <t>AGDA LOUISE CARDOSO MALTA</t>
  </si>
  <si>
    <t>AMINE SAMMARA</t>
  </si>
  <si>
    <t>ANA BEATRIZ ROCHA COPPOLI</t>
  </si>
  <si>
    <t>ANA CLAUDIA JANN SCHREIBER</t>
  </si>
  <si>
    <t>ANA LUISA ZIMMERER GUIMARAES</t>
  </si>
  <si>
    <t>ANA LUIZA DUARTE AZEVEDO</t>
  </si>
  <si>
    <t>ANA PAULA DE SOUZA CUNHA</t>
  </si>
  <si>
    <t>ANDRE AMBROSIO PIRES OLIVEIRA</t>
  </si>
  <si>
    <t>ANDRE MENDES DE VASCONCELLOS</t>
  </si>
  <si>
    <t>ARNALDO ALMEIDA RODRIGUES JUNIOR</t>
  </si>
  <si>
    <t>ARTHUR MOUGARREG DA COSTA</t>
  </si>
  <si>
    <t>ARTUR MARTINS RIBEIRO</t>
  </si>
  <si>
    <t>AYLANNE BARCELOS DE SOUZA</t>
  </si>
  <si>
    <t>BARBARA CANDIDA ALVES PEREIRA DE ARRUDA</t>
  </si>
  <si>
    <t>BERNARDO CORREA GRACIOLLI DE ASSIS</t>
  </si>
  <si>
    <t>CAIO LOPES DE SOUZA SA</t>
  </si>
  <si>
    <t>CARLOS HENRIQUE QUINTAO VALERIANO</t>
  </si>
  <si>
    <t>CIRO RAFAEL VIEIRA GONTIJO</t>
  </si>
  <si>
    <t>CLAUDIO HENRIQUE MAGALHAES ARANHA</t>
  </si>
  <si>
    <t>CLARA COSTA LEITE</t>
  </si>
  <si>
    <t>DOUGLAS MERLINI</t>
  </si>
  <si>
    <t>ELIANARA TAVARES MARTINS</t>
  </si>
  <si>
    <t>ESTER PIFANO</t>
  </si>
  <si>
    <t>FERNANDA DA CUNHA MARTINS</t>
  </si>
  <si>
    <t>FERNANDO FERREIRA DE CARVALHO</t>
  </si>
  <si>
    <t>FERNANDO GONCALVES DOS REIS</t>
  </si>
  <si>
    <t>GABRIELLE FARIAS DE FREITAS</t>
  </si>
  <si>
    <t>GRASIELA ALVES</t>
  </si>
  <si>
    <t>GUILHERME DE MATOS MAIA</t>
  </si>
  <si>
    <t>GUILHERME VAZ DE MELO MOTA</t>
  </si>
  <si>
    <t>GUSTAVO HENRIQUE LIRA</t>
  </si>
  <si>
    <t>HUDSON OLIVEIRA FREITAS</t>
  </si>
  <si>
    <t>ICARO FARIA PERON</t>
  </si>
  <si>
    <t>IGOR ANTONIO CARDOSO</t>
  </si>
  <si>
    <t>IGOR VELAME BRIGE</t>
  </si>
  <si>
    <t>ISAAC ABU KAMEL MARQUES DE OLIVEIRA</t>
  </si>
  <si>
    <t>ISADORA COUTO</t>
  </si>
  <si>
    <t>IVAN MAGALHAES VIANA</t>
  </si>
  <si>
    <t>JAMILLE ELLER ANDRADE BATISTA</t>
  </si>
  <si>
    <t>JOAO PEDRO SOREIRA</t>
  </si>
  <si>
    <t>JULIANA MOREIRA DE QUEIROZ</t>
  </si>
  <si>
    <t>KAROLINE FERNANDES</t>
  </si>
  <si>
    <t>KENNEDY SANTOS FONSECA</t>
  </si>
  <si>
    <t>LAIS JUBE SANCHES ZANZONI</t>
  </si>
  <si>
    <t>LAYLA LUIZA SILVEIRA</t>
  </si>
  <si>
    <t>LEILA DE SOUZA FRAGA</t>
  </si>
  <si>
    <t>LEONARDO WARISS</t>
  </si>
  <si>
    <t>LIDIA VILARINO SALGADO</t>
  </si>
  <si>
    <t>LILIAM MURTA BRETAS</t>
  </si>
  <si>
    <t>LORENA QUARESMA PEREIRA</t>
  </si>
  <si>
    <t>LUIZA MOURA CARRARO</t>
  </si>
  <si>
    <t>LUIZ ANDRE FERREIRA MOTA</t>
  </si>
  <si>
    <t>MARCELO DE ANDRADE CARDOSO</t>
  </si>
  <si>
    <t>MARCIO BEVILAQUA LACERDA</t>
  </si>
  <si>
    <t>MARCUS FELIPE LORDES FERREIRA MATOS</t>
  </si>
  <si>
    <t>MARIANNA DA SILVA PAES NETO</t>
  </si>
  <si>
    <t>MARIELLE MUNIZ MONTEIRO</t>
  </si>
  <si>
    <t>MATHEUS ALBERTO NUNES LOPES</t>
  </si>
  <si>
    <t>NATALIA VAZ COELHO</t>
  </si>
  <si>
    <t>OLIVIA VIAL</t>
  </si>
  <si>
    <t>PIERA CHAVES TERRA</t>
  </si>
  <si>
    <t>PRISCILA VALERIA VELLOSO</t>
  </si>
  <si>
    <t>RAFAEL CAMPOS DE ASSIS</t>
  </si>
  <si>
    <t>RAFAEL HENRIQUE RODRIGUES DE SOUSA</t>
  </si>
  <si>
    <t>RAINE RAMALHO</t>
  </si>
  <si>
    <t>RENAN MAGRO FERREIRA</t>
  </si>
  <si>
    <t>RICARDO DE OLIVEIRA RODRIGUES</t>
  </si>
  <si>
    <t>ROBERTO HAIKAL XAVIER</t>
  </si>
  <si>
    <t>SAMLLA PEDREIRA STEIN</t>
  </si>
  <si>
    <t>SILVIA MENEZES DE SOUZA</t>
  </si>
  <si>
    <t>STHEFANIE FERREIRA CAIRES AGUIAR</t>
  </si>
  <si>
    <t>THAIS SANTOS RODRIGUES</t>
  </si>
  <si>
    <t>THAMIRIS FERNANDES DA SILVA</t>
  </si>
  <si>
    <t>TIAGO NUNES GOMES</t>
  </si>
  <si>
    <t>TITO LIVIO DE OLIVEIRA BARROS</t>
  </si>
  <si>
    <t>THIAGO SANTIAGO FERREIRA</t>
  </si>
  <si>
    <t>VINICIUS QUEIROZ SILVA E SOUZA</t>
  </si>
  <si>
    <t>VICTOR FERREIRA COELHO</t>
  </si>
  <si>
    <t>VITOR LARA FELICIO</t>
  </si>
  <si>
    <t>VITORIA MILLENA MOREIRA FERREIRA</t>
  </si>
  <si>
    <t>YANA ALVARENGA</t>
  </si>
  <si>
    <t>YZAMARA DUTRA</t>
  </si>
  <si>
    <t>SOCORRISTA</t>
  </si>
  <si>
    <t>EMERGENCIA</t>
  </si>
  <si>
    <t>750 dia</t>
  </si>
  <si>
    <t>1000 dia</t>
  </si>
  <si>
    <t>KAMILA COELHO SALGADO BARBOSA</t>
  </si>
  <si>
    <t>ISAIAS DE ASSIS NEVES</t>
  </si>
  <si>
    <t>GUILHERME MENDES DE OLIVEIRA COSTA</t>
  </si>
  <si>
    <t>JOSÉ DO CARMO FILHO</t>
  </si>
  <si>
    <t>FABRICIO PORTILHO SILVA MAGALHAES</t>
  </si>
  <si>
    <t>PATRICK FONTES DE OLIVEIRA</t>
  </si>
  <si>
    <t>PATRICIA FERRAZ MARTINS</t>
  </si>
  <si>
    <t>CAROLINA DINIZ DE PAULA COELHO</t>
  </si>
  <si>
    <t>ALCIDES LOPES JUNIOR</t>
  </si>
  <si>
    <t>CELMIR LIMA DORNELAS</t>
  </si>
  <si>
    <t>CRISTIANO RAMOS MONTE ALTO</t>
  </si>
  <si>
    <t>FILIPE OTAVIO CHAVES DUARTE</t>
  </si>
  <si>
    <t>JUNEA GARCIA DE OLIVEIRA FERRARI</t>
  </si>
  <si>
    <t>MARILIA DA CONCEICAO PEREIRA DOS ANJOS MACIEL</t>
  </si>
  <si>
    <t>NILO SERGIO NOMINATO</t>
  </si>
  <si>
    <t>RICARDO MARCIO MORAIS</t>
  </si>
  <si>
    <t>RODRIGO MARCIO MORAIS</t>
  </si>
  <si>
    <t>THIAGO ALESSI RABELO MARINHO</t>
  </si>
  <si>
    <t>DANILO JOSÉ VIEIRA DA SILVA</t>
  </si>
  <si>
    <t>JANE DEBORA NUNES LOPES</t>
  </si>
  <si>
    <t>LETHICIA SILVA DE SÃO JOAQUIM</t>
  </si>
  <si>
    <t>LIVIA REIS GODINHO</t>
  </si>
  <si>
    <t>LUIS PAULO ALVES GOMES</t>
  </si>
  <si>
    <t>MICHELINE VIEIRA RIBEIRO</t>
  </si>
  <si>
    <t>RINARA GROSSI ROCHA</t>
  </si>
  <si>
    <t>TAMILLIS GUIDI VENTURIM</t>
  </si>
  <si>
    <t>WAISMAN TOLEDO BASTOS</t>
  </si>
  <si>
    <t>WALTER PETTERSEN JUNIOR</t>
  </si>
  <si>
    <t>WALTHON PEREIRA MIRANDA JUNIOR</t>
  </si>
  <si>
    <t>WRGELLES GODINHO BORDONE PIRES</t>
  </si>
  <si>
    <t>YASMIN DIAS NETTO ALVES GUEDES</t>
  </si>
  <si>
    <t>*ANESTESISTAS (SAHU)</t>
  </si>
  <si>
    <t>NATHÁLIA CRISTINA PIMENTA VIEIRA VIANA</t>
  </si>
  <si>
    <t xml:space="preserve">JOSELMA MOUFARREG </t>
  </si>
  <si>
    <t>*ANESTESISTAS (SAHU) NÃO COOPERADOS</t>
  </si>
  <si>
    <t>*BUCOMAXILOS (IBMF)</t>
  </si>
  <si>
    <t>*BRUNO CARDOZO LIMA (USG)</t>
  </si>
  <si>
    <t>*BRUNO CARDOZO LIMA (TC+RX)</t>
  </si>
  <si>
    <t>*GUILHERME ARAÚJO MARQUES (USG)</t>
  </si>
  <si>
    <t>*GUILHERME ARAÚJO MARQUES (RM+TC+RX)</t>
  </si>
  <si>
    <t>ADERITO JOSE FERNANDO</t>
  </si>
  <si>
    <t>ALEX SANDRO GUSMAO DE OLIVEIRA</t>
  </si>
  <si>
    <t>ALVARO HENRIQUE CORREIA DA SILVA BARCELLOS</t>
  </si>
  <si>
    <t>AMINE SAMMARA SIMOES DE MELLO</t>
  </si>
  <si>
    <t>ANA LIVIA RODRIGUES RAMOS</t>
  </si>
  <si>
    <t>ANA LUISA ZIMMERER GUIMARAES AMARAL</t>
  </si>
  <si>
    <t>ANDRESSA BRANDÃO MARTHON</t>
  </si>
  <si>
    <t>ARTHUR MOUFARREG DA COSTA</t>
  </si>
  <si>
    <t>AYLA NAZARETH CUNHA MASCARENHAS LOMANTO</t>
  </si>
  <si>
    <t>CAMILA BORBA PEREIRA</t>
  </si>
  <si>
    <t xml:space="preserve">CLARA MATOS DE ABREU </t>
  </si>
  <si>
    <t>DANIEL RAMINHO BALDOW</t>
  </si>
  <si>
    <t>DIEGO DE CARVALHO SCHENATTO</t>
  </si>
  <si>
    <t>ESTHER PIFANO BOECHAT</t>
  </si>
  <si>
    <t>FERNANDO GONCALVES DOS REIS JUNIOR</t>
  </si>
  <si>
    <t>GUILHERME OTAIR SILVEIRA AZEVEDO</t>
  </si>
  <si>
    <t xml:space="preserve">GUSTAVO HENRIQUE LIRA CAZELLI </t>
  </si>
  <si>
    <t>HEBER PINTO DE MATTOS</t>
  </si>
  <si>
    <t>HENRIQUE DUPIN BARROSO MOURAO</t>
  </si>
  <si>
    <t xml:space="preserve">HUDSON OLIVEIRA FREITAS </t>
  </si>
  <si>
    <t>HUGO SILVEIRA GONCALVES</t>
  </si>
  <si>
    <t xml:space="preserve">ICARO FARIA PERON </t>
  </si>
  <si>
    <t xml:space="preserve">IGOR ANTONIO CARDOSO DIAS MALTA </t>
  </si>
  <si>
    <t>IGOR FARAGO JARDIM</t>
  </si>
  <si>
    <t>IVAN MAGALHÃES VIANA</t>
  </si>
  <si>
    <t xml:space="preserve">JENNYFER PEREIRA FLOR </t>
  </si>
  <si>
    <t>JOÃO PEDRO SOBREIRA MENDONÇA</t>
  </si>
  <si>
    <t>JONATAS TEIXEIRA SANTOS</t>
  </si>
  <si>
    <t xml:space="preserve">JULIANA MOREIRA DE QUEIROZ </t>
  </si>
  <si>
    <t xml:space="preserve">LAYLA LUIZA SILVEIRA </t>
  </si>
  <si>
    <t xml:space="preserve">LEILA DE SOUZA FRAGA </t>
  </si>
  <si>
    <t>LEONARDO WARRIS PENA</t>
  </si>
  <si>
    <t xml:space="preserve">LILIAM MURTA BRETAS </t>
  </si>
  <si>
    <t xml:space="preserve">LUIZA JUNQUEIRA DE MIRANDA </t>
  </si>
  <si>
    <t xml:space="preserve">LUIZ ANDRÉ FERREIRA MOTA </t>
  </si>
  <si>
    <t xml:space="preserve">LUIZA MOURA CARRARO </t>
  </si>
  <si>
    <t xml:space="preserve">MARCELO DE ANDRADE CARDOSO </t>
  </si>
  <si>
    <t xml:space="preserve">MARCIO BEVILAQUA LACERDA </t>
  </si>
  <si>
    <t xml:space="preserve">MARCOS GERALDO MEIRA </t>
  </si>
  <si>
    <t xml:space="preserve">MARCUS FELIPE LORDES FERREIRA MATOS </t>
  </si>
  <si>
    <t>MAYSA MOURAO RODRIGUES MAZZONI</t>
  </si>
  <si>
    <t xml:space="preserve">PATRICIA AMORIM COELHO </t>
  </si>
  <si>
    <t xml:space="preserve">PEDRO VECCHI SILVA SIQUEIRA </t>
  </si>
  <si>
    <t xml:space="preserve">PIERA CHAVES TERRA </t>
  </si>
  <si>
    <t xml:space="preserve">PRISCILA VALERIA VELLOSO </t>
  </si>
  <si>
    <t>RACHEL ROANA DE OLIVEIRA E LIMA</t>
  </si>
  <si>
    <t xml:space="preserve">RAFAEL CAMPOS DE ASSIS </t>
  </si>
  <si>
    <t xml:space="preserve">RAFAEL HENRIQUE RODRIGUES DE SOUSA </t>
  </si>
  <si>
    <t xml:space="preserve">RAINE RAMALHO PINHEIRO </t>
  </si>
  <si>
    <t>RODRIGO AMARAL MARTINS</t>
  </si>
  <si>
    <t xml:space="preserve">SAMLLA PEDREIRA STEIN </t>
  </si>
  <si>
    <t>SILVIA MENEZES SOUZA</t>
  </si>
  <si>
    <t xml:space="preserve">THIAGO SANTIAGO FERREIRA </t>
  </si>
  <si>
    <t xml:space="preserve">TITO LIVIO DE OLIVEIRA BARROS </t>
  </si>
  <si>
    <t>WILSON FERREIRA DE SOUZA NETO</t>
  </si>
  <si>
    <t>YANA ALVARENGA DIAS</t>
  </si>
  <si>
    <t>YZAMARA DUTRA GUERRIERI</t>
  </si>
  <si>
    <t>ANDRE LUIS PEREIRA DA SILVA</t>
  </si>
  <si>
    <t>Repasse Médico - fevereiro/2025</t>
  </si>
  <si>
    <r>
      <rPr>
        <b/>
        <sz val="10"/>
        <color theme="1"/>
        <rFont val="Arial"/>
      </rPr>
      <t>BLOCO 02</t>
    </r>
    <r>
      <rPr>
        <sz val="10"/>
        <color theme="1"/>
        <rFont val="Arial"/>
      </rPr>
      <t xml:space="preserve">
Salários Fixos</t>
    </r>
  </si>
  <si>
    <t>PRODUÇÃO + CHAMADOS</t>
  </si>
  <si>
    <t>PRODUÇÃO PARTICULAR</t>
  </si>
  <si>
    <t>JOAO DOUGLAS NICO</t>
  </si>
  <si>
    <t>GUILHERME CAMARGO THOME</t>
  </si>
  <si>
    <t>GEORGE WAGNER ALVARENGA SIMOES</t>
  </si>
  <si>
    <t>DANIEL VIANNA GONCALVES GLORIA</t>
  </si>
  <si>
    <t>ALYSSON DA SILVEIRA CAMPOS</t>
  </si>
  <si>
    <t>ANDRE CUSTODIO DE MATOS</t>
  </si>
  <si>
    <t>FERNANDA ASSIS MOREIRA VIEIRA</t>
  </si>
  <si>
    <t>EUSANA MARIA LEMES</t>
  </si>
  <si>
    <t>ANDRE BARRETO AMARAL</t>
  </si>
  <si>
    <t>CELIO CARDOSO DE ANDRADE</t>
  </si>
  <si>
    <t>CESAR DE TASSIS FERREIRA</t>
  </si>
  <si>
    <t>CRISLENE MENDONCA QUEIROZ FEITOSA</t>
  </si>
  <si>
    <r>
      <rPr>
        <b/>
        <sz val="10"/>
        <color theme="1"/>
        <rFont val="Arial"/>
      </rPr>
      <t>BLOCO 04</t>
    </r>
    <r>
      <rPr>
        <sz val="10"/>
        <color theme="1"/>
        <rFont val="Arial"/>
      </rPr>
      <t xml:space="preserve">
Variável</t>
    </r>
  </si>
  <si>
    <t>BLOCO 03 - Plantões / Sobreaviso / Escalas</t>
  </si>
  <si>
    <r>
      <rPr>
        <b/>
        <sz val="12"/>
        <color theme="5"/>
        <rFont val="Arial"/>
      </rPr>
      <t>Conferência das Competências</t>
    </r>
    <r>
      <rPr>
        <b/>
        <sz val="12"/>
        <color rgb="FF274E13"/>
        <rFont val="Arial"/>
      </rPr>
      <t xml:space="preserve"> - Rubrica Médica | ICDS Unihealth GV</t>
    </r>
  </si>
  <si>
    <t>BLOCO 02 - Salários Fixos</t>
  </si>
  <si>
    <t>BENICIA SARA RODRIGUES SALINAS ZAMBELLI</t>
  </si>
  <si>
    <t>EDUARDO NEVES CARVALHIDO</t>
  </si>
  <si>
    <t>JOSE DO CARMO FILHO</t>
  </si>
  <si>
    <t>MARIANA DE OLIVEIRA ROCHA MACHADO CORTES</t>
  </si>
  <si>
    <t>RONALD DE MELO COSTA</t>
  </si>
  <si>
    <t>MARCELA TANUS GONTIJO</t>
  </si>
  <si>
    <t>ERICO RIBEIRO NETTO</t>
  </si>
  <si>
    <t>Produção Não Cooperados + Consulta Excedente</t>
  </si>
  <si>
    <t>Produção Não Cooperados + Consulta Excedente (Cooperados)</t>
  </si>
  <si>
    <t>Antigo RCS / Atualmente Todos Não Cooperados</t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</si>
  <si>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>D</t>
    </r>
    <r>
      <rPr>
        <sz val="10"/>
        <color theme="1"/>
        <rFont val="Arial"/>
        <scheme val="minor"/>
      </rPr>
      <t>1</t>
    </r>
  </si>
  <si>
    <r>
      <rPr>
        <sz val="10"/>
        <color theme="1"/>
        <rFont val="Arial"/>
      </rPr>
      <t xml:space="preserve">Horizontal Pediatria </t>
    </r>
    <r>
      <rPr>
        <b/>
        <sz val="10"/>
        <color theme="1"/>
        <rFont val="Arial"/>
      </rPr>
      <t>D</t>
    </r>
    <r>
      <rPr>
        <sz val="10"/>
        <color theme="1"/>
        <rFont val="Arial"/>
        <scheme val="minor"/>
      </rPr>
      <t>2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</si>
  <si>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D</t>
    </r>
    <r>
      <rPr>
        <sz val="10"/>
        <color theme="1"/>
        <rFont val="Arial"/>
        <scheme val="minor"/>
      </rPr>
      <t>1</t>
    </r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</si>
  <si>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D</t>
    </r>
    <r>
      <rPr>
        <sz val="10"/>
        <color theme="1"/>
        <rFont val="Arial"/>
        <scheme val="minor"/>
      </rPr>
      <t>2</t>
    </r>
  </si>
  <si>
    <t>FELIPE COELHO SOARES DE OLIVEIRA</t>
  </si>
  <si>
    <t>Médico Cirurgia Pediátrica (1/4)</t>
  </si>
  <si>
    <t>Obsevações</t>
  </si>
  <si>
    <t>Anteriormente era composto pela NF RCS + Produção dos médicos com contrato PJ diretamente com a Unimed.</t>
  </si>
  <si>
    <t>Não fazia parte da rubrica original. Foi adicionado após definição entre diretorias.</t>
  </si>
  <si>
    <t>Cooperados</t>
  </si>
  <si>
    <t>BLOCO 04 - Variável ("PRODUÇÃO + CHAMADOS" + "PLANTÃO (CONSULTA EXCEDENTE)")</t>
  </si>
  <si>
    <t>"PRODUÇÃO + CHAMADOS" do Ciclo 02</t>
  </si>
  <si>
    <t>"PLANTÃO (CONSULTA EXCEDENTE)" do Ciclo 01</t>
  </si>
  <si>
    <t>Repasse Médico - março/2025</t>
  </si>
  <si>
    <t>WILDER TEIXEIRA DOS SANTOS JUNIOR</t>
  </si>
  <si>
    <t>CICLO</t>
  </si>
  <si>
    <t>CICLO 1 ICDS</t>
  </si>
  <si>
    <t>CICLO 1 UNIMED</t>
  </si>
  <si>
    <t>CICLO 2</t>
  </si>
  <si>
    <t>PREVISTO</t>
  </si>
  <si>
    <t>PREVISTO METAS</t>
  </si>
  <si>
    <t>Janeiro</t>
  </si>
  <si>
    <t>Fevereiro</t>
  </si>
  <si>
    <t>Março</t>
  </si>
  <si>
    <r>
      <rPr>
        <sz val="10"/>
        <color theme="1"/>
        <rFont val="Arial"/>
      </rPr>
      <t xml:space="preserve">PEDIATRIA "PSI </t>
    </r>
    <r>
      <rPr>
        <b/>
        <sz val="10"/>
        <color theme="1"/>
        <rFont val="Arial"/>
      </rPr>
      <t>A"</t>
    </r>
  </si>
  <si>
    <r>
      <rPr>
        <sz val="10"/>
        <color theme="1"/>
        <rFont val="Arial"/>
      </rPr>
      <t>CIRURGIA "</t>
    </r>
    <r>
      <rPr>
        <b/>
        <sz val="10"/>
        <color theme="1"/>
        <rFont val="Arial"/>
      </rPr>
      <t>A"</t>
    </r>
  </si>
  <si>
    <r>
      <t>CIRURGIA "</t>
    </r>
    <r>
      <rPr>
        <b/>
        <sz val="10"/>
        <color theme="1"/>
        <rFont val="Arial"/>
        <family val="2"/>
      </rPr>
      <t>B</t>
    </r>
    <r>
      <rPr>
        <b/>
        <sz val="10"/>
        <color theme="1"/>
        <rFont val="Arial"/>
      </rPr>
      <t>"</t>
    </r>
  </si>
  <si>
    <r>
      <t>GO "</t>
    </r>
    <r>
      <rPr>
        <b/>
        <sz val="10"/>
        <color theme="1"/>
        <rFont val="Arial"/>
      </rPr>
      <t>A</t>
    </r>
    <r>
      <rPr>
        <sz val="10"/>
        <color theme="1"/>
        <rFont val="Arial"/>
      </rPr>
      <t>"</t>
    </r>
  </si>
  <si>
    <r>
      <t>GO "</t>
    </r>
    <r>
      <rPr>
        <b/>
        <sz val="10"/>
        <color theme="1"/>
        <rFont val="Arial"/>
      </rPr>
      <t>B</t>
    </r>
    <r>
      <rPr>
        <sz val="10"/>
        <color theme="1"/>
        <rFont val="Arial"/>
      </rPr>
      <t>"</t>
    </r>
  </si>
  <si>
    <t>USG "Sábado-Domingo"</t>
  </si>
  <si>
    <t>USG "Segunda-Sexta"</t>
  </si>
  <si>
    <t>ENDOSCOPIA "Sábado-Domingo"</t>
  </si>
  <si>
    <t>ENDOSCOPIA "Segunda-Sexta"</t>
  </si>
  <si>
    <t>DESCRIÇÃO PLANTÃO</t>
  </si>
  <si>
    <t>PEDIATRIA "Socorrista"</t>
  </si>
  <si>
    <r>
      <t xml:space="preserve">PEDIATRIA "PSI </t>
    </r>
    <r>
      <rPr>
        <b/>
        <sz val="10"/>
        <color theme="1"/>
        <rFont val="Arial"/>
        <family val="2"/>
      </rPr>
      <t>B</t>
    </r>
    <r>
      <rPr>
        <b/>
        <sz val="10"/>
        <color theme="1"/>
        <rFont val="Arial"/>
      </rPr>
      <t>"</t>
    </r>
  </si>
  <si>
    <t>PEDIATRIA "Emergencista"</t>
  </si>
  <si>
    <r>
      <rPr>
        <sz val="10"/>
        <color theme="1"/>
        <rFont val="Arial"/>
      </rPr>
      <t xml:space="preserve">CLINICA </t>
    </r>
    <r>
      <rPr>
        <b/>
        <sz val="10"/>
        <color theme="1"/>
        <rFont val="Arial"/>
      </rPr>
      <t>A</t>
    </r>
  </si>
  <si>
    <r>
      <rPr>
        <sz val="10"/>
        <color theme="1"/>
        <rFont val="Arial"/>
      </rPr>
      <t xml:space="preserve">CLINICA </t>
    </r>
    <r>
      <rPr>
        <b/>
        <sz val="10"/>
        <color theme="1"/>
        <rFont val="Arial"/>
      </rPr>
      <t>B</t>
    </r>
  </si>
  <si>
    <t>SOCORRISTA "Adulto"</t>
  </si>
  <si>
    <r>
      <rPr>
        <sz val="10"/>
        <color theme="1"/>
        <rFont val="Arial"/>
      </rPr>
      <t>UTI "</t>
    </r>
    <r>
      <rPr>
        <b/>
        <sz val="10"/>
        <color theme="1"/>
        <rFont val="Arial"/>
      </rPr>
      <t>A"</t>
    </r>
  </si>
  <si>
    <r>
      <rPr>
        <sz val="10"/>
        <color theme="1"/>
        <rFont val="Arial"/>
      </rPr>
      <t>UTI "</t>
    </r>
    <r>
      <rPr>
        <b/>
        <sz val="10"/>
        <color theme="1"/>
        <rFont val="Arial"/>
      </rPr>
      <t>B"</t>
    </r>
  </si>
  <si>
    <t>TIPO</t>
  </si>
  <si>
    <t>COD.MV</t>
  </si>
  <si>
    <t>CEMIG</t>
  </si>
  <si>
    <t>IPSM</t>
  </si>
  <si>
    <t>VALE</t>
  </si>
  <si>
    <t>VITAPLAN</t>
  </si>
  <si>
    <t>COPASS</t>
  </si>
  <si>
    <t>CHAMADOS</t>
  </si>
  <si>
    <t>ABINOEL BARRETO DA CRUZ</t>
  </si>
  <si>
    <t>DANIEL CALDEIRA TEIXEIRA</t>
  </si>
  <si>
    <t>EMANUEL BOWEN MARQUES</t>
  </si>
  <si>
    <t>JOSE MAURO DRUMOND RAMOS</t>
  </si>
  <si>
    <t>MARCIO LOPES MENDES</t>
  </si>
  <si>
    <t>MARIO MANOEL</t>
  </si>
  <si>
    <t>POLLIANA DE PAULA  JUNQUEIRA CARVALHIDO</t>
  </si>
  <si>
    <t>RENATO ALVARES CABRAL</t>
  </si>
  <si>
    <t>WALTER CARLOS SANTOS DE OLIVEIRA</t>
  </si>
  <si>
    <t>CONVENIOS E CHAMADOS</t>
  </si>
  <si>
    <t>GOVERNANCA</t>
  </si>
  <si>
    <t>MEDICO(A)</t>
  </si>
  <si>
    <t>TIPO PLANTAO</t>
  </si>
  <si>
    <t>PLANTAO PISO</t>
  </si>
  <si>
    <t>ANDRESSA BRANDAO MARTHON</t>
  </si>
  <si>
    <t>PLANTAO CONSULTA</t>
  </si>
  <si>
    <t>SALARIO FIXO</t>
  </si>
  <si>
    <t>ANA CAROLINA PITANGA DOS SANTOS</t>
  </si>
  <si>
    <t>CAMILLA CARVALHO MURTA BOTELHO</t>
  </si>
  <si>
    <t>DARLAN SANTIAGO GROBERIO</t>
  </si>
  <si>
    <t>ELISA CHAIN DE ASSIS</t>
  </si>
  <si>
    <t>GUSTAVO ANDRADE ALENCAR</t>
  </si>
  <si>
    <t>ISADORA COUTO DE ASSIS</t>
  </si>
  <si>
    <t>JOSSIELLY RODRIGUES PINHEIRO</t>
  </si>
  <si>
    <t>LARA MARIA TOLEDO PIRES</t>
  </si>
  <si>
    <t>LARISSA MAGALHÃES DE PAIVA</t>
  </si>
  <si>
    <t>MARCUS LYRIO TORRES</t>
  </si>
  <si>
    <t>MARIA LUIZA LEAL CHAVES</t>
  </si>
  <si>
    <t>MARIANA PINHEIRO FIGUEIREDO</t>
  </si>
  <si>
    <t>MARINA DE SENNA CARLI</t>
  </si>
  <si>
    <t>NATALIA FROEDER BARROSO</t>
  </si>
  <si>
    <t>PEDRO HENRIQUE DE ALMEIDA E OLIVEIRA</t>
  </si>
  <si>
    <t>TAYANNA FELIPE MONTEIRO</t>
  </si>
  <si>
    <t>THALIA MARCAL MACHADO</t>
  </si>
  <si>
    <t>VICTOR DE LIMA RODRIGUES</t>
  </si>
  <si>
    <t>YAGO FORTUNADO MARQUES</t>
  </si>
  <si>
    <t>UNIMED</t>
  </si>
  <si>
    <t>Abril</t>
  </si>
  <si>
    <r>
      <rPr>
        <sz val="10"/>
        <color theme="1"/>
        <rFont val="Arial"/>
      </rPr>
      <t xml:space="preserve">Horizontal M.I </t>
    </r>
    <r>
      <rPr>
        <b/>
        <sz val="10"/>
        <color theme="1"/>
        <rFont val="Arial"/>
      </rPr>
      <t>A</t>
    </r>
    <r>
      <rPr>
        <sz val="10"/>
        <color theme="1"/>
        <rFont val="Arial"/>
        <scheme val="minor"/>
      </rPr>
      <t>1</t>
    </r>
  </si>
  <si>
    <r>
      <t xml:space="preserve">Horizontal M.I </t>
    </r>
    <r>
      <rPr>
        <b/>
        <sz val="10"/>
        <color theme="1"/>
        <rFont val="Arial"/>
      </rPr>
      <t>A</t>
    </r>
    <r>
      <rPr>
        <sz val="10"/>
        <color theme="1"/>
        <rFont val="Arial"/>
      </rPr>
      <t>2</t>
    </r>
  </si>
  <si>
    <t>ANTONIO GUILHERME DA SILVA P. CARVALHO</t>
  </si>
  <si>
    <t>Médica Infectologista (4/5)</t>
  </si>
  <si>
    <t>Médica Infectologista (1/5)</t>
  </si>
  <si>
    <t>Repasse Médico - abril/2025</t>
  </si>
  <si>
    <t>Excluídos Exames</t>
  </si>
  <si>
    <t xml:space="preserve">TOTAL FIXO: </t>
  </si>
  <si>
    <t>BALANÇO FIXO:</t>
  </si>
  <si>
    <r>
      <rPr>
        <i/>
        <sz val="10"/>
        <color theme="1"/>
        <rFont val="Arial"/>
      </rPr>
      <t>(Previsão = Média Mensal janeiro a junho 2024)</t>
    </r>
    <r>
      <rPr>
        <b/>
        <sz val="10"/>
        <color theme="1"/>
        <rFont val="Arial"/>
      </rPr>
      <t xml:space="preserve"> TOTAL C/ VARIÁVEL: </t>
    </r>
  </si>
  <si>
    <t>RAINE RAMALHO PINHEIRO (PEDIATRIA)</t>
  </si>
  <si>
    <t>PREVISTO SOMA</t>
  </si>
  <si>
    <t>TOTAL CUSTO PREVISTO</t>
  </si>
  <si>
    <t>Maio</t>
  </si>
  <si>
    <t>Médico Urologia (1/5)</t>
  </si>
  <si>
    <t>EMERSON RAMOS LOPES</t>
  </si>
  <si>
    <t>LUIZ GUSTAVO DE SOUZA LEMOS</t>
  </si>
  <si>
    <t>RONALDO DE SOUZA RAMOS</t>
  </si>
  <si>
    <t>MARCELO DE FIGUEIREDO MURTA</t>
  </si>
  <si>
    <t>MARCUS LYRIO</t>
  </si>
  <si>
    <t>LUCIANO DE OLIVEIRA SILVA</t>
  </si>
  <si>
    <t>*GUILHERME ARAUJO MARQUES (USG)</t>
  </si>
  <si>
    <t>*GUILHERME ARAUJO MARQUES (RM+TC+RX)</t>
  </si>
  <si>
    <t>ALINE DO CARMO ROSA</t>
  </si>
  <si>
    <t>BIANCA SANCHES BRAGA COELHO</t>
  </si>
  <si>
    <t>EVANDRO ANDRADE PEREIRA</t>
  </si>
  <si>
    <t>JOAO PEDRO SOBREIRA MENDONÇA</t>
  </si>
  <si>
    <t>LARISSA MAGALHAES DE PAIVA</t>
  </si>
  <si>
    <t>LUANA DINIZ OLIVEIRA VASCONCELLOS</t>
  </si>
  <si>
    <t>LUCAS AMARAL CUNHA</t>
  </si>
  <si>
    <t xml:space="preserve">LUIZ ANDRE FERREIRA MOTA </t>
  </si>
  <si>
    <t>Junho</t>
  </si>
  <si>
    <t>SAMUEL GLORIA NASCIMENTO</t>
  </si>
  <si>
    <t>PAULO ALMEIDA CAMPOS</t>
  </si>
  <si>
    <t>JOAO LUIS OLIVEIRA GUSMÃO DE ANDRADE</t>
  </si>
  <si>
    <t>UROLOGIA</t>
  </si>
  <si>
    <t>WALTER CARLOS SANTOS DE OLIVERIA</t>
  </si>
  <si>
    <t>PSIQUIATRIA</t>
  </si>
  <si>
    <t xml:space="preserve">LUIZ GUSTAVO SOUZA LEMOS </t>
  </si>
  <si>
    <t>Repasse Médico - Maio/2025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</si>
</sst>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R$ -416]#,##0.00"/>
    <numFmt numFmtId="165" formatCode="_-[$R$-416]\ * #,##0.00_-;\-[$R$-416]\ * #,##0.00_-;_-[$R$-416]\ * &quot;-&quot;??_-;_-@_-"/>
  </numFmts>
  <fonts count="5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12"/>
      <color rgb="FF274E13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i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theme="5"/>
      <name val="Arial"/>
    </font>
    <font>
      <b/>
      <sz val="12"/>
      <color rgb="FF274E13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b/>
      <sz val="12"/>
      <color rgb="FF274E13"/>
      <name val="Arial"/>
      <family val="2"/>
    </font>
    <font>
      <b/>
      <sz val="12"/>
      <color rgb="FF274E13"/>
      <name val="Arial"/>
      <family val="2"/>
      <scheme val="minor"/>
    </font>
    <font>
      <sz val="12"/>
      <color rgb="FF274E13"/>
      <name val="Arial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7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44" fontId="36" fillId="0" borderId="0" applyFont="0" applyFill="0" applyBorder="0" applyAlignment="0" applyProtection="0"/>
    <xf numFmtId="0" fontId="3" fillId="0" borderId="0"/>
    <xf numFmtId="0" fontId="3" fillId="0" borderId="0"/>
    <xf numFmtId="44" fontId="13" fillId="0" borderId="0" applyFont="0" applyFill="0" applyBorder="0" applyAlignment="0" applyProtection="0"/>
    <xf numFmtId="0" fontId="2" fillId="0" borderId="0"/>
    <xf numFmtId="0" fontId="2" fillId="0" borderId="0"/>
    <xf numFmtId="44" fontId="36" fillId="0" borderId="0" applyFont="0" applyFill="0" applyBorder="0" applyAlignment="0" applyProtection="0"/>
    <xf numFmtId="0" fontId="1" fillId="0" borderId="0"/>
    <xf numFmtId="0" fontId="1" fillId="0" borderId="0"/>
  </cellStyleXfs>
  <cellXfs count="404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44" fontId="9" fillId="0" borderId="1" xfId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vertical="center" wrapText="1"/>
    </xf>
    <xf numFmtId="44" fontId="12" fillId="4" borderId="1" xfId="1" applyFont="1" applyFill="1" applyBorder="1" applyAlignment="1">
      <alignment horizontal="left" vertical="center" wrapText="1"/>
    </xf>
    <xf numFmtId="44" fontId="7" fillId="4" borderId="1" xfId="1" applyFont="1" applyFill="1" applyBorder="1" applyAlignment="1">
      <alignment horizontal="center" vertical="center" wrapText="1"/>
    </xf>
    <xf numFmtId="44" fontId="9" fillId="0" borderId="4" xfId="1" applyFont="1" applyBorder="1" applyAlignment="1">
      <alignment horizontal="center" vertical="center" wrapText="1"/>
    </xf>
    <xf numFmtId="165" fontId="2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5" fontId="22" fillId="0" borderId="0" xfId="0" applyNumberFormat="1" applyFont="1" applyAlignment="1">
      <alignment vertical="center"/>
    </xf>
    <xf numFmtId="165" fontId="22" fillId="0" borderId="10" xfId="0" applyNumberFormat="1" applyFont="1" applyBorder="1" applyAlignment="1">
      <alignment vertical="center"/>
    </xf>
    <xf numFmtId="165" fontId="20" fillId="0" borderId="10" xfId="0" applyNumberFormat="1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165" fontId="21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5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165" fontId="18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165" fontId="27" fillId="0" borderId="10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10" xfId="0" applyFont="1" applyBorder="1" applyAlignment="1">
      <alignment vertical="center"/>
    </xf>
    <xf numFmtId="165" fontId="27" fillId="0" borderId="10" xfId="0" applyNumberFormat="1" applyFont="1" applyBorder="1" applyAlignment="1">
      <alignment horizontal="center" vertical="center"/>
    </xf>
    <xf numFmtId="165" fontId="29" fillId="0" borderId="10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10" xfId="0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44" fontId="22" fillId="0" borderId="10" xfId="1" applyFont="1" applyFill="1" applyBorder="1" applyAlignment="1">
      <alignment horizontal="center" vertical="center"/>
    </xf>
    <xf numFmtId="44" fontId="22" fillId="0" borderId="10" xfId="1" applyFont="1" applyFill="1" applyBorder="1" applyAlignment="1">
      <alignment vertical="center"/>
    </xf>
    <xf numFmtId="44" fontId="23" fillId="0" borderId="10" xfId="1" applyFont="1" applyFill="1" applyBorder="1" applyAlignment="1">
      <alignment horizontal="center" vertical="center"/>
    </xf>
    <xf numFmtId="44" fontId="23" fillId="0" borderId="10" xfId="1" applyFont="1" applyFill="1" applyBorder="1" applyAlignment="1">
      <alignment vertical="center"/>
    </xf>
    <xf numFmtId="44" fontId="27" fillId="0" borderId="10" xfId="1" applyFont="1" applyFill="1" applyBorder="1" applyAlignment="1">
      <alignment vertical="center"/>
    </xf>
    <xf numFmtId="165" fontId="28" fillId="0" borderId="10" xfId="0" applyNumberFormat="1" applyFont="1" applyBorder="1" applyAlignment="1">
      <alignment horizontal="center" vertical="center"/>
    </xf>
    <xf numFmtId="165" fontId="28" fillId="0" borderId="10" xfId="0" applyNumberFormat="1" applyFont="1" applyBorder="1" applyAlignment="1">
      <alignment vertical="center"/>
    </xf>
    <xf numFmtId="165" fontId="31" fillId="0" borderId="10" xfId="0" applyNumberFormat="1" applyFont="1" applyBorder="1" applyAlignment="1">
      <alignment vertical="center"/>
    </xf>
    <xf numFmtId="165" fontId="28" fillId="0" borderId="16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165" fontId="31" fillId="0" borderId="16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27" fillId="0" borderId="18" xfId="0" applyFont="1" applyBorder="1" applyAlignment="1">
      <alignment horizontal="right" vertical="center"/>
    </xf>
    <xf numFmtId="0" fontId="33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27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0" fillId="11" borderId="15" xfId="0" applyFont="1" applyFill="1" applyBorder="1" applyAlignment="1">
      <alignment vertical="center"/>
    </xf>
    <xf numFmtId="0" fontId="30" fillId="11" borderId="11" xfId="0" applyFont="1" applyFill="1" applyBorder="1" applyAlignment="1">
      <alignment horizontal="center" vertical="center"/>
    </xf>
    <xf numFmtId="0" fontId="30" fillId="11" borderId="15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vertical="center"/>
    </xf>
    <xf numFmtId="0" fontId="20" fillId="11" borderId="11" xfId="0" applyFont="1" applyFill="1" applyBorder="1" applyAlignment="1">
      <alignment horizontal="center" vertical="center"/>
    </xf>
    <xf numFmtId="0" fontId="20" fillId="11" borderId="15" xfId="0" applyFont="1" applyFill="1" applyBorder="1" applyAlignment="1">
      <alignment horizontal="center" vertical="center"/>
    </xf>
    <xf numFmtId="165" fontId="27" fillId="0" borderId="11" xfId="0" applyNumberFormat="1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165" fontId="22" fillId="0" borderId="12" xfId="0" applyNumberFormat="1" applyFont="1" applyBorder="1" applyAlignment="1">
      <alignment vertical="center"/>
    </xf>
    <xf numFmtId="165" fontId="20" fillId="0" borderId="12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44" fontId="9" fillId="0" borderId="2" xfId="1" applyFont="1" applyBorder="1" applyAlignment="1">
      <alignment horizontal="center" vertical="center" wrapText="1"/>
    </xf>
    <xf numFmtId="44" fontId="0" fillId="0" borderId="0" xfId="0" applyNumberFormat="1"/>
    <xf numFmtId="0" fontId="0" fillId="0" borderId="0" xfId="0" applyAlignment="1">
      <alignment wrapText="1"/>
    </xf>
    <xf numFmtId="0" fontId="13" fillId="0" borderId="4" xfId="0" applyFont="1" applyBorder="1" applyAlignment="1">
      <alignment horizontal="center" vertical="center" wrapText="1"/>
    </xf>
    <xf numFmtId="44" fontId="9" fillId="0" borderId="3" xfId="1" applyFont="1" applyBorder="1" applyAlignment="1">
      <alignment horizontal="center" vertical="center" wrapText="1"/>
    </xf>
    <xf numFmtId="44" fontId="13" fillId="0" borderId="10" xfId="1" applyFont="1" applyBorder="1" applyAlignment="1">
      <alignment vertical="center" wrapText="1"/>
    </xf>
    <xf numFmtId="44" fontId="10" fillId="0" borderId="10" xfId="1" applyFont="1" applyBorder="1" applyAlignment="1"/>
    <xf numFmtId="44" fontId="35" fillId="0" borderId="0" xfId="1" applyFont="1" applyAlignment="1">
      <alignment horizontal="center" vertical="center" wrapText="1"/>
    </xf>
    <xf numFmtId="0" fontId="0" fillId="0" borderId="0" xfId="0" applyAlignment="1">
      <alignment horizontal="right"/>
    </xf>
    <xf numFmtId="9" fontId="9" fillId="0" borderId="0" xfId="2" applyFont="1" applyAlignment="1">
      <alignment horizontal="center" vertical="center" wrapText="1"/>
    </xf>
    <xf numFmtId="44" fontId="9" fillId="0" borderId="13" xfId="1" applyFont="1" applyBorder="1" applyAlignment="1">
      <alignment horizontal="center" vertical="center" wrapText="1"/>
    </xf>
    <xf numFmtId="44" fontId="7" fillId="2" borderId="10" xfId="1" applyFont="1" applyFill="1" applyBorder="1" applyAlignment="1">
      <alignment horizontal="center" vertical="center" wrapText="1"/>
    </xf>
    <xf numFmtId="44" fontId="10" fillId="0" borderId="10" xfId="1" applyFont="1" applyBorder="1" applyAlignment="1">
      <alignment vertical="center"/>
    </xf>
    <xf numFmtId="9" fontId="0" fillId="0" borderId="0" xfId="2" applyFont="1" applyAlignment="1">
      <alignment horizontal="right"/>
    </xf>
    <xf numFmtId="0" fontId="7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4" fontId="9" fillId="9" borderId="4" xfId="1" applyFont="1" applyFill="1" applyBorder="1" applyAlignment="1">
      <alignment vertical="center" wrapText="1"/>
    </xf>
    <xf numFmtId="44" fontId="9" fillId="9" borderId="10" xfId="1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0" borderId="0" xfId="3" applyAlignment="1">
      <alignment vertical="center"/>
    </xf>
    <xf numFmtId="0" fontId="6" fillId="0" borderId="10" xfId="3" applyBorder="1" applyAlignment="1">
      <alignment vertical="center"/>
    </xf>
    <xf numFmtId="0" fontId="6" fillId="0" borderId="0" xfId="3" applyAlignment="1">
      <alignment vertical="center" wrapText="1"/>
    </xf>
    <xf numFmtId="0" fontId="38" fillId="0" borderId="10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165" fontId="27" fillId="0" borderId="10" xfId="3" applyNumberFormat="1" applyFont="1" applyBorder="1" applyAlignment="1">
      <alignment horizontal="center" vertical="center" wrapText="1"/>
    </xf>
    <xf numFmtId="0" fontId="27" fillId="0" borderId="10" xfId="3" applyFont="1" applyBorder="1" applyAlignment="1">
      <alignment vertical="center" wrapText="1"/>
    </xf>
    <xf numFmtId="165" fontId="28" fillId="0" borderId="10" xfId="3" applyNumberFormat="1" applyFont="1" applyBorder="1" applyAlignment="1">
      <alignment horizontal="center" vertical="center" wrapText="1"/>
    </xf>
    <xf numFmtId="0" fontId="28" fillId="0" borderId="10" xfId="3" applyFont="1" applyBorder="1" applyAlignment="1">
      <alignment vertical="center" wrapText="1"/>
    </xf>
    <xf numFmtId="0" fontId="28" fillId="0" borderId="10" xfId="3" applyFont="1" applyBorder="1" applyAlignment="1">
      <alignment horizontal="center" vertical="center" wrapText="1"/>
    </xf>
    <xf numFmtId="0" fontId="31" fillId="0" borderId="10" xfId="3" applyFont="1" applyBorder="1" applyAlignment="1">
      <alignment vertical="center" wrapText="1"/>
    </xf>
    <xf numFmtId="0" fontId="31" fillId="0" borderId="10" xfId="3" applyFont="1" applyBorder="1" applyAlignment="1">
      <alignment horizontal="center" vertical="center" wrapText="1"/>
    </xf>
    <xf numFmtId="0" fontId="27" fillId="14" borderId="10" xfId="3" applyFont="1" applyFill="1" applyBorder="1" applyAlignment="1">
      <alignment horizontal="right" vertical="center" wrapText="1"/>
    </xf>
    <xf numFmtId="0" fontId="27" fillId="14" borderId="10" xfId="3" applyFont="1" applyFill="1" applyBorder="1" applyAlignment="1">
      <alignment horizontal="center" vertical="center" wrapText="1"/>
    </xf>
    <xf numFmtId="0" fontId="31" fillId="0" borderId="10" xfId="3" applyFont="1" applyBorder="1" applyAlignment="1">
      <alignment horizontal="left" vertical="center" wrapText="1"/>
    </xf>
    <xf numFmtId="0" fontId="31" fillId="0" borderId="10" xfId="3" applyFont="1" applyBorder="1" applyAlignment="1">
      <alignment horizontal="center" vertical="center"/>
    </xf>
    <xf numFmtId="0" fontId="27" fillId="0" borderId="10" xfId="3" applyFont="1" applyBorder="1" applyAlignment="1">
      <alignment vertical="center"/>
    </xf>
    <xf numFmtId="0" fontId="28" fillId="0" borderId="10" xfId="3" applyFont="1" applyBorder="1" applyAlignment="1">
      <alignment horizontal="center" vertical="center"/>
    </xf>
    <xf numFmtId="0" fontId="28" fillId="0" borderId="10" xfId="3" applyFont="1" applyBorder="1" applyAlignment="1">
      <alignment vertical="center"/>
    </xf>
    <xf numFmtId="0" fontId="31" fillId="0" borderId="10" xfId="3" applyFont="1" applyBorder="1"/>
    <xf numFmtId="0" fontId="31" fillId="0" borderId="10" xfId="3" applyFont="1" applyBorder="1" applyAlignment="1">
      <alignment horizontal="center"/>
    </xf>
    <xf numFmtId="0" fontId="6" fillId="0" borderId="0" xfId="3" applyAlignment="1">
      <alignment horizontal="center" vertical="center" wrapText="1"/>
    </xf>
    <xf numFmtId="0" fontId="6" fillId="0" borderId="0" xfId="3"/>
    <xf numFmtId="44" fontId="28" fillId="0" borderId="10" xfId="1" applyFont="1" applyFill="1" applyBorder="1" applyAlignment="1">
      <alignment horizontal="center" vertical="center" wrapText="1"/>
    </xf>
    <xf numFmtId="44" fontId="31" fillId="0" borderId="10" xfId="1" applyFont="1" applyFill="1" applyBorder="1" applyAlignment="1">
      <alignment horizontal="center" vertical="center" wrapText="1"/>
    </xf>
    <xf numFmtId="44" fontId="27" fillId="14" borderId="10" xfId="1" applyFont="1" applyFill="1" applyBorder="1" applyAlignment="1">
      <alignment vertical="center" wrapText="1"/>
    </xf>
    <xf numFmtId="44" fontId="27" fillId="14" borderId="10" xfId="1" applyFont="1" applyFill="1" applyBorder="1" applyAlignment="1">
      <alignment horizontal="center" vertical="center" wrapText="1"/>
    </xf>
    <xf numFmtId="44" fontId="28" fillId="0" borderId="10" xfId="1" applyFont="1" applyBorder="1" applyAlignment="1">
      <alignment horizontal="center" vertical="center" wrapText="1"/>
    </xf>
    <xf numFmtId="44" fontId="31" fillId="0" borderId="10" xfId="1" applyFont="1" applyBorder="1" applyAlignment="1">
      <alignment horizontal="center" vertical="center" wrapText="1"/>
    </xf>
    <xf numFmtId="44" fontId="28" fillId="0" borderId="10" xfId="1" applyFont="1" applyBorder="1" applyAlignment="1">
      <alignment vertical="center"/>
    </xf>
    <xf numFmtId="44" fontId="31" fillId="0" borderId="10" xfId="1" applyFont="1" applyBorder="1" applyAlignment="1">
      <alignment vertical="center"/>
    </xf>
    <xf numFmtId="44" fontId="27" fillId="14" borderId="10" xfId="1" applyFont="1" applyFill="1" applyBorder="1" applyAlignment="1">
      <alignment vertical="center"/>
    </xf>
    <xf numFmtId="44" fontId="9" fillId="9" borderId="10" xfId="1" applyFont="1" applyFill="1" applyBorder="1" applyAlignment="1">
      <alignment horizontal="center" vertical="center" wrapText="1"/>
    </xf>
    <xf numFmtId="0" fontId="37" fillId="12" borderId="10" xfId="3" applyFont="1" applyFill="1" applyBorder="1" applyAlignment="1">
      <alignment horizontal="right" vertical="center" wrapText="1"/>
    </xf>
    <xf numFmtId="0" fontId="37" fillId="12" borderId="10" xfId="3" applyFont="1" applyFill="1" applyBorder="1" applyAlignment="1">
      <alignment horizontal="center" vertical="center" wrapText="1"/>
    </xf>
    <xf numFmtId="44" fontId="37" fillId="12" borderId="10" xfId="3" applyNumberFormat="1" applyFont="1" applyFill="1" applyBorder="1" applyAlignment="1">
      <alignment vertical="center" wrapText="1"/>
    </xf>
    <xf numFmtId="0" fontId="39" fillId="16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18" borderId="10" xfId="3" applyFont="1" applyFill="1" applyBorder="1" applyAlignment="1">
      <alignment vertical="center" wrapText="1"/>
    </xf>
    <xf numFmtId="44" fontId="11" fillId="0" borderId="8" xfId="1" applyFont="1" applyBorder="1" applyAlignment="1">
      <alignment horizontal="center" vertical="center"/>
    </xf>
    <xf numFmtId="44" fontId="7" fillId="4" borderId="10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right" vertical="center" wrapText="1"/>
    </xf>
    <xf numFmtId="0" fontId="34" fillId="17" borderId="2" xfId="0" applyFont="1" applyFill="1" applyBorder="1" applyAlignment="1">
      <alignment horizontal="center" vertical="center" wrapText="1"/>
    </xf>
    <xf numFmtId="44" fontId="9" fillId="0" borderId="10" xfId="1" applyFont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left" vertical="center" wrapText="1"/>
    </xf>
    <xf numFmtId="165" fontId="19" fillId="12" borderId="10" xfId="0" applyNumberFormat="1" applyFont="1" applyFill="1" applyBorder="1" applyAlignment="1">
      <alignment horizontal="center" vertical="center"/>
    </xf>
    <xf numFmtId="0" fontId="26" fillId="10" borderId="11" xfId="3" applyFont="1" applyFill="1" applyBorder="1" applyAlignment="1">
      <alignment horizontal="center" vertical="center"/>
    </xf>
    <xf numFmtId="0" fontId="26" fillId="10" borderId="15" xfId="3" applyFont="1" applyFill="1" applyBorder="1" applyAlignment="1">
      <alignment vertical="center"/>
    </xf>
    <xf numFmtId="0" fontId="26" fillId="10" borderId="12" xfId="3" applyFont="1" applyFill="1" applyBorder="1" applyAlignment="1">
      <alignment vertical="center"/>
    </xf>
    <xf numFmtId="0" fontId="44" fillId="3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36" fillId="0" borderId="0" xfId="0" applyFont="1"/>
    <xf numFmtId="0" fontId="40" fillId="0" borderId="0" xfId="0" applyFont="1" applyAlignment="1">
      <alignment horizontal="center" vertical="center" wrapText="1"/>
    </xf>
    <xf numFmtId="44" fontId="19" fillId="4" borderId="10" xfId="1" applyFont="1" applyFill="1" applyBorder="1" applyAlignment="1">
      <alignment horizontal="center" vertical="center" wrapText="1"/>
    </xf>
    <xf numFmtId="44" fontId="40" fillId="9" borderId="10" xfId="1" applyFont="1" applyFill="1" applyBorder="1" applyAlignment="1">
      <alignment horizontal="center" vertical="center" wrapText="1"/>
    </xf>
    <xf numFmtId="44" fontId="34" fillId="19" borderId="10" xfId="1" applyFont="1" applyFill="1" applyBorder="1" applyAlignment="1">
      <alignment horizontal="center" vertical="center" wrapText="1"/>
    </xf>
    <xf numFmtId="44" fontId="19" fillId="13" borderId="10" xfId="1" applyFont="1" applyFill="1" applyBorder="1" applyAlignment="1">
      <alignment vertical="center"/>
    </xf>
    <xf numFmtId="44" fontId="7" fillId="19" borderId="10" xfId="1" applyFont="1" applyFill="1" applyBorder="1" applyAlignment="1">
      <alignment horizontal="center" vertical="center" wrapText="1"/>
    </xf>
    <xf numFmtId="44" fontId="9" fillId="9" borderId="4" xfId="1" applyFont="1" applyFill="1" applyBorder="1" applyAlignment="1">
      <alignment horizontal="center" vertical="center" wrapText="1"/>
    </xf>
    <xf numFmtId="44" fontId="34" fillId="19" borderId="10" xfId="1" applyFont="1" applyFill="1" applyBorder="1" applyAlignment="1">
      <alignment vertical="center" wrapText="1"/>
    </xf>
    <xf numFmtId="44" fontId="34" fillId="19" borderId="4" xfId="1" applyFont="1" applyFill="1" applyBorder="1" applyAlignment="1">
      <alignment horizontal="center" vertical="center" wrapText="1"/>
    </xf>
    <xf numFmtId="44" fontId="40" fillId="2" borderId="10" xfId="1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44" fontId="7" fillId="20" borderId="1" xfId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 wrapText="1"/>
    </xf>
    <xf numFmtId="0" fontId="15" fillId="3" borderId="0" xfId="0" applyFont="1" applyFill="1" applyAlignment="1">
      <alignment vertical="center" wrapText="1"/>
    </xf>
    <xf numFmtId="164" fontId="34" fillId="19" borderId="10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42" fillId="3" borderId="4" xfId="0" applyFont="1" applyFill="1" applyBorder="1" applyAlignment="1">
      <alignment vertical="center" wrapText="1"/>
    </xf>
    <xf numFmtId="0" fontId="10" fillId="12" borderId="5" xfId="0" applyFont="1" applyFill="1" applyBorder="1"/>
    <xf numFmtId="0" fontId="10" fillId="12" borderId="6" xfId="0" applyFont="1" applyFill="1" applyBorder="1"/>
    <xf numFmtId="0" fontId="46" fillId="10" borderId="15" xfId="3" applyFont="1" applyFill="1" applyBorder="1" applyAlignment="1">
      <alignment horizontal="center" vertical="center"/>
    </xf>
    <xf numFmtId="0" fontId="46" fillId="0" borderId="10" xfId="3" applyFont="1" applyBorder="1" applyAlignment="1">
      <alignment horizontal="center" vertical="center" wrapText="1"/>
    </xf>
    <xf numFmtId="0" fontId="48" fillId="0" borderId="10" xfId="3" applyFont="1" applyBorder="1" applyAlignment="1">
      <alignment horizontal="center" vertical="center" wrapText="1"/>
    </xf>
    <xf numFmtId="0" fontId="47" fillId="14" borderId="10" xfId="3" applyFont="1" applyFill="1" applyBorder="1" applyAlignment="1">
      <alignment horizontal="center" vertical="center" wrapText="1"/>
    </xf>
    <xf numFmtId="0" fontId="34" fillId="12" borderId="10" xfId="3" applyFont="1" applyFill="1" applyBorder="1" applyAlignment="1">
      <alignment horizontal="center" vertical="center" wrapText="1"/>
    </xf>
    <xf numFmtId="0" fontId="40" fillId="0" borderId="0" xfId="3" applyFont="1" applyAlignment="1">
      <alignment horizontal="center" vertical="center" wrapText="1"/>
    </xf>
    <xf numFmtId="0" fontId="42" fillId="3" borderId="10" xfId="0" applyFont="1" applyFill="1" applyBorder="1" applyAlignment="1">
      <alignment horizontal="center" vertical="center" wrapText="1"/>
    </xf>
    <xf numFmtId="0" fontId="42" fillId="3" borderId="10" xfId="0" applyFont="1" applyFill="1" applyBorder="1" applyAlignment="1">
      <alignment vertical="center" wrapText="1"/>
    </xf>
    <xf numFmtId="0" fontId="15" fillId="3" borderId="10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44" fontId="9" fillId="0" borderId="21" xfId="1" applyFont="1" applyBorder="1" applyAlignment="1">
      <alignment vertical="center" wrapText="1"/>
    </xf>
    <xf numFmtId="44" fontId="9" fillId="0" borderId="2" xfId="1" applyFont="1" applyBorder="1" applyAlignment="1">
      <alignment vertical="center" wrapText="1"/>
    </xf>
    <xf numFmtId="44" fontId="10" fillId="0" borderId="7" xfId="1" applyFont="1" applyBorder="1" applyAlignment="1"/>
    <xf numFmtId="44" fontId="10" fillId="0" borderId="3" xfId="1" applyFont="1" applyBorder="1" applyAlignment="1"/>
    <xf numFmtId="44" fontId="10" fillId="0" borderId="14" xfId="1" applyFont="1" applyBorder="1" applyAlignment="1">
      <alignment vertical="center"/>
    </xf>
    <xf numFmtId="44" fontId="10" fillId="0" borderId="8" xfId="1" applyFont="1" applyBorder="1" applyAlignment="1">
      <alignment vertical="center"/>
    </xf>
    <xf numFmtId="44" fontId="13" fillId="0" borderId="14" xfId="1" applyFont="1" applyBorder="1" applyAlignment="1">
      <alignment vertical="center" wrapText="1"/>
    </xf>
    <xf numFmtId="44" fontId="10" fillId="0" borderId="8" xfId="1" applyFont="1" applyBorder="1" applyAlignment="1"/>
    <xf numFmtId="44" fontId="9" fillId="0" borderId="16" xfId="1" applyFont="1" applyBorder="1" applyAlignment="1">
      <alignment vertical="center" wrapText="1"/>
    </xf>
    <xf numFmtId="44" fontId="10" fillId="0" borderId="18" xfId="1" applyFont="1" applyBorder="1" applyAlignment="1"/>
    <xf numFmtId="0" fontId="9" fillId="0" borderId="4" xfId="0" applyFont="1" applyBorder="1" applyAlignment="1">
      <alignment horizontal="center" vertical="center" wrapText="1"/>
    </xf>
    <xf numFmtId="44" fontId="27" fillId="14" borderId="10" xfId="8" applyFont="1" applyFill="1" applyBorder="1" applyAlignment="1">
      <alignment vertical="center" wrapText="1"/>
    </xf>
    <xf numFmtId="44" fontId="27" fillId="0" borderId="10" xfId="1" applyFont="1" applyFill="1" applyBorder="1" applyAlignment="1">
      <alignment horizontal="center" vertical="center" wrapText="1"/>
    </xf>
    <xf numFmtId="0" fontId="38" fillId="10" borderId="11" xfId="9" applyFont="1" applyFill="1" applyBorder="1" applyAlignment="1">
      <alignment horizontal="center" vertical="center"/>
    </xf>
    <xf numFmtId="0" fontId="38" fillId="10" borderId="15" xfId="10" applyFont="1" applyFill="1" applyBorder="1" applyAlignment="1">
      <alignment vertical="center"/>
    </xf>
    <xf numFmtId="0" fontId="38" fillId="10" borderId="15" xfId="10" applyFont="1" applyFill="1" applyBorder="1" applyAlignment="1">
      <alignment horizontal="center" vertical="center"/>
    </xf>
    <xf numFmtId="0" fontId="38" fillId="10" borderId="12" xfId="10" applyFont="1" applyFill="1" applyBorder="1" applyAlignment="1">
      <alignment vertical="center"/>
    </xf>
    <xf numFmtId="0" fontId="28" fillId="0" borderId="0" xfId="10" applyFont="1" applyAlignment="1">
      <alignment vertical="center"/>
    </xf>
    <xf numFmtId="0" fontId="28" fillId="0" borderId="10" xfId="10" applyFont="1" applyBorder="1" applyAlignment="1">
      <alignment vertical="center"/>
    </xf>
    <xf numFmtId="0" fontId="38" fillId="0" borderId="10" xfId="10" applyFont="1" applyBorder="1" applyAlignment="1">
      <alignment horizontal="center" vertical="center" wrapText="1"/>
    </xf>
    <xf numFmtId="0" fontId="27" fillId="0" borderId="10" xfId="10" applyFont="1" applyBorder="1" applyAlignment="1">
      <alignment horizontal="center" vertical="center" wrapText="1"/>
    </xf>
    <xf numFmtId="165" fontId="27" fillId="0" borderId="10" xfId="10" applyNumberFormat="1" applyFont="1" applyBorder="1" applyAlignment="1">
      <alignment horizontal="center" vertical="center" wrapText="1"/>
    </xf>
    <xf numFmtId="0" fontId="28" fillId="0" borderId="0" xfId="10" applyFont="1" applyAlignment="1">
      <alignment vertical="center" wrapText="1"/>
    </xf>
    <xf numFmtId="0" fontId="27" fillId="0" borderId="10" xfId="10" applyFont="1" applyBorder="1" applyAlignment="1">
      <alignment vertical="center" wrapText="1"/>
    </xf>
    <xf numFmtId="0" fontId="28" fillId="0" borderId="10" xfId="10" applyFont="1" applyBorder="1" applyAlignment="1">
      <alignment vertical="center" wrapText="1"/>
    </xf>
    <xf numFmtId="0" fontId="28" fillId="0" borderId="10" xfId="10" applyFont="1" applyBorder="1" applyAlignment="1">
      <alignment horizontal="center" vertical="center" wrapText="1"/>
    </xf>
    <xf numFmtId="165" fontId="28" fillId="0" borderId="10" xfId="10" applyNumberFormat="1" applyFont="1" applyBorder="1" applyAlignment="1">
      <alignment horizontal="center" vertical="center" wrapText="1"/>
    </xf>
    <xf numFmtId="44" fontId="28" fillId="0" borderId="10" xfId="11" applyFont="1" applyFill="1" applyBorder="1" applyAlignment="1">
      <alignment horizontal="center" vertical="center" wrapText="1"/>
    </xf>
    <xf numFmtId="44" fontId="28" fillId="0" borderId="0" xfId="11" applyFont="1" applyAlignment="1">
      <alignment vertical="center" wrapText="1"/>
    </xf>
    <xf numFmtId="0" fontId="31" fillId="0" borderId="10" xfId="10" applyFont="1" applyBorder="1" applyAlignment="1">
      <alignment vertical="center" wrapText="1"/>
    </xf>
    <xf numFmtId="0" fontId="31" fillId="0" borderId="10" xfId="10" applyFont="1" applyBorder="1" applyAlignment="1">
      <alignment horizontal="center" vertical="center" wrapText="1"/>
    </xf>
    <xf numFmtId="44" fontId="31" fillId="0" borderId="10" xfId="11" applyFont="1" applyFill="1" applyBorder="1" applyAlignment="1">
      <alignment horizontal="center" vertical="center" wrapText="1"/>
    </xf>
    <xf numFmtId="0" fontId="27" fillId="14" borderId="10" xfId="10" applyFont="1" applyFill="1" applyBorder="1" applyAlignment="1">
      <alignment horizontal="right" vertical="center" wrapText="1"/>
    </xf>
    <xf numFmtId="0" fontId="27" fillId="14" borderId="10" xfId="10" applyFont="1" applyFill="1" applyBorder="1" applyAlignment="1">
      <alignment horizontal="center" vertical="center" wrapText="1"/>
    </xf>
    <xf numFmtId="44" fontId="27" fillId="14" borderId="10" xfId="11" applyFont="1" applyFill="1" applyBorder="1" applyAlignment="1">
      <alignment horizontal="center" vertical="center" wrapText="1"/>
    </xf>
    <xf numFmtId="44" fontId="27" fillId="0" borderId="10" xfId="11" applyFont="1" applyFill="1" applyBorder="1" applyAlignment="1">
      <alignment horizontal="center" vertical="center" wrapText="1"/>
    </xf>
    <xf numFmtId="0" fontId="27" fillId="0" borderId="0" xfId="10" applyFont="1" applyAlignment="1">
      <alignment vertical="center" wrapText="1"/>
    </xf>
    <xf numFmtId="44" fontId="27" fillId="0" borderId="0" xfId="10" applyNumberFormat="1" applyFont="1" applyAlignment="1">
      <alignment vertical="center" wrapText="1"/>
    </xf>
    <xf numFmtId="0" fontId="28" fillId="0" borderId="10" xfId="10" applyFont="1" applyBorder="1" applyAlignment="1">
      <alignment horizontal="left" vertical="center" wrapText="1"/>
    </xf>
    <xf numFmtId="0" fontId="31" fillId="0" borderId="0" xfId="10" applyFont="1" applyAlignment="1">
      <alignment vertical="center" wrapText="1"/>
    </xf>
    <xf numFmtId="0" fontId="31" fillId="0" borderId="10" xfId="10" applyFont="1" applyBorder="1" applyAlignment="1">
      <alignment horizontal="left" vertical="center" wrapText="1"/>
    </xf>
    <xf numFmtId="44" fontId="31" fillId="0" borderId="10" xfId="11" applyFont="1" applyBorder="1" applyAlignment="1">
      <alignment horizontal="center" vertical="center" wrapText="1"/>
    </xf>
    <xf numFmtId="44" fontId="28" fillId="0" borderId="10" xfId="11" applyFont="1" applyBorder="1" applyAlignment="1">
      <alignment horizontal="center" vertical="center" wrapText="1"/>
    </xf>
    <xf numFmtId="0" fontId="31" fillId="0" borderId="10" xfId="10" applyFont="1" applyBorder="1" applyAlignment="1">
      <alignment horizontal="center" vertical="center"/>
    </xf>
    <xf numFmtId="44" fontId="28" fillId="0" borderId="10" xfId="11" applyFont="1" applyBorder="1" applyAlignment="1">
      <alignment vertical="center"/>
    </xf>
    <xf numFmtId="0" fontId="27" fillId="0" borderId="10" xfId="10" applyFont="1" applyBorder="1" applyAlignment="1">
      <alignment vertical="center"/>
    </xf>
    <xf numFmtId="0" fontId="28" fillId="0" borderId="10" xfId="10" applyFont="1" applyBorder="1" applyAlignment="1">
      <alignment horizontal="center" vertical="center"/>
    </xf>
    <xf numFmtId="44" fontId="31" fillId="0" borderId="10" xfId="11" applyFont="1" applyBorder="1" applyAlignment="1">
      <alignment vertical="center"/>
    </xf>
    <xf numFmtId="44" fontId="31" fillId="0" borderId="10" xfId="11" applyFont="1" applyFill="1" applyBorder="1" applyAlignment="1">
      <alignment vertical="center"/>
    </xf>
    <xf numFmtId="44" fontId="28" fillId="0" borderId="10" xfId="11" applyFont="1" applyFill="1" applyBorder="1" applyAlignment="1">
      <alignment vertical="center"/>
    </xf>
    <xf numFmtId="44" fontId="27" fillId="14" borderId="10" xfId="11" applyFont="1" applyFill="1" applyBorder="1" applyAlignment="1">
      <alignment vertical="center" wrapText="1"/>
    </xf>
    <xf numFmtId="0" fontId="27" fillId="12" borderId="10" xfId="10" applyFont="1" applyFill="1" applyBorder="1" applyAlignment="1">
      <alignment horizontal="right" vertical="center" wrapText="1"/>
    </xf>
    <xf numFmtId="0" fontId="27" fillId="12" borderId="10" xfId="10" applyFont="1" applyFill="1" applyBorder="1" applyAlignment="1">
      <alignment horizontal="center" vertical="center" wrapText="1"/>
    </xf>
    <xf numFmtId="44" fontId="27" fillId="12" borderId="10" xfId="11" applyFont="1" applyFill="1" applyBorder="1" applyAlignment="1">
      <alignment vertical="center" wrapText="1"/>
    </xf>
    <xf numFmtId="44" fontId="27" fillId="21" borderId="10" xfId="11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44" fontId="28" fillId="0" borderId="0" xfId="10" applyNumberFormat="1" applyFont="1" applyAlignment="1">
      <alignment vertical="center" wrapText="1"/>
    </xf>
    <xf numFmtId="44" fontId="38" fillId="10" borderId="15" xfId="1" applyFont="1" applyFill="1" applyBorder="1" applyAlignment="1">
      <alignment horizontal="center" vertical="center"/>
    </xf>
    <xf numFmtId="44" fontId="27" fillId="0" borderId="10" xfId="1" applyFont="1" applyBorder="1" applyAlignment="1">
      <alignment horizontal="center" vertical="center" wrapText="1"/>
    </xf>
    <xf numFmtId="44" fontId="27" fillId="12" borderId="10" xfId="1" applyFont="1" applyFill="1" applyBorder="1" applyAlignment="1">
      <alignment horizontal="center" vertical="center" wrapText="1"/>
    </xf>
    <xf numFmtId="44" fontId="28" fillId="0" borderId="0" xfId="1" applyFont="1" applyAlignment="1">
      <alignment horizontal="center" vertical="center" wrapText="1"/>
    </xf>
    <xf numFmtId="0" fontId="31" fillId="0" borderId="10" xfId="10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 wrapText="1"/>
    </xf>
    <xf numFmtId="44" fontId="8" fillId="3" borderId="9" xfId="1" applyFont="1" applyFill="1" applyBorder="1" applyAlignment="1">
      <alignment vertical="center" wrapText="1"/>
    </xf>
    <xf numFmtId="44" fontId="7" fillId="4" borderId="1" xfId="1" applyFont="1" applyFill="1" applyBorder="1" applyAlignment="1">
      <alignment vertical="center" wrapText="1"/>
    </xf>
    <xf numFmtId="44" fontId="12" fillId="4" borderId="1" xfId="1" applyFont="1" applyFill="1" applyBorder="1" applyAlignment="1">
      <alignment vertical="center" wrapText="1"/>
    </xf>
    <xf numFmtId="44" fontId="0" fillId="0" borderId="0" xfId="1" applyFont="1" applyAlignment="1"/>
    <xf numFmtId="0" fontId="38" fillId="10" borderId="11" xfId="12" applyFont="1" applyFill="1" applyBorder="1" applyAlignment="1">
      <alignment horizontal="center" vertical="center"/>
    </xf>
    <xf numFmtId="0" fontId="38" fillId="10" borderId="15" xfId="13" applyFont="1" applyFill="1" applyBorder="1" applyAlignment="1">
      <alignment vertical="center"/>
    </xf>
    <xf numFmtId="0" fontId="38" fillId="10" borderId="15" xfId="13" applyFont="1" applyFill="1" applyBorder="1" applyAlignment="1">
      <alignment horizontal="center" vertical="center"/>
    </xf>
    <xf numFmtId="44" fontId="38" fillId="10" borderId="15" xfId="8" applyFont="1" applyFill="1" applyBorder="1" applyAlignment="1">
      <alignment horizontal="center" vertical="center"/>
    </xf>
    <xf numFmtId="0" fontId="38" fillId="10" borderId="12" xfId="13" applyFont="1" applyFill="1" applyBorder="1" applyAlignment="1">
      <alignment vertical="center"/>
    </xf>
    <xf numFmtId="0" fontId="28" fillId="0" borderId="0" xfId="13" applyFont="1" applyAlignment="1">
      <alignment vertical="center"/>
    </xf>
    <xf numFmtId="0" fontId="28" fillId="0" borderId="10" xfId="13" applyFont="1" applyBorder="1" applyAlignment="1">
      <alignment vertical="center"/>
    </xf>
    <xf numFmtId="0" fontId="38" fillId="0" borderId="10" xfId="13" applyFont="1" applyBorder="1" applyAlignment="1">
      <alignment horizontal="center" vertical="center" wrapText="1"/>
    </xf>
    <xf numFmtId="0" fontId="27" fillId="0" borderId="10" xfId="13" applyFont="1" applyBorder="1" applyAlignment="1">
      <alignment horizontal="center" vertical="center" wrapText="1"/>
    </xf>
    <xf numFmtId="165" fontId="27" fillId="0" borderId="10" xfId="13" applyNumberFormat="1" applyFont="1" applyBorder="1" applyAlignment="1">
      <alignment horizontal="center" vertical="center" wrapText="1"/>
    </xf>
    <xf numFmtId="44" fontId="27" fillId="0" borderId="10" xfId="8" applyFont="1" applyBorder="1" applyAlignment="1">
      <alignment horizontal="center" vertical="center" wrapText="1"/>
    </xf>
    <xf numFmtId="0" fontId="28" fillId="0" borderId="0" xfId="13" applyFont="1" applyAlignment="1">
      <alignment vertical="center" wrapText="1"/>
    </xf>
    <xf numFmtId="0" fontId="27" fillId="0" borderId="10" xfId="13" applyFont="1" applyBorder="1" applyAlignment="1">
      <alignment vertical="center" wrapText="1"/>
    </xf>
    <xf numFmtId="0" fontId="28" fillId="0" borderId="10" xfId="13" applyFont="1" applyBorder="1" applyAlignment="1">
      <alignment vertical="center" wrapText="1"/>
    </xf>
    <xf numFmtId="0" fontId="28" fillId="0" borderId="10" xfId="13" applyFont="1" applyBorder="1" applyAlignment="1">
      <alignment horizontal="center" vertical="center" wrapText="1"/>
    </xf>
    <xf numFmtId="165" fontId="28" fillId="0" borderId="10" xfId="13" applyNumberFormat="1" applyFont="1" applyBorder="1" applyAlignment="1">
      <alignment horizontal="center" vertical="center" wrapText="1"/>
    </xf>
    <xf numFmtId="44" fontId="28" fillId="0" borderId="10" xfId="14" applyFont="1" applyFill="1" applyBorder="1" applyAlignment="1">
      <alignment horizontal="center" vertical="center" wrapText="1"/>
    </xf>
    <xf numFmtId="44" fontId="28" fillId="0" borderId="10" xfId="8" applyFont="1" applyFill="1" applyBorder="1" applyAlignment="1">
      <alignment horizontal="center" vertical="center" wrapText="1"/>
    </xf>
    <xf numFmtId="44" fontId="28" fillId="0" borderId="0" xfId="14" applyFont="1" applyAlignment="1">
      <alignment vertical="center" wrapText="1"/>
    </xf>
    <xf numFmtId="0" fontId="31" fillId="0" borderId="10" xfId="13" applyFont="1" applyBorder="1" applyAlignment="1">
      <alignment vertical="center" wrapText="1"/>
    </xf>
    <xf numFmtId="0" fontId="31" fillId="0" borderId="10" xfId="13" applyFont="1" applyBorder="1" applyAlignment="1">
      <alignment horizontal="center" vertical="center" wrapText="1"/>
    </xf>
    <xf numFmtId="44" fontId="22" fillId="0" borderId="10" xfId="14" applyFont="1" applyBorder="1" applyAlignment="1">
      <alignment horizontal="center" vertical="center" wrapText="1"/>
    </xf>
    <xf numFmtId="44" fontId="28" fillId="0" borderId="10" xfId="14" applyFont="1" applyBorder="1" applyAlignment="1">
      <alignment horizontal="center" vertical="center" wrapText="1"/>
    </xf>
    <xf numFmtId="44" fontId="31" fillId="0" borderId="10" xfId="14" applyFont="1" applyFill="1" applyBorder="1" applyAlignment="1">
      <alignment horizontal="center" vertical="center" wrapText="1"/>
    </xf>
    <xf numFmtId="0" fontId="27" fillId="14" borderId="10" xfId="13" applyFont="1" applyFill="1" applyBorder="1" applyAlignment="1">
      <alignment horizontal="right" vertical="center" wrapText="1"/>
    </xf>
    <xf numFmtId="0" fontId="27" fillId="14" borderId="10" xfId="13" applyFont="1" applyFill="1" applyBorder="1" applyAlignment="1">
      <alignment horizontal="center" vertical="center" wrapText="1"/>
    </xf>
    <xf numFmtId="44" fontId="27" fillId="14" borderId="10" xfId="14" applyFont="1" applyFill="1" applyBorder="1" applyAlignment="1">
      <alignment horizontal="center" vertical="center" wrapText="1"/>
    </xf>
    <xf numFmtId="0" fontId="27" fillId="0" borderId="0" xfId="13" applyFont="1" applyAlignment="1">
      <alignment vertical="center" wrapText="1"/>
    </xf>
    <xf numFmtId="44" fontId="27" fillId="0" borderId="0" xfId="13" applyNumberFormat="1" applyFont="1" applyAlignment="1">
      <alignment vertical="center" wrapText="1"/>
    </xf>
    <xf numFmtId="0" fontId="28" fillId="0" borderId="10" xfId="13" applyFont="1" applyBorder="1" applyAlignment="1">
      <alignment horizontal="left" vertical="center" wrapText="1"/>
    </xf>
    <xf numFmtId="0" fontId="31" fillId="0" borderId="0" xfId="13" applyFont="1" applyAlignment="1">
      <alignment vertical="center" wrapText="1"/>
    </xf>
    <xf numFmtId="0" fontId="31" fillId="0" borderId="10" xfId="13" applyFont="1" applyBorder="1" applyAlignment="1">
      <alignment horizontal="left" vertical="center" wrapText="1"/>
    </xf>
    <xf numFmtId="44" fontId="31" fillId="0" borderId="10" xfId="14" applyFont="1" applyBorder="1" applyAlignment="1">
      <alignment horizontal="center" vertical="center" wrapText="1"/>
    </xf>
    <xf numFmtId="0" fontId="31" fillId="22" borderId="10" xfId="13" applyFont="1" applyFill="1" applyBorder="1" applyAlignment="1">
      <alignment horizontal="left" vertical="center" wrapText="1"/>
    </xf>
    <xf numFmtId="0" fontId="31" fillId="0" borderId="10" xfId="13" applyFont="1" applyBorder="1" applyAlignment="1">
      <alignment horizontal="center" vertical="center"/>
    </xf>
    <xf numFmtId="44" fontId="28" fillId="0" borderId="10" xfId="14" applyFont="1" applyBorder="1" applyAlignment="1">
      <alignment vertical="center"/>
    </xf>
    <xf numFmtId="0" fontId="27" fillId="0" borderId="10" xfId="13" applyFont="1" applyBorder="1" applyAlignment="1">
      <alignment vertical="center"/>
    </xf>
    <xf numFmtId="44" fontId="28" fillId="0" borderId="16" xfId="14" applyFont="1" applyBorder="1" applyAlignment="1">
      <alignment vertical="center"/>
    </xf>
    <xf numFmtId="0" fontId="28" fillId="0" borderId="10" xfId="13" applyFont="1" applyBorder="1" applyAlignment="1">
      <alignment horizontal="center" vertical="center"/>
    </xf>
    <xf numFmtId="44" fontId="28" fillId="0" borderId="11" xfId="14" applyFont="1" applyBorder="1" applyAlignment="1">
      <alignment vertical="center"/>
    </xf>
    <xf numFmtId="44" fontId="28" fillId="0" borderId="1" xfId="14" applyFont="1" applyBorder="1" applyAlignment="1">
      <alignment vertical="center"/>
    </xf>
    <xf numFmtId="44" fontId="28" fillId="0" borderId="12" xfId="14" applyFont="1" applyBorder="1" applyAlignment="1">
      <alignment vertical="center"/>
    </xf>
    <xf numFmtId="44" fontId="28" fillId="0" borderId="17" xfId="14" applyFont="1" applyBorder="1" applyAlignment="1">
      <alignment vertical="center"/>
    </xf>
    <xf numFmtId="44" fontId="28" fillId="0" borderId="10" xfId="14" applyFont="1" applyFill="1" applyBorder="1" applyAlignment="1">
      <alignment vertical="center"/>
    </xf>
    <xf numFmtId="0" fontId="31" fillId="0" borderId="10" xfId="13" applyFont="1" applyBorder="1" applyAlignment="1">
      <alignment vertical="center"/>
    </xf>
    <xf numFmtId="44" fontId="31" fillId="0" borderId="10" xfId="14" applyFont="1" applyFill="1" applyBorder="1" applyAlignment="1">
      <alignment vertical="center"/>
    </xf>
    <xf numFmtId="44" fontId="31" fillId="0" borderId="10" xfId="14" applyFont="1" applyBorder="1" applyAlignment="1">
      <alignment vertical="center"/>
    </xf>
    <xf numFmtId="44" fontId="27" fillId="14" borderId="10" xfId="14" applyFont="1" applyFill="1" applyBorder="1" applyAlignment="1">
      <alignment vertical="center" wrapText="1"/>
    </xf>
    <xf numFmtId="0" fontId="27" fillId="12" borderId="10" xfId="13" applyFont="1" applyFill="1" applyBorder="1" applyAlignment="1">
      <alignment horizontal="right" vertical="center" wrapText="1"/>
    </xf>
    <xf numFmtId="0" fontId="27" fillId="12" borderId="10" xfId="13" applyFont="1" applyFill="1" applyBorder="1" applyAlignment="1">
      <alignment horizontal="center" vertical="center" wrapText="1"/>
    </xf>
    <xf numFmtId="44" fontId="27" fillId="12" borderId="10" xfId="14" applyFont="1" applyFill="1" applyBorder="1" applyAlignment="1">
      <alignment vertical="center" wrapText="1"/>
    </xf>
    <xf numFmtId="44" fontId="27" fillId="12" borderId="10" xfId="8" applyFont="1" applyFill="1" applyBorder="1" applyAlignment="1">
      <alignment horizontal="center" vertical="center" wrapText="1"/>
    </xf>
    <xf numFmtId="44" fontId="27" fillId="21" borderId="10" xfId="14" applyFont="1" applyFill="1" applyBorder="1" applyAlignment="1">
      <alignment horizontal="center" vertical="center" wrapText="1"/>
    </xf>
    <xf numFmtId="0" fontId="28" fillId="0" borderId="0" xfId="13" applyFont="1" applyAlignment="1">
      <alignment horizontal="center" vertical="center" wrapText="1"/>
    </xf>
    <xf numFmtId="44" fontId="28" fillId="0" borderId="0" xfId="8" applyFont="1" applyAlignment="1">
      <alignment horizontal="center" vertical="center" wrapText="1"/>
    </xf>
    <xf numFmtId="44" fontId="28" fillId="0" borderId="0" xfId="13" applyNumberFormat="1" applyFont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6" fillId="8" borderId="10" xfId="0" applyFont="1" applyFill="1" applyBorder="1" applyAlignment="1">
      <alignment horizontal="right" vertical="center" wrapText="1"/>
    </xf>
    <xf numFmtId="0" fontId="10" fillId="0" borderId="10" xfId="0" applyFont="1" applyBorder="1"/>
    <xf numFmtId="0" fontId="40" fillId="8" borderId="10" xfId="0" applyFont="1" applyFill="1" applyBorder="1" applyAlignment="1">
      <alignment horizontal="right" vertical="center" wrapText="1"/>
    </xf>
    <xf numFmtId="0" fontId="45" fillId="0" borderId="10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10" fillId="0" borderId="6" xfId="0" applyFont="1" applyBorder="1"/>
    <xf numFmtId="44" fontId="40" fillId="15" borderId="16" xfId="1" applyFont="1" applyFill="1" applyBorder="1" applyAlignment="1">
      <alignment horizontal="center" vertical="center" wrapText="1"/>
    </xf>
    <xf numFmtId="44" fontId="40" fillId="15" borderId="17" xfId="1" applyFont="1" applyFill="1" applyBorder="1" applyAlignment="1">
      <alignment horizontal="center" vertical="center" wrapText="1"/>
    </xf>
    <xf numFmtId="44" fontId="40" fillId="15" borderId="25" xfId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right" vertical="center" wrapText="1"/>
    </xf>
    <xf numFmtId="0" fontId="7" fillId="4" borderId="15" xfId="0" applyFont="1" applyFill="1" applyBorder="1" applyAlignment="1">
      <alignment horizontal="right" vertical="center" wrapText="1"/>
    </xf>
    <xf numFmtId="0" fontId="7" fillId="4" borderId="12" xfId="0" applyFont="1" applyFill="1" applyBorder="1" applyAlignment="1">
      <alignment horizontal="right" vertical="center" wrapText="1"/>
    </xf>
    <xf numFmtId="44" fontId="9" fillId="0" borderId="2" xfId="1" applyFont="1" applyBorder="1" applyAlignment="1">
      <alignment horizontal="left" vertical="center" wrapText="1"/>
    </xf>
    <xf numFmtId="44" fontId="10" fillId="0" borderId="3" xfId="1" applyFont="1" applyBorder="1"/>
    <xf numFmtId="44" fontId="45" fillId="10" borderId="11" xfId="1" applyFont="1" applyFill="1" applyBorder="1" applyAlignment="1">
      <alignment horizontal="center" vertical="center"/>
    </xf>
    <xf numFmtId="44" fontId="45" fillId="10" borderId="27" xfId="1" applyFont="1" applyFill="1" applyBorder="1" applyAlignment="1">
      <alignment horizontal="center" vertical="center"/>
    </xf>
    <xf numFmtId="44" fontId="40" fillId="9" borderId="24" xfId="1" applyFont="1" applyFill="1" applyBorder="1" applyAlignment="1">
      <alignment horizontal="center" vertical="center" wrapText="1"/>
    </xf>
    <xf numFmtId="44" fontId="40" fillId="9" borderId="23" xfId="1" applyFont="1" applyFill="1" applyBorder="1" applyAlignment="1">
      <alignment horizontal="center" vertical="center" wrapText="1"/>
    </xf>
    <xf numFmtId="44" fontId="40" fillId="9" borderId="13" xfId="1" applyFont="1" applyFill="1" applyBorder="1" applyAlignment="1">
      <alignment horizontal="center" vertical="center" wrapText="1"/>
    </xf>
    <xf numFmtId="44" fontId="45" fillId="0" borderId="24" xfId="1" applyFont="1" applyBorder="1"/>
    <xf numFmtId="44" fontId="45" fillId="0" borderId="23" xfId="1" applyFont="1" applyBorder="1"/>
    <xf numFmtId="44" fontId="40" fillId="9" borderId="11" xfId="1" applyFont="1" applyFill="1" applyBorder="1" applyAlignment="1">
      <alignment horizontal="center" vertical="center" wrapText="1"/>
    </xf>
    <xf numFmtId="44" fontId="40" fillId="9" borderId="15" xfId="1" applyFont="1" applyFill="1" applyBorder="1" applyAlignment="1">
      <alignment horizontal="center" vertical="center" wrapText="1"/>
    </xf>
    <xf numFmtId="44" fontId="40" fillId="9" borderId="26" xfId="1" applyFont="1" applyFill="1" applyBorder="1" applyAlignment="1">
      <alignment horizontal="center" vertical="center" wrapText="1"/>
    </xf>
    <xf numFmtId="44" fontId="40" fillId="9" borderId="22" xfId="1" applyFont="1" applyFill="1" applyBorder="1" applyAlignment="1">
      <alignment horizontal="center" vertical="center" wrapText="1"/>
    </xf>
    <xf numFmtId="0" fontId="26" fillId="10" borderId="10" xfId="0" applyFont="1" applyFill="1" applyBorder="1" applyAlignment="1">
      <alignment horizontal="center" vertical="center"/>
    </xf>
    <xf numFmtId="0" fontId="27" fillId="12" borderId="15" xfId="0" applyFont="1" applyFill="1" applyBorder="1" applyAlignment="1">
      <alignment horizontal="right" vertical="center"/>
    </xf>
    <xf numFmtId="0" fontId="27" fillId="12" borderId="12" xfId="0" applyFont="1" applyFill="1" applyBorder="1" applyAlignment="1">
      <alignment horizontal="right" vertical="center"/>
    </xf>
    <xf numFmtId="0" fontId="28" fillId="0" borderId="0" xfId="15" applyFont="1" applyAlignment="1">
      <alignment vertical="center" wrapText="1"/>
    </xf>
    <xf numFmtId="44" fontId="28" fillId="0" borderId="0" xfId="14" applyFont="1" applyAlignment="1">
      <alignment horizontal="center" vertical="center" wrapText="1"/>
    </xf>
    <xf numFmtId="0" fontId="28" fillId="0" borderId="0" xfId="15" applyFont="1" applyAlignment="1">
      <alignment horizontal="center" vertical="center" wrapText="1"/>
    </xf>
    <xf numFmtId="44" fontId="28" fillId="0" borderId="0" xfId="15" applyNumberFormat="1" applyFont="1" applyAlignment="1">
      <alignment vertical="center" wrapText="1"/>
    </xf>
    <xf numFmtId="44" fontId="27" fillId="12" borderId="10" xfId="14" applyFont="1" applyFill="1" applyBorder="1" applyAlignment="1">
      <alignment horizontal="center" vertical="center" wrapText="1"/>
    </xf>
    <xf numFmtId="0" fontId="27" fillId="12" borderId="10" xfId="15" applyFont="1" applyFill="1" applyBorder="1" applyAlignment="1">
      <alignment horizontal="center" vertical="center" wrapText="1"/>
    </xf>
    <xf numFmtId="0" fontId="27" fillId="12" borderId="10" xfId="15" applyFont="1" applyFill="1" applyBorder="1" applyAlignment="1">
      <alignment horizontal="right" vertical="center" wrapText="1"/>
    </xf>
    <xf numFmtId="0" fontId="27" fillId="14" borderId="10" xfId="15" applyFont="1" applyFill="1" applyBorder="1" applyAlignment="1">
      <alignment horizontal="center" vertical="center" wrapText="1"/>
    </xf>
    <xf numFmtId="0" fontId="27" fillId="14" borderId="10" xfId="15" applyFont="1" applyFill="1" applyBorder="1" applyAlignment="1">
      <alignment horizontal="right" vertical="center" wrapText="1"/>
    </xf>
    <xf numFmtId="0" fontId="31" fillId="0" borderId="10" xfId="15" applyFont="1" applyBorder="1" applyAlignment="1">
      <alignment horizontal="center" vertical="center"/>
    </xf>
    <xf numFmtId="0" fontId="28" fillId="0" borderId="10" xfId="15" applyFont="1" applyBorder="1" applyAlignment="1">
      <alignment horizontal="center" vertical="center" wrapText="1"/>
    </xf>
    <xf numFmtId="0" fontId="28" fillId="0" borderId="10" xfId="15" applyFont="1" applyBorder="1" applyAlignment="1">
      <alignment vertical="center" wrapText="1"/>
    </xf>
    <xf numFmtId="0" fontId="31" fillId="0" borderId="10" xfId="15" applyFont="1" applyBorder="1" applyAlignment="1">
      <alignment vertical="center"/>
    </xf>
    <xf numFmtId="0" fontId="31" fillId="0" borderId="10" xfId="15" applyFont="1" applyBorder="1" applyAlignment="1">
      <alignment horizontal="center" vertical="center" wrapText="1"/>
    </xf>
    <xf numFmtId="0" fontId="28" fillId="0" borderId="10" xfId="15" applyFont="1" applyBorder="1" applyAlignment="1">
      <alignment horizontal="center" vertical="center"/>
    </xf>
    <xf numFmtId="0" fontId="28" fillId="0" borderId="10" xfId="15" applyFont="1" applyBorder="1" applyAlignment="1">
      <alignment vertical="center"/>
    </xf>
    <xf numFmtId="0" fontId="27" fillId="0" borderId="10" xfId="15" applyFont="1" applyBorder="1" applyAlignment="1">
      <alignment vertical="center"/>
    </xf>
    <xf numFmtId="0" fontId="27" fillId="0" borderId="10" xfId="15" applyFont="1" applyBorder="1" applyAlignment="1">
      <alignment vertical="center" wrapText="1"/>
    </xf>
    <xf numFmtId="0" fontId="31" fillId="0" borderId="10" xfId="15" applyFont="1" applyBorder="1" applyAlignment="1">
      <alignment vertical="center" wrapText="1"/>
    </xf>
    <xf numFmtId="0" fontId="31" fillId="0" borderId="10" xfId="15" applyFont="1" applyBorder="1" applyAlignment="1">
      <alignment horizontal="left" vertical="center" wrapText="1"/>
    </xf>
    <xf numFmtId="165" fontId="28" fillId="0" borderId="10" xfId="15" applyNumberFormat="1" applyFont="1" applyBorder="1" applyAlignment="1">
      <alignment horizontal="center" vertical="center" wrapText="1"/>
    </xf>
    <xf numFmtId="0" fontId="28" fillId="0" borderId="17" xfId="15" applyFont="1" applyBorder="1" applyAlignment="1">
      <alignment vertical="center" wrapText="1"/>
    </xf>
    <xf numFmtId="0" fontId="31" fillId="0" borderId="28" xfId="15" applyFont="1" applyBorder="1" applyAlignment="1">
      <alignment vertical="center" wrapText="1"/>
    </xf>
    <xf numFmtId="0" fontId="31" fillId="0" borderId="0" xfId="15" applyFont="1" applyAlignment="1">
      <alignment vertical="center" wrapText="1"/>
    </xf>
    <xf numFmtId="0" fontId="28" fillId="0" borderId="10" xfId="15" applyFont="1" applyBorder="1" applyAlignment="1">
      <alignment horizontal="left" vertical="center" wrapText="1"/>
    </xf>
    <xf numFmtId="0" fontId="27" fillId="0" borderId="0" xfId="15" applyFont="1" applyAlignment="1">
      <alignment vertical="center" wrapText="1"/>
    </xf>
    <xf numFmtId="44" fontId="27" fillId="0" borderId="0" xfId="15" applyNumberFormat="1" applyFont="1" applyAlignment="1">
      <alignment vertical="center" wrapText="1"/>
    </xf>
    <xf numFmtId="0" fontId="27" fillId="0" borderId="10" xfId="15" applyFont="1" applyBorder="1" applyAlignment="1">
      <alignment horizontal="center" vertical="center" wrapText="1"/>
    </xf>
    <xf numFmtId="165" fontId="27" fillId="0" borderId="10" xfId="15" applyNumberFormat="1" applyFont="1" applyBorder="1" applyAlignment="1">
      <alignment horizontal="center" vertical="center" wrapText="1"/>
    </xf>
    <xf numFmtId="44" fontId="27" fillId="0" borderId="10" xfId="14" applyFont="1" applyBorder="1" applyAlignment="1">
      <alignment horizontal="center" vertical="center" wrapText="1"/>
    </xf>
    <xf numFmtId="0" fontId="38" fillId="0" borderId="10" xfId="15" applyFont="1" applyBorder="1" applyAlignment="1">
      <alignment horizontal="center" vertical="center" wrapText="1"/>
    </xf>
    <xf numFmtId="0" fontId="28" fillId="0" borderId="0" xfId="15" applyFont="1" applyAlignment="1">
      <alignment vertical="center"/>
    </xf>
    <xf numFmtId="0" fontId="38" fillId="10" borderId="12" xfId="15" applyFont="1" applyFill="1" applyBorder="1" applyAlignment="1">
      <alignment vertical="center"/>
    </xf>
    <xf numFmtId="0" fontId="38" fillId="10" borderId="15" xfId="15" applyFont="1" applyFill="1" applyBorder="1" applyAlignment="1">
      <alignment vertical="center"/>
    </xf>
    <xf numFmtId="44" fontId="38" fillId="10" borderId="15" xfId="14" applyFont="1" applyFill="1" applyBorder="1" applyAlignment="1">
      <alignment horizontal="center" vertical="center"/>
    </xf>
    <xf numFmtId="0" fontId="38" fillId="10" borderId="15" xfId="15" applyFont="1" applyFill="1" applyBorder="1" applyAlignment="1">
      <alignment horizontal="center" vertical="center"/>
    </xf>
    <xf numFmtId="0" fontId="38" fillId="10" borderId="11" xfId="16" applyFont="1" applyFill="1" applyBorder="1" applyAlignment="1">
      <alignment horizontal="center" vertical="center"/>
    </xf>
  </cellXfs>
  <cellStyles count="17">
    <cellStyle name="Moeda" xfId="1" builtinId="4"/>
    <cellStyle name="Moeda 2" xfId="4" xr:uid="{D938A684-36AD-4F1B-A636-EF397D7A97A3}"/>
    <cellStyle name="Moeda 2 2" xfId="11" xr:uid="{0C94A954-B317-4229-A013-5E5B257DAFFE}"/>
    <cellStyle name="Moeda 2 2 2" xfId="14" xr:uid="{57A44E72-275A-41C4-90FC-B4B7FB8964DF}"/>
    <cellStyle name="Moeda 3" xfId="8" xr:uid="{AFD79A9B-9A31-4E97-9F0C-D04057A7500A}"/>
    <cellStyle name="Normal" xfId="0" builtinId="0"/>
    <cellStyle name="Normal 2" xfId="3" xr:uid="{821B3584-4312-4C49-942E-251BDDDB0142}"/>
    <cellStyle name="Normal 2 2" xfId="5" xr:uid="{71BC8B48-F887-4041-9E3D-C45002426056}"/>
    <cellStyle name="Normal 2 2 2" xfId="7" xr:uid="{D566FF8B-3A0E-4B02-B428-480CB22DD7FC}"/>
    <cellStyle name="Normal 2 2 2 2" xfId="9" xr:uid="{30668612-4E40-42E4-9AC8-785AB87346F9}"/>
    <cellStyle name="Normal 2 2 2 2 2" xfId="12" xr:uid="{A5012687-0E44-497F-8850-E5D7F0204D47}"/>
    <cellStyle name="Normal 2 2 2 2 3" xfId="16" xr:uid="{86379B8D-A8DF-4642-84B1-1D0930668023}"/>
    <cellStyle name="Normal 2 3" xfId="6" xr:uid="{A972177B-C04D-4145-AD8B-A832290EB962}"/>
    <cellStyle name="Normal 2 3 2" xfId="10" xr:uid="{E848EF5C-07A0-4F50-8333-194AE61FB890}"/>
    <cellStyle name="Normal 2 3 2 2" xfId="13" xr:uid="{7AD5C2C7-EF01-427C-B4CB-5EB1307A9A63}"/>
    <cellStyle name="Normal 2 3 2 3" xfId="15" xr:uid="{5E55B493-3740-496C-8E4C-426A2D7A6024}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passe Médico Hospital UnihealthGV" id="{F9076300-6199-43B2-924D-998C4663AB0E}" userId="S::repassemedico.hu@unihealthgv.org.br::3a0f88ef-04c4-415b-8bb7-7255fe498f7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7" dT="2025-05-08T12:45:10.87" personId="{F9076300-6199-43B2-924D-998C4663AB0E}" id="{9E7518A5-621A-40BD-8FED-7B906D33CC99}">
    <text>No mês de Abril o Dr Márcio ficou sozinho na escala da Hemodinâmica.</text>
  </threadedComment>
  <threadedComment ref="P54" dT="2025-05-08T15:42:54.26" personId="{F9076300-6199-43B2-924D-998C4663AB0E}" id="{560350BB-5A3D-469D-A88E-CAADA50A9948}">
    <text>Pagamento RM Endoscopia Janeiro-Fevereiro,Março e Abril</text>
  </threadedComment>
  <threadedComment ref="O64" dT="2025-05-08T15:52:47.55" personId="{F9076300-6199-43B2-924D-998C4663AB0E}" id="{743862D9-25A4-403D-BCD7-D574916227A6}">
    <text>Particular
Fevereiro R$ 213,00
Abril R$ 84,00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44" dT="2025-06-04T21:38:40.24" personId="{F9076300-6199-43B2-924D-998C4663AB0E}" id="{1C6DAF7E-463C-4858-B4F2-1601CC954520}">
    <text>Licença Maternidade</text>
  </threadedComment>
  <threadedComment ref="Q53" dT="2025-05-08T12:45:10.87" personId="{F9076300-6199-43B2-924D-998C4663AB0E}" id="{0EDD74FE-62DB-4274-AFC4-BB04529C870D}">
    <text>6.250,00 Fixo Hemodinâmica.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"/>
  <sheetViews>
    <sheetView showGridLines="0" workbookViewId="0">
      <selection activeCell="G13" sqref="G13"/>
    </sheetView>
  </sheetViews>
  <sheetFormatPr defaultColWidth="12.6640625" defaultRowHeight="15.75" customHeight="1" x14ac:dyDescent="0.25"/>
  <cols>
    <col min="1" max="1" width="7.33203125" customWidth="1"/>
    <col min="2" max="2" width="22.33203125" customWidth="1"/>
    <col min="3" max="3" width="15.44140625" customWidth="1"/>
    <col min="4" max="4" width="50" customWidth="1"/>
    <col min="5" max="9" width="16.33203125" customWidth="1"/>
  </cols>
  <sheetData>
    <row r="1" spans="1:9" ht="29.25" customHeight="1" x14ac:dyDescent="0.25">
      <c r="A1" s="1"/>
      <c r="B1" s="208"/>
      <c r="C1" s="209"/>
      <c r="D1" s="207" t="s">
        <v>471</v>
      </c>
      <c r="E1" s="209"/>
      <c r="F1" s="174" t="s">
        <v>504</v>
      </c>
      <c r="G1" s="174" t="s">
        <v>505</v>
      </c>
      <c r="H1" s="174" t="s">
        <v>506</v>
      </c>
      <c r="I1" s="174" t="s">
        <v>570</v>
      </c>
    </row>
    <row r="2" spans="1:9" ht="29.25" customHeight="1" x14ac:dyDescent="0.25">
      <c r="A2" s="1"/>
      <c r="B2" s="18" t="s">
        <v>0</v>
      </c>
      <c r="C2" s="18" t="s">
        <v>1</v>
      </c>
      <c r="D2" s="18" t="s">
        <v>2</v>
      </c>
      <c r="E2" s="18" t="s">
        <v>3</v>
      </c>
      <c r="F2" s="196" t="s">
        <v>62</v>
      </c>
      <c r="G2" s="196" t="s">
        <v>62</v>
      </c>
      <c r="H2" s="196" t="s">
        <v>62</v>
      </c>
      <c r="I2" s="196"/>
    </row>
    <row r="3" spans="1:9" ht="37.5" customHeight="1" x14ac:dyDescent="0.25">
      <c r="A3" s="3"/>
      <c r="B3" s="4" t="s">
        <v>4</v>
      </c>
      <c r="C3" s="5" t="s">
        <v>5</v>
      </c>
      <c r="D3" s="6" t="s">
        <v>6</v>
      </c>
      <c r="E3" s="16">
        <f>Bloco01!C25</f>
        <v>145000</v>
      </c>
      <c r="F3" s="23">
        <f>Bloco01!D25</f>
        <v>132500</v>
      </c>
      <c r="G3" s="23">
        <f>Bloco01!E25</f>
        <v>147500</v>
      </c>
      <c r="H3" s="164">
        <f>Bloco01!F25</f>
        <v>137500</v>
      </c>
      <c r="I3" s="164"/>
    </row>
    <row r="4" spans="1:9" ht="29.25" customHeight="1" x14ac:dyDescent="0.25">
      <c r="A4" s="3"/>
      <c r="B4" s="17" t="s">
        <v>454</v>
      </c>
      <c r="C4" s="337" t="s">
        <v>7</v>
      </c>
      <c r="D4" s="6" t="s">
        <v>8</v>
      </c>
      <c r="E4" s="16">
        <f>Bloco02!B46</f>
        <v>422500</v>
      </c>
      <c r="F4" s="23">
        <f>Bloco02!E46</f>
        <v>374999.99999999994</v>
      </c>
      <c r="G4" s="23">
        <f>Bloco02!F46</f>
        <v>387499.99999999994</v>
      </c>
      <c r="H4" s="164">
        <f>Bloco02!G46</f>
        <v>387749.99999999994</v>
      </c>
      <c r="I4" s="164"/>
    </row>
    <row r="5" spans="1:9" ht="29.25" customHeight="1" x14ac:dyDescent="0.25">
      <c r="A5" s="3"/>
      <c r="B5" s="17" t="s">
        <v>9</v>
      </c>
      <c r="C5" s="338"/>
      <c r="D5" s="157" t="s">
        <v>10</v>
      </c>
      <c r="E5" s="16">
        <f>Bloco03!F24</f>
        <v>1506394.0499999998</v>
      </c>
      <c r="F5" s="23">
        <f>Bloco03!G24</f>
        <v>1609052.6400000001</v>
      </c>
      <c r="G5" s="23">
        <f>Bloco03!H24</f>
        <v>1403024.6600000001</v>
      </c>
      <c r="H5" s="164">
        <f>Bloco03!I24</f>
        <v>1553018.42</v>
      </c>
      <c r="I5" s="164"/>
    </row>
    <row r="6" spans="1:9" ht="29.25" customHeight="1" x14ac:dyDescent="0.25">
      <c r="A6" s="3"/>
      <c r="B6" s="339" t="s">
        <v>578</v>
      </c>
      <c r="C6" s="340"/>
      <c r="D6" s="340"/>
      <c r="E6" s="111">
        <f>SUM(E3:E5)</f>
        <v>2073894.0499999998</v>
      </c>
      <c r="F6" s="111">
        <f t="shared" ref="F6:I6" si="0">SUM(F3:F5)</f>
        <v>2116552.64</v>
      </c>
      <c r="G6" s="111">
        <f t="shared" si="0"/>
        <v>1938024.6600000001</v>
      </c>
      <c r="H6" s="111">
        <f t="shared" si="0"/>
        <v>2078268.42</v>
      </c>
      <c r="I6" s="111">
        <f t="shared" si="0"/>
        <v>0</v>
      </c>
    </row>
    <row r="7" spans="1:9" ht="14.4" customHeight="1" x14ac:dyDescent="0.25">
      <c r="A7" s="3"/>
      <c r="B7" s="341" t="s">
        <v>579</v>
      </c>
      <c r="C7" s="342"/>
      <c r="D7" s="342"/>
      <c r="E7" s="186"/>
      <c r="F7" s="186">
        <f>E5-F5</f>
        <v>-102658.59000000032</v>
      </c>
      <c r="G7" s="186">
        <f>E5-G5</f>
        <v>103369.38999999966</v>
      </c>
      <c r="H7" s="186">
        <f>E5-H5</f>
        <v>-46624.370000000112</v>
      </c>
      <c r="I7" s="186"/>
    </row>
    <row r="8" spans="1:9" ht="52.8" x14ac:dyDescent="0.25">
      <c r="A8" s="9"/>
      <c r="B8" s="156" t="s">
        <v>469</v>
      </c>
      <c r="C8" s="163" t="s">
        <v>480</v>
      </c>
      <c r="D8" s="157" t="s">
        <v>481</v>
      </c>
      <c r="E8" s="100">
        <f>Bloco04!B5</f>
        <v>217390.73</v>
      </c>
      <c r="F8" s="110">
        <f>Bloco04!E5</f>
        <v>161166.70499999999</v>
      </c>
      <c r="G8" s="110">
        <f>Bloco04!F5</f>
        <v>208888.94499999998</v>
      </c>
      <c r="H8" s="164">
        <f>Bloco04!G5</f>
        <v>431343.85999999993</v>
      </c>
      <c r="I8" s="164"/>
    </row>
    <row r="9" spans="1:9" ht="30" customHeight="1" x14ac:dyDescent="0.25">
      <c r="A9" s="3"/>
      <c r="B9" s="339" t="s">
        <v>580</v>
      </c>
      <c r="C9" s="340"/>
      <c r="D9" s="340"/>
      <c r="E9" s="111">
        <f>E6+E8</f>
        <v>2291284.7799999998</v>
      </c>
      <c r="F9" s="111">
        <f t="shared" ref="F9:I9" si="1">F6+F8</f>
        <v>2277719.3450000002</v>
      </c>
      <c r="G9" s="111">
        <f t="shared" si="1"/>
        <v>2146913.605</v>
      </c>
      <c r="H9" s="111">
        <f t="shared" si="1"/>
        <v>2509612.2799999998</v>
      </c>
      <c r="I9" s="111">
        <f t="shared" si="1"/>
        <v>0</v>
      </c>
    </row>
    <row r="10" spans="1:9" ht="15.75" customHeight="1" x14ac:dyDescent="0.25">
      <c r="F10" s="108"/>
      <c r="G10" s="108"/>
      <c r="H10" s="113"/>
      <c r="I10" s="113"/>
    </row>
  </sheetData>
  <mergeCells count="4">
    <mergeCell ref="C4:C5"/>
    <mergeCell ref="B9:D9"/>
    <mergeCell ref="B7:D7"/>
    <mergeCell ref="B6:D6"/>
  </mergeCells>
  <conditionalFormatting sqref="E7:I7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6EC0-4677-4473-8BD9-60269715ACB5}">
  <sheetPr>
    <pageSetUpPr fitToPage="1"/>
  </sheetPr>
  <dimension ref="A1:AH324"/>
  <sheetViews>
    <sheetView tabSelected="1" zoomScale="85" zoomScaleNormal="85" workbookViewId="0">
      <pane ySplit="2" topLeftCell="A110" activePane="bottomLeft" state="frozen"/>
      <selection pane="bottomLeft" activeCell="A11" sqref="A11"/>
    </sheetView>
  </sheetViews>
  <sheetFormatPr defaultColWidth="9.109375" defaultRowHeight="15" customHeight="1" x14ac:dyDescent="0.25"/>
  <cols>
    <col min="1" max="1" width="51.109375" style="367" customWidth="1"/>
    <col min="2" max="2" width="15.44140625" style="367" customWidth="1"/>
    <col min="3" max="3" width="19.44140625" style="369" customWidth="1"/>
    <col min="4" max="4" width="21.6640625" style="369" customWidth="1"/>
    <col min="5" max="5" width="20.44140625" style="367" customWidth="1"/>
    <col min="6" max="13" width="21.5546875" style="367" customWidth="1"/>
    <col min="14" max="14" width="20.6640625" style="368" customWidth="1"/>
    <col min="15" max="15" width="14.88671875" style="367" customWidth="1"/>
    <col min="16" max="16" width="22.6640625" style="367" customWidth="1"/>
    <col min="17" max="17" width="16.6640625" style="367" customWidth="1"/>
    <col min="18" max="18" width="21.44140625" style="367" customWidth="1"/>
    <col min="19" max="19" width="9.109375" style="367"/>
    <col min="20" max="20" width="19.109375" style="367" customWidth="1"/>
    <col min="21" max="16384" width="9.109375" style="367"/>
  </cols>
  <sheetData>
    <row r="1" spans="1:34" s="382" customFormat="1" ht="30" customHeight="1" x14ac:dyDescent="0.25">
      <c r="A1" s="403" t="s">
        <v>610</v>
      </c>
      <c r="B1" s="400"/>
      <c r="C1" s="402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1"/>
      <c r="O1" s="400"/>
      <c r="P1" s="400"/>
      <c r="Q1" s="400"/>
      <c r="R1" s="399"/>
      <c r="S1" s="398"/>
      <c r="T1" s="398"/>
      <c r="U1" s="398"/>
      <c r="V1" s="398"/>
      <c r="W1" s="398"/>
      <c r="X1" s="398"/>
      <c r="Y1" s="398"/>
      <c r="Z1" s="398"/>
      <c r="AA1" s="398"/>
      <c r="AB1" s="398"/>
      <c r="AC1" s="398"/>
      <c r="AD1" s="398"/>
      <c r="AE1" s="398"/>
      <c r="AF1" s="398"/>
      <c r="AG1" s="398"/>
      <c r="AH1" s="398"/>
    </row>
    <row r="2" spans="1:34" ht="40.200000000000003" customHeight="1" x14ac:dyDescent="0.25">
      <c r="A2" s="397" t="s">
        <v>544</v>
      </c>
      <c r="B2" s="397" t="s">
        <v>526</v>
      </c>
      <c r="C2" s="397" t="s">
        <v>498</v>
      </c>
      <c r="D2" s="394" t="s">
        <v>545</v>
      </c>
      <c r="E2" s="395" t="s">
        <v>546</v>
      </c>
      <c r="F2" s="395" t="s">
        <v>548</v>
      </c>
      <c r="G2" s="395" t="s">
        <v>527</v>
      </c>
      <c r="H2" s="395" t="s">
        <v>528</v>
      </c>
      <c r="I2" s="395" t="s">
        <v>529</v>
      </c>
      <c r="J2" s="395" t="s">
        <v>530</v>
      </c>
      <c r="K2" s="395" t="s">
        <v>531</v>
      </c>
      <c r="L2" s="395" t="s">
        <v>569</v>
      </c>
      <c r="M2" s="395" t="s">
        <v>532</v>
      </c>
      <c r="N2" s="396" t="s">
        <v>542</v>
      </c>
      <c r="O2" s="395" t="s">
        <v>82</v>
      </c>
      <c r="P2" s="395" t="s">
        <v>543</v>
      </c>
      <c r="Q2" s="395" t="s">
        <v>549</v>
      </c>
      <c r="R2" s="394" t="s">
        <v>85</v>
      </c>
    </row>
    <row r="3" spans="1:34" ht="19.95" customHeight="1" x14ac:dyDescent="0.25">
      <c r="A3" s="384" t="s">
        <v>386</v>
      </c>
      <c r="B3" s="378"/>
      <c r="C3" s="377" t="s">
        <v>499</v>
      </c>
      <c r="D3" s="387" t="s">
        <v>110</v>
      </c>
      <c r="E3" s="297">
        <v>91083</v>
      </c>
      <c r="F3" s="297"/>
      <c r="G3" s="297"/>
      <c r="H3" s="297"/>
      <c r="I3" s="297">
        <v>22601.64</v>
      </c>
      <c r="J3" s="297"/>
      <c r="K3" s="297"/>
      <c r="L3" s="297"/>
      <c r="M3" s="297"/>
      <c r="N3" s="297">
        <f>SUM(G3:M3)</f>
        <v>22601.64</v>
      </c>
      <c r="O3" s="297">
        <v>31963.26</v>
      </c>
      <c r="P3" s="297">
        <v>5000</v>
      </c>
      <c r="Q3" s="297"/>
      <c r="R3" s="297">
        <f>E3+F3+N3+O3+P3+Q3</f>
        <v>150647.9</v>
      </c>
    </row>
    <row r="4" spans="1:34" ht="19.95" customHeight="1" x14ac:dyDescent="0.25">
      <c r="A4" s="378" t="s">
        <v>461</v>
      </c>
      <c r="B4" s="378">
        <v>1507</v>
      </c>
      <c r="C4" s="377" t="s">
        <v>499</v>
      </c>
      <c r="D4" s="387"/>
      <c r="E4" s="297"/>
      <c r="F4" s="297"/>
      <c r="G4" s="297"/>
      <c r="H4" s="297"/>
      <c r="I4" s="297"/>
      <c r="J4" s="297"/>
      <c r="K4" s="297"/>
      <c r="L4" s="297"/>
      <c r="M4" s="297"/>
      <c r="N4" s="297">
        <f>SUM(G4:M4)</f>
        <v>0</v>
      </c>
      <c r="O4" s="297"/>
      <c r="P4" s="299">
        <v>15000</v>
      </c>
      <c r="Q4" s="297"/>
      <c r="R4" s="297">
        <f>E4+F4+N4+O4+P4+Q4</f>
        <v>15000</v>
      </c>
    </row>
    <row r="5" spans="1:34" ht="19.95" customHeight="1" x14ac:dyDescent="0.25">
      <c r="A5" s="378" t="s">
        <v>86</v>
      </c>
      <c r="B5" s="378">
        <v>120</v>
      </c>
      <c r="C5" s="377" t="s">
        <v>499</v>
      </c>
      <c r="D5" s="377" t="s">
        <v>87</v>
      </c>
      <c r="E5" s="297">
        <v>5092.5</v>
      </c>
      <c r="F5" s="297">
        <v>1164</v>
      </c>
      <c r="G5" s="297"/>
      <c r="H5" s="297"/>
      <c r="I5" s="297"/>
      <c r="J5" s="297"/>
      <c r="K5" s="297"/>
      <c r="L5" s="297"/>
      <c r="M5" s="297"/>
      <c r="N5" s="297">
        <f>SUM(G5:M5)</f>
        <v>0</v>
      </c>
      <c r="O5" s="297"/>
      <c r="P5" s="297"/>
      <c r="Q5" s="297"/>
      <c r="R5" s="297">
        <f>E5+F5+N5+O5+P5+Q5</f>
        <v>6256.5</v>
      </c>
    </row>
    <row r="6" spans="1:34" ht="19.95" customHeight="1" x14ac:dyDescent="0.25">
      <c r="A6" s="378" t="s">
        <v>462</v>
      </c>
      <c r="B6" s="378">
        <v>706</v>
      </c>
      <c r="C6" s="377" t="s">
        <v>499</v>
      </c>
      <c r="D6" s="377"/>
      <c r="E6" s="297"/>
      <c r="F6" s="297"/>
      <c r="G6" s="297"/>
      <c r="H6" s="297"/>
      <c r="I6" s="297">
        <v>85.49</v>
      </c>
      <c r="J6" s="297"/>
      <c r="K6" s="297"/>
      <c r="L6" s="297"/>
      <c r="M6" s="297"/>
      <c r="N6" s="297">
        <f>SUM(G6:M6)</f>
        <v>85.49</v>
      </c>
      <c r="O6" s="297">
        <v>285</v>
      </c>
      <c r="P6" s="297"/>
      <c r="Q6" s="297"/>
      <c r="R6" s="297">
        <f>E6+F6+N6+O6+P6+Q6</f>
        <v>370.49</v>
      </c>
    </row>
    <row r="7" spans="1:34" ht="19.95" customHeight="1" x14ac:dyDescent="0.25">
      <c r="A7" s="378" t="s">
        <v>573</v>
      </c>
      <c r="B7" s="378">
        <v>792</v>
      </c>
      <c r="C7" s="377" t="s">
        <v>499</v>
      </c>
      <c r="D7" s="377" t="s">
        <v>91</v>
      </c>
      <c r="E7" s="297">
        <v>8184.38</v>
      </c>
      <c r="F7" s="297"/>
      <c r="G7" s="297"/>
      <c r="H7" s="297"/>
      <c r="I7" s="297">
        <v>3069.84</v>
      </c>
      <c r="J7" s="297"/>
      <c r="K7" s="297"/>
      <c r="L7" s="297"/>
      <c r="M7" s="297">
        <v>1459.85</v>
      </c>
      <c r="N7" s="297">
        <f>SUM(G7:M7)</f>
        <v>4529.6900000000005</v>
      </c>
      <c r="O7" s="297">
        <v>1498.86</v>
      </c>
      <c r="P7" s="297"/>
      <c r="Q7" s="297">
        <v>12500</v>
      </c>
      <c r="R7" s="297">
        <f>E7+F7+N7+O7+P7+Q7</f>
        <v>26712.93</v>
      </c>
    </row>
    <row r="8" spans="1:34" ht="19.95" customHeight="1" x14ac:dyDescent="0.25">
      <c r="A8" s="378" t="s">
        <v>92</v>
      </c>
      <c r="B8" s="378">
        <v>1939</v>
      </c>
      <c r="C8" s="377" t="s">
        <v>499</v>
      </c>
      <c r="D8" s="377" t="s">
        <v>93</v>
      </c>
      <c r="E8" s="297"/>
      <c r="F8" s="297"/>
      <c r="G8" s="297"/>
      <c r="H8" s="297"/>
      <c r="I8" s="297"/>
      <c r="J8" s="297"/>
      <c r="K8" s="297"/>
      <c r="L8" s="297"/>
      <c r="M8" s="297"/>
      <c r="N8" s="297">
        <f>SUM(G8:M8)</f>
        <v>0</v>
      </c>
      <c r="O8" s="297"/>
      <c r="P8" s="297"/>
      <c r="Q8" s="297"/>
      <c r="R8" s="297">
        <f>E8+F8+N8+O8+P8+Q8</f>
        <v>0</v>
      </c>
    </row>
    <row r="9" spans="1:34" ht="19.95" customHeight="1" x14ac:dyDescent="0.25">
      <c r="A9" s="385" t="s">
        <v>148</v>
      </c>
      <c r="B9" s="378">
        <v>1516</v>
      </c>
      <c r="C9" s="377" t="s">
        <v>499</v>
      </c>
      <c r="D9" s="380" t="s">
        <v>103</v>
      </c>
      <c r="E9" s="297"/>
      <c r="F9" s="297"/>
      <c r="G9" s="297"/>
      <c r="H9" s="297"/>
      <c r="I9" s="297"/>
      <c r="J9" s="297"/>
      <c r="K9" s="297"/>
      <c r="L9" s="297"/>
      <c r="M9" s="297">
        <v>339.5</v>
      </c>
      <c r="N9" s="297">
        <f>SUM(G9:M9)</f>
        <v>339.5</v>
      </c>
      <c r="O9" s="297"/>
      <c r="P9" s="297"/>
      <c r="Q9" s="297"/>
      <c r="R9" s="297">
        <f>E9+F9+N9+O9+P9+Q9</f>
        <v>339.5</v>
      </c>
    </row>
    <row r="10" spans="1:34" ht="19.95" customHeight="1" x14ac:dyDescent="0.25">
      <c r="A10" s="378" t="s">
        <v>473</v>
      </c>
      <c r="B10" s="378">
        <v>49</v>
      </c>
      <c r="C10" s="377" t="s">
        <v>499</v>
      </c>
      <c r="D10" s="377" t="s">
        <v>95</v>
      </c>
      <c r="E10" s="297">
        <v>42834.720000000001</v>
      </c>
      <c r="F10" s="297"/>
      <c r="G10" s="297"/>
      <c r="H10" s="297"/>
      <c r="I10" s="297">
        <v>687.39</v>
      </c>
      <c r="J10" s="297"/>
      <c r="K10" s="297"/>
      <c r="L10" s="297"/>
      <c r="M10" s="297"/>
      <c r="N10" s="297">
        <f>SUM(G10:M10)</f>
        <v>687.39</v>
      </c>
      <c r="O10" s="297">
        <v>3132.64</v>
      </c>
      <c r="P10" s="297">
        <v>5000</v>
      </c>
      <c r="Q10" s="297">
        <v>8467.5</v>
      </c>
      <c r="R10" s="297">
        <f>E10+F10+N10+O10+P10+Q10</f>
        <v>60122.25</v>
      </c>
    </row>
    <row r="11" spans="1:34" ht="19.95" customHeight="1" x14ac:dyDescent="0.25">
      <c r="A11" s="378" t="s">
        <v>149</v>
      </c>
      <c r="B11" s="378">
        <v>2381</v>
      </c>
      <c r="C11" s="377" t="s">
        <v>499</v>
      </c>
      <c r="D11" s="377" t="s">
        <v>93</v>
      </c>
      <c r="E11" s="297">
        <v>3880</v>
      </c>
      <c r="F11" s="297"/>
      <c r="G11" s="297"/>
      <c r="H11" s="297"/>
      <c r="I11" s="297"/>
      <c r="J11" s="297"/>
      <c r="K11" s="297"/>
      <c r="L11" s="297"/>
      <c r="M11" s="297"/>
      <c r="N11" s="297">
        <f>SUM(G11:M11)</f>
        <v>0</v>
      </c>
      <c r="O11" s="297"/>
      <c r="P11" s="297"/>
      <c r="Q11" s="297"/>
      <c r="R11" s="297">
        <f>E11+F11+N11+O11+P11+Q11</f>
        <v>3880</v>
      </c>
    </row>
    <row r="12" spans="1:34" ht="19.95" customHeight="1" x14ac:dyDescent="0.25">
      <c r="A12" s="378" t="s">
        <v>96</v>
      </c>
      <c r="B12" s="378">
        <v>791</v>
      </c>
      <c r="C12" s="377" t="s">
        <v>499</v>
      </c>
      <c r="D12" s="377" t="s">
        <v>91</v>
      </c>
      <c r="E12" s="297">
        <v>10912.5</v>
      </c>
      <c r="F12" s="297"/>
      <c r="G12" s="297"/>
      <c r="H12" s="297"/>
      <c r="I12" s="297"/>
      <c r="J12" s="297"/>
      <c r="K12" s="297"/>
      <c r="L12" s="297">
        <v>9150</v>
      </c>
      <c r="M12" s="297"/>
      <c r="N12" s="297">
        <f>SUM(G12:M12)</f>
        <v>9150</v>
      </c>
      <c r="O12" s="297">
        <f>396+481.56</f>
        <v>877.56</v>
      </c>
      <c r="P12" s="297"/>
      <c r="Q12" s="297"/>
      <c r="R12" s="297">
        <f>E12+F12+N12+O12+P12+Q12</f>
        <v>20940.060000000001</v>
      </c>
    </row>
    <row r="13" spans="1:34" ht="19.95" customHeight="1" x14ac:dyDescent="0.25">
      <c r="A13" s="385" t="s">
        <v>152</v>
      </c>
      <c r="B13" s="378">
        <v>1092</v>
      </c>
      <c r="C13" s="377" t="s">
        <v>499</v>
      </c>
      <c r="D13" s="377" t="s">
        <v>87</v>
      </c>
      <c r="E13" s="297">
        <v>11439.53</v>
      </c>
      <c r="F13" s="297">
        <v>145.5</v>
      </c>
      <c r="G13" s="297"/>
      <c r="H13" s="297"/>
      <c r="I13" s="297">
        <v>72.739999999999995</v>
      </c>
      <c r="J13" s="297"/>
      <c r="K13" s="297"/>
      <c r="L13" s="297"/>
      <c r="M13" s="297"/>
      <c r="N13" s="297">
        <f>SUM(G13:M13)</f>
        <v>72.739999999999995</v>
      </c>
      <c r="O13" s="297">
        <v>1460.42</v>
      </c>
      <c r="P13" s="297">
        <v>2500</v>
      </c>
      <c r="Q13" s="297"/>
      <c r="R13" s="297">
        <f>E13+F13+N13+O13+P13+Q13</f>
        <v>15618.19</v>
      </c>
    </row>
    <row r="14" spans="1:34" ht="19.95" customHeight="1" x14ac:dyDescent="0.25">
      <c r="A14" s="378" t="s">
        <v>97</v>
      </c>
      <c r="B14" s="378">
        <v>996</v>
      </c>
      <c r="C14" s="377" t="s">
        <v>499</v>
      </c>
      <c r="D14" s="377"/>
      <c r="E14" s="297"/>
      <c r="F14" s="297"/>
      <c r="G14" s="297"/>
      <c r="H14" s="297"/>
      <c r="I14" s="297"/>
      <c r="J14" s="297"/>
      <c r="K14" s="297"/>
      <c r="L14" s="297"/>
      <c r="M14" s="297"/>
      <c r="N14" s="297">
        <f>SUM(G14:M14)</f>
        <v>0</v>
      </c>
      <c r="O14" s="297"/>
      <c r="P14" s="297"/>
      <c r="Q14" s="297">
        <v>12500</v>
      </c>
      <c r="R14" s="297">
        <f>E14+F14+N14+O14+P14+Q14</f>
        <v>12500</v>
      </c>
    </row>
    <row r="15" spans="1:34" ht="19.95" customHeight="1" x14ac:dyDescent="0.25">
      <c r="A15" s="378" t="s">
        <v>362</v>
      </c>
      <c r="B15" s="378">
        <v>2190</v>
      </c>
      <c r="C15" s="377" t="s">
        <v>499</v>
      </c>
      <c r="D15" s="377" t="s">
        <v>95</v>
      </c>
      <c r="E15" s="297">
        <v>16201.43</v>
      </c>
      <c r="F15" s="297"/>
      <c r="G15" s="297"/>
      <c r="H15" s="297"/>
      <c r="I15" s="297"/>
      <c r="J15" s="297"/>
      <c r="K15" s="297"/>
      <c r="L15" s="297"/>
      <c r="M15" s="297"/>
      <c r="N15" s="297">
        <f>SUM(G15:M15)</f>
        <v>0</v>
      </c>
      <c r="O15" s="297">
        <v>2101.35</v>
      </c>
      <c r="P15" s="297">
        <v>2500</v>
      </c>
      <c r="Q15" s="297">
        <f>18750+6250</f>
        <v>25000</v>
      </c>
      <c r="R15" s="297">
        <f>E15+F15+N15+O15+P15+Q15</f>
        <v>45802.78</v>
      </c>
    </row>
    <row r="16" spans="1:34" ht="19.95" customHeight="1" x14ac:dyDescent="0.25">
      <c r="A16" s="378" t="s">
        <v>466</v>
      </c>
      <c r="B16" s="378">
        <v>321</v>
      </c>
      <c r="C16" s="377" t="s">
        <v>499</v>
      </c>
      <c r="D16" s="377"/>
      <c r="E16" s="303"/>
      <c r="F16" s="303"/>
      <c r="G16" s="303"/>
      <c r="H16" s="303"/>
      <c r="I16" s="303">
        <v>111.9</v>
      </c>
      <c r="J16" s="303"/>
      <c r="K16" s="303"/>
      <c r="L16" s="303"/>
      <c r="M16" s="303"/>
      <c r="N16" s="297">
        <f>SUM(G16:M16)</f>
        <v>111.9</v>
      </c>
      <c r="O16" s="303"/>
      <c r="P16" s="303"/>
      <c r="Q16" s="303"/>
      <c r="R16" s="297">
        <f>E16+F16+N16+O16+P16+Q16</f>
        <v>111.9</v>
      </c>
    </row>
    <row r="17" spans="1:18" ht="19.95" customHeight="1" x14ac:dyDescent="0.25">
      <c r="A17" s="385" t="s">
        <v>157</v>
      </c>
      <c r="B17" s="378">
        <v>127</v>
      </c>
      <c r="C17" s="377" t="s">
        <v>499</v>
      </c>
      <c r="D17" s="380" t="s">
        <v>112</v>
      </c>
      <c r="E17" s="303"/>
      <c r="F17" s="303"/>
      <c r="G17" s="303"/>
      <c r="H17" s="303"/>
      <c r="I17" s="303"/>
      <c r="J17" s="303"/>
      <c r="K17" s="303"/>
      <c r="L17" s="303"/>
      <c r="M17" s="303"/>
      <c r="N17" s="297">
        <f>SUM(G17:M17)</f>
        <v>0</v>
      </c>
      <c r="O17" s="303">
        <v>520</v>
      </c>
      <c r="P17" s="303"/>
      <c r="Q17" s="303"/>
      <c r="R17" s="297">
        <f>E17+F17+N17+O17+P17+Q17</f>
        <v>520</v>
      </c>
    </row>
    <row r="18" spans="1:18" ht="19.95" customHeight="1" x14ac:dyDescent="0.25">
      <c r="A18" s="378" t="s">
        <v>99</v>
      </c>
      <c r="B18" s="378">
        <v>1011</v>
      </c>
      <c r="C18" s="377" t="s">
        <v>499</v>
      </c>
      <c r="D18" s="377" t="s">
        <v>95</v>
      </c>
      <c r="E18" s="297">
        <v>12003.75</v>
      </c>
      <c r="F18" s="297"/>
      <c r="G18" s="297"/>
      <c r="H18" s="297"/>
      <c r="I18" s="297"/>
      <c r="J18" s="297"/>
      <c r="K18" s="297"/>
      <c r="L18" s="297"/>
      <c r="M18" s="297"/>
      <c r="N18" s="297">
        <f>SUM(G18:M18)</f>
        <v>0</v>
      </c>
      <c r="O18" s="297"/>
      <c r="P18" s="297"/>
      <c r="Q18" s="297"/>
      <c r="R18" s="297">
        <f>E18+F18+N18+O18+P18+Q18</f>
        <v>12003.75</v>
      </c>
    </row>
    <row r="19" spans="1:18" ht="19.95" customHeight="1" x14ac:dyDescent="0.25">
      <c r="A19" s="378" t="s">
        <v>100</v>
      </c>
      <c r="B19" s="378">
        <v>57</v>
      </c>
      <c r="C19" s="377" t="s">
        <v>499</v>
      </c>
      <c r="D19" s="377"/>
      <c r="E19" s="297"/>
      <c r="F19" s="297"/>
      <c r="G19" s="297"/>
      <c r="H19" s="297"/>
      <c r="I19" s="297"/>
      <c r="J19" s="297"/>
      <c r="K19" s="297"/>
      <c r="L19" s="297"/>
      <c r="M19" s="297"/>
      <c r="N19" s="297">
        <f>SUM(G19:M19)</f>
        <v>0</v>
      </c>
      <c r="O19" s="297">
        <v>600</v>
      </c>
      <c r="P19" s="297"/>
      <c r="Q19" s="297">
        <v>6250</v>
      </c>
      <c r="R19" s="297">
        <f>E19+F19+N19+O19+P19+Q19</f>
        <v>6850</v>
      </c>
    </row>
    <row r="20" spans="1:18" ht="19.95" customHeight="1" x14ac:dyDescent="0.25">
      <c r="A20" s="378" t="s">
        <v>162</v>
      </c>
      <c r="B20" s="378">
        <v>602</v>
      </c>
      <c r="C20" s="377" t="s">
        <v>499</v>
      </c>
      <c r="D20" s="377"/>
      <c r="E20" s="297"/>
      <c r="F20" s="297"/>
      <c r="G20" s="297"/>
      <c r="H20" s="297"/>
      <c r="I20" s="297">
        <v>85.49</v>
      </c>
      <c r="J20" s="297"/>
      <c r="K20" s="297"/>
      <c r="L20" s="297">
        <v>6431.75</v>
      </c>
      <c r="M20" s="297"/>
      <c r="N20" s="297">
        <f>SUM(G20:M20)</f>
        <v>6517.24</v>
      </c>
      <c r="O20" s="297"/>
      <c r="P20" s="297"/>
      <c r="Q20" s="297"/>
      <c r="R20" s="297">
        <f>E20+F20+N20+O20+P20+Q20</f>
        <v>6517.24</v>
      </c>
    </row>
    <row r="21" spans="1:18" ht="19.95" customHeight="1" x14ac:dyDescent="0.25">
      <c r="A21" s="378" t="s">
        <v>460</v>
      </c>
      <c r="B21" s="378">
        <v>1813</v>
      </c>
      <c r="C21" s="377" t="s">
        <v>499</v>
      </c>
      <c r="D21" s="377" t="s">
        <v>352</v>
      </c>
      <c r="E21" s="297">
        <v>16459.689999999999</v>
      </c>
      <c r="F21" s="297"/>
      <c r="G21" s="297"/>
      <c r="H21" s="297"/>
      <c r="I21" s="297"/>
      <c r="J21" s="297"/>
      <c r="K21" s="297"/>
      <c r="L21" s="297"/>
      <c r="M21" s="297"/>
      <c r="N21" s="297">
        <f>SUM(G21:M21)</f>
        <v>0</v>
      </c>
      <c r="O21" s="297">
        <v>130</v>
      </c>
      <c r="P21" s="297">
        <v>20000</v>
      </c>
      <c r="Q21" s="297">
        <v>7500</v>
      </c>
      <c r="R21" s="297">
        <f>E21+F21+N21+O21+P21+Q21</f>
        <v>44089.69</v>
      </c>
    </row>
    <row r="22" spans="1:18" ht="19.95" customHeight="1" x14ac:dyDescent="0.25">
      <c r="A22" s="378" t="s">
        <v>163</v>
      </c>
      <c r="B22" s="378">
        <v>331</v>
      </c>
      <c r="C22" s="377" t="s">
        <v>499</v>
      </c>
      <c r="D22" s="377"/>
      <c r="E22" s="303"/>
      <c r="F22" s="303"/>
      <c r="G22" s="303"/>
      <c r="H22" s="303"/>
      <c r="I22" s="303"/>
      <c r="J22" s="303"/>
      <c r="K22" s="303"/>
      <c r="L22" s="303"/>
      <c r="M22" s="303"/>
      <c r="N22" s="297">
        <f>SUM(G22:M22)</f>
        <v>0</v>
      </c>
      <c r="O22" s="303"/>
      <c r="P22" s="303"/>
      <c r="Q22" s="303">
        <v>3750</v>
      </c>
      <c r="R22" s="297">
        <f>E22+F22+N22+O22+P22+Q22</f>
        <v>3750</v>
      </c>
    </row>
    <row r="23" spans="1:18" ht="19.95" customHeight="1" x14ac:dyDescent="0.25">
      <c r="A23" s="378" t="s">
        <v>373</v>
      </c>
      <c r="B23" s="378">
        <v>333</v>
      </c>
      <c r="C23" s="377" t="s">
        <v>499</v>
      </c>
      <c r="D23" s="377" t="s">
        <v>103</v>
      </c>
      <c r="E23" s="297">
        <v>29704.62</v>
      </c>
      <c r="F23" s="297"/>
      <c r="G23" s="297"/>
      <c r="H23" s="297"/>
      <c r="I23" s="297">
        <v>2878.55</v>
      </c>
      <c r="J23" s="297"/>
      <c r="K23" s="297"/>
      <c r="L23" s="297"/>
      <c r="M23" s="297"/>
      <c r="N23" s="297">
        <f>SUM(G23:M23)</f>
        <v>2878.55</v>
      </c>
      <c r="O23" s="297">
        <v>5937.77</v>
      </c>
      <c r="P23" s="297"/>
      <c r="Q23" s="297"/>
      <c r="R23" s="297">
        <f>E23+F23+N23+O23+P23+Q23</f>
        <v>38520.94</v>
      </c>
    </row>
    <row r="24" spans="1:18" ht="19.95" customHeight="1" x14ac:dyDescent="0.25">
      <c r="A24" s="378" t="s">
        <v>104</v>
      </c>
      <c r="B24" s="378">
        <v>2426</v>
      </c>
      <c r="C24" s="377" t="s">
        <v>499</v>
      </c>
      <c r="D24" s="380" t="s">
        <v>105</v>
      </c>
      <c r="E24" s="297">
        <v>4456.75</v>
      </c>
      <c r="F24" s="297"/>
      <c r="G24" s="297"/>
      <c r="H24" s="297"/>
      <c r="I24" s="297"/>
      <c r="J24" s="297"/>
      <c r="K24" s="297"/>
      <c r="L24" s="297"/>
      <c r="M24" s="297"/>
      <c r="N24" s="297">
        <f>SUM(G24:M24)</f>
        <v>0</v>
      </c>
      <c r="O24" s="297">
        <v>2984.4</v>
      </c>
      <c r="P24" s="297"/>
      <c r="Q24" s="297"/>
      <c r="R24" s="297">
        <f>E24+F24+N24+O24+P24+Q24</f>
        <v>7441.15</v>
      </c>
    </row>
    <row r="25" spans="1:18" ht="19.95" customHeight="1" x14ac:dyDescent="0.25">
      <c r="A25" s="378" t="s">
        <v>474</v>
      </c>
      <c r="B25" s="378">
        <v>353</v>
      </c>
      <c r="C25" s="377" t="s">
        <v>499</v>
      </c>
      <c r="D25" s="377" t="s">
        <v>91</v>
      </c>
      <c r="E25" s="297">
        <v>5456.25</v>
      </c>
      <c r="F25" s="297"/>
      <c r="G25" s="297"/>
      <c r="H25" s="297"/>
      <c r="I25" s="297"/>
      <c r="J25" s="297"/>
      <c r="K25" s="297"/>
      <c r="L25" s="297"/>
      <c r="M25" s="297">
        <v>339.5</v>
      </c>
      <c r="N25" s="297">
        <f>SUM(G25:M25)</f>
        <v>339.5</v>
      </c>
      <c r="O25" s="297"/>
      <c r="P25" s="297">
        <v>2500</v>
      </c>
      <c r="Q25" s="297">
        <v>12500</v>
      </c>
      <c r="R25" s="297">
        <f>E25+F25+N25+O25+P25+Q25</f>
        <v>20795.75</v>
      </c>
    </row>
    <row r="26" spans="1:18" ht="19.95" customHeight="1" x14ac:dyDescent="0.25">
      <c r="A26" s="385" t="s">
        <v>170</v>
      </c>
      <c r="B26" s="378">
        <v>356</v>
      </c>
      <c r="C26" s="377" t="s">
        <v>499</v>
      </c>
      <c r="D26" s="380" t="s">
        <v>95</v>
      </c>
      <c r="E26" s="297">
        <v>17278.13</v>
      </c>
      <c r="F26" s="297"/>
      <c r="G26" s="297"/>
      <c r="H26" s="297"/>
      <c r="I26" s="297"/>
      <c r="J26" s="297"/>
      <c r="K26" s="297"/>
      <c r="L26" s="297"/>
      <c r="M26" s="297"/>
      <c r="N26" s="297">
        <f>SUM(G26:M26)</f>
        <v>0</v>
      </c>
      <c r="O26" s="297">
        <v>200</v>
      </c>
      <c r="P26" s="297"/>
      <c r="Q26" s="297"/>
      <c r="R26" s="297">
        <f>E26+F26+N26+O26+P26+Q26</f>
        <v>17478.13</v>
      </c>
    </row>
    <row r="27" spans="1:18" ht="19.95" customHeight="1" x14ac:dyDescent="0.25">
      <c r="A27" s="385" t="s">
        <v>586</v>
      </c>
      <c r="B27" s="378">
        <v>136</v>
      </c>
      <c r="C27" s="377" t="s">
        <v>499</v>
      </c>
      <c r="D27" s="380" t="s">
        <v>606</v>
      </c>
      <c r="E27" s="297"/>
      <c r="F27" s="297"/>
      <c r="G27" s="297"/>
      <c r="H27" s="297"/>
      <c r="I27" s="297"/>
      <c r="J27" s="297"/>
      <c r="K27" s="297"/>
      <c r="L27" s="297"/>
      <c r="M27" s="297"/>
      <c r="N27" s="297">
        <f>SUM(G27:M27)</f>
        <v>0</v>
      </c>
      <c r="O27" s="297"/>
      <c r="P27" s="297"/>
      <c r="Q27" s="297">
        <v>3750</v>
      </c>
      <c r="R27" s="297">
        <f>E27+F27+N27+O27+P27+Q27</f>
        <v>3750</v>
      </c>
    </row>
    <row r="28" spans="1:18" ht="19.95" customHeight="1" x14ac:dyDescent="0.25">
      <c r="A28" s="378" t="s">
        <v>479</v>
      </c>
      <c r="B28" s="378">
        <v>363</v>
      </c>
      <c r="C28" s="377" t="s">
        <v>499</v>
      </c>
      <c r="D28" s="387"/>
      <c r="E28" s="297"/>
      <c r="F28" s="297"/>
      <c r="G28" s="297"/>
      <c r="H28" s="297"/>
      <c r="I28" s="297"/>
      <c r="J28" s="297"/>
      <c r="K28" s="297"/>
      <c r="L28" s="297"/>
      <c r="M28" s="297"/>
      <c r="N28" s="297">
        <f>SUM(G28:M28)</f>
        <v>0</v>
      </c>
      <c r="O28" s="297"/>
      <c r="P28" s="297"/>
      <c r="Q28" s="297">
        <v>15000</v>
      </c>
      <c r="R28" s="297">
        <f>E28+F28+N28+O28+P28+Q28</f>
        <v>15000</v>
      </c>
    </row>
    <row r="29" spans="1:18" ht="19.95" customHeight="1" x14ac:dyDescent="0.25">
      <c r="A29" s="378" t="s">
        <v>108</v>
      </c>
      <c r="B29" s="378">
        <v>608</v>
      </c>
      <c r="C29" s="377" t="s">
        <v>499</v>
      </c>
      <c r="D29" s="387"/>
      <c r="E29" s="297"/>
      <c r="F29" s="297"/>
      <c r="G29" s="297"/>
      <c r="H29" s="297"/>
      <c r="I29" s="297">
        <v>170.98</v>
      </c>
      <c r="J29" s="297"/>
      <c r="K29" s="297"/>
      <c r="L29" s="297">
        <v>33414.160000000003</v>
      </c>
      <c r="M29" s="297"/>
      <c r="N29" s="297">
        <f>SUM(G29:M29)</f>
        <v>33585.140000000007</v>
      </c>
      <c r="O29" s="297">
        <v>261</v>
      </c>
      <c r="P29" s="297"/>
      <c r="Q29" s="297"/>
      <c r="R29" s="297">
        <f>E29+F29+N29+O29+P29+Q29</f>
        <v>33846.140000000007</v>
      </c>
    </row>
    <row r="30" spans="1:18" ht="19.95" customHeight="1" x14ac:dyDescent="0.25">
      <c r="A30" s="378" t="s">
        <v>487</v>
      </c>
      <c r="B30" s="378">
        <v>2496</v>
      </c>
      <c r="C30" s="377" t="s">
        <v>499</v>
      </c>
      <c r="D30" s="377" t="s">
        <v>112</v>
      </c>
      <c r="E30" s="297">
        <v>1212.5</v>
      </c>
      <c r="F30" s="297">
        <v>717.8</v>
      </c>
      <c r="G30" s="297"/>
      <c r="H30" s="297"/>
      <c r="I30" s="297"/>
      <c r="J30" s="297"/>
      <c r="K30" s="297"/>
      <c r="L30" s="297"/>
      <c r="M30" s="297"/>
      <c r="N30" s="297">
        <f>SUM(G30:M30)</f>
        <v>0</v>
      </c>
      <c r="O30" s="297">
        <v>520</v>
      </c>
      <c r="P30" s="297"/>
      <c r="Q30" s="297">
        <v>7500</v>
      </c>
      <c r="R30" s="297">
        <f>E30+F30+N30+O30+P30+Q30</f>
        <v>9950.2999999999993</v>
      </c>
    </row>
    <row r="31" spans="1:18" ht="19.95" customHeight="1" x14ac:dyDescent="0.25">
      <c r="A31" s="378" t="s">
        <v>463</v>
      </c>
      <c r="B31" s="378">
        <v>684</v>
      </c>
      <c r="C31" s="377" t="s">
        <v>499</v>
      </c>
      <c r="D31" s="377" t="s">
        <v>93</v>
      </c>
      <c r="E31" s="297"/>
      <c r="F31" s="297"/>
      <c r="G31" s="297"/>
      <c r="H31" s="297"/>
      <c r="I31" s="297"/>
      <c r="J31" s="297"/>
      <c r="K31" s="297"/>
      <c r="L31" s="297"/>
      <c r="M31" s="297"/>
      <c r="N31" s="297">
        <f>SUM(G31:M31)</f>
        <v>0</v>
      </c>
      <c r="O31" s="297"/>
      <c r="P31" s="297"/>
      <c r="Q31" s="297"/>
      <c r="R31" s="297">
        <f>E31+F31+N31+O31+P31+Q31</f>
        <v>0</v>
      </c>
    </row>
    <row r="32" spans="1:18" ht="19.95" customHeight="1" x14ac:dyDescent="0.25">
      <c r="A32" s="385" t="s">
        <v>366</v>
      </c>
      <c r="B32" s="378">
        <v>1569</v>
      </c>
      <c r="C32" s="377" t="s">
        <v>499</v>
      </c>
      <c r="D32" s="377"/>
      <c r="E32" s="303"/>
      <c r="F32" s="303"/>
      <c r="G32" s="303"/>
      <c r="H32" s="303"/>
      <c r="I32" s="303"/>
      <c r="J32" s="303"/>
      <c r="K32" s="303"/>
      <c r="L32" s="303"/>
      <c r="M32" s="303"/>
      <c r="N32" s="297">
        <f>SUM(G32:M32)</f>
        <v>0</v>
      </c>
      <c r="O32" s="303"/>
      <c r="P32" s="303">
        <v>2500</v>
      </c>
      <c r="Q32" s="303"/>
      <c r="R32" s="297">
        <f>E32+F32+N32+O32+P32+Q32</f>
        <v>2500</v>
      </c>
    </row>
    <row r="33" spans="1:18" ht="19.95" customHeight="1" x14ac:dyDescent="0.25">
      <c r="A33" s="378" t="s">
        <v>459</v>
      </c>
      <c r="B33" s="378">
        <v>420</v>
      </c>
      <c r="C33" s="377" t="s">
        <v>499</v>
      </c>
      <c r="D33" s="377" t="s">
        <v>103</v>
      </c>
      <c r="E33" s="297">
        <v>4850</v>
      </c>
      <c r="F33" s="297"/>
      <c r="G33" s="297"/>
      <c r="H33" s="297"/>
      <c r="I33" s="297"/>
      <c r="J33" s="297"/>
      <c r="K33" s="297"/>
      <c r="L33" s="297"/>
      <c r="M33" s="297"/>
      <c r="N33" s="297">
        <f>SUM(G33:M33)</f>
        <v>0</v>
      </c>
      <c r="O33" s="297">
        <v>130</v>
      </c>
      <c r="P33" s="297"/>
      <c r="Q33" s="297"/>
      <c r="R33" s="297">
        <f>E33+F33+N33+O33+P33+Q33</f>
        <v>4980</v>
      </c>
    </row>
    <row r="34" spans="1:18" ht="19.95" customHeight="1" x14ac:dyDescent="0.25">
      <c r="A34" s="378" t="s">
        <v>458</v>
      </c>
      <c r="B34" s="378">
        <v>1017</v>
      </c>
      <c r="C34" s="377" t="s">
        <v>499</v>
      </c>
      <c r="D34" s="387"/>
      <c r="E34" s="297"/>
      <c r="F34" s="297"/>
      <c r="G34" s="297"/>
      <c r="H34" s="297"/>
      <c r="I34" s="297"/>
      <c r="J34" s="297"/>
      <c r="K34" s="297"/>
      <c r="L34" s="297"/>
      <c r="M34" s="297"/>
      <c r="N34" s="297">
        <f>SUM(G34:M34)</f>
        <v>0</v>
      </c>
      <c r="O34" s="297"/>
      <c r="P34" s="297">
        <v>25000</v>
      </c>
      <c r="Q34" s="297"/>
      <c r="R34" s="297">
        <f>E34+F34+N34+O34+P34+Q34</f>
        <v>25000</v>
      </c>
    </row>
    <row r="35" spans="1:18" ht="19.95" customHeight="1" x14ac:dyDescent="0.25">
      <c r="A35" s="378" t="s">
        <v>357</v>
      </c>
      <c r="B35" s="378">
        <v>1521</v>
      </c>
      <c r="C35" s="377" t="s">
        <v>499</v>
      </c>
      <c r="D35" s="377" t="s">
        <v>352</v>
      </c>
      <c r="E35" s="297">
        <v>12003.75</v>
      </c>
      <c r="F35" s="297"/>
      <c r="G35" s="297"/>
      <c r="H35" s="297"/>
      <c r="I35" s="297"/>
      <c r="J35" s="297"/>
      <c r="K35" s="297"/>
      <c r="L35" s="297"/>
      <c r="M35" s="297"/>
      <c r="N35" s="297">
        <f>SUM(G35:M35)</f>
        <v>0</v>
      </c>
      <c r="O35" s="297">
        <v>681.56</v>
      </c>
      <c r="P35" s="297">
        <v>22500</v>
      </c>
      <c r="Q35" s="297">
        <v>19166.669999999998</v>
      </c>
      <c r="R35" s="297">
        <f>E35+F35+N35+O35+P35+Q35</f>
        <v>54351.979999999996</v>
      </c>
    </row>
    <row r="36" spans="1:18" ht="19.95" customHeight="1" x14ac:dyDescent="0.25">
      <c r="A36" s="378" t="s">
        <v>177</v>
      </c>
      <c r="B36" s="378">
        <v>1721</v>
      </c>
      <c r="C36" s="377" t="s">
        <v>499</v>
      </c>
      <c r="D36" s="377" t="s">
        <v>93</v>
      </c>
      <c r="E36" s="297"/>
      <c r="F36" s="297"/>
      <c r="G36" s="297"/>
      <c r="H36" s="297"/>
      <c r="I36" s="297">
        <v>895.05</v>
      </c>
      <c r="J36" s="297"/>
      <c r="K36" s="297"/>
      <c r="L36" s="297"/>
      <c r="M36" s="297"/>
      <c r="N36" s="297">
        <f>SUM(G36:M36)</f>
        <v>895.05</v>
      </c>
      <c r="O36" s="297">
        <v>1501.14</v>
      </c>
      <c r="P36" s="297">
        <v>5000</v>
      </c>
      <c r="Q36" s="297"/>
      <c r="R36" s="297">
        <f>E36+F36+N36+O36+P36+Q36</f>
        <v>7396.1900000000005</v>
      </c>
    </row>
    <row r="37" spans="1:18" ht="19.95" customHeight="1" x14ac:dyDescent="0.25">
      <c r="A37" s="378" t="s">
        <v>179</v>
      </c>
      <c r="B37" s="378">
        <v>607</v>
      </c>
      <c r="C37" s="377" t="s">
        <v>499</v>
      </c>
      <c r="D37" s="377"/>
      <c r="E37" s="297"/>
      <c r="F37" s="297"/>
      <c r="G37" s="297"/>
      <c r="H37" s="297"/>
      <c r="I37" s="297">
        <v>180.98</v>
      </c>
      <c r="J37" s="297"/>
      <c r="K37" s="297"/>
      <c r="L37" s="297"/>
      <c r="M37" s="297"/>
      <c r="N37" s="297">
        <f>SUM(G37:M37)</f>
        <v>180.98</v>
      </c>
      <c r="O37" s="297">
        <v>884</v>
      </c>
      <c r="P37" s="297">
        <v>2500</v>
      </c>
      <c r="Q37" s="297"/>
      <c r="R37" s="297">
        <f>E37+F37+N37+O37+P37+Q37</f>
        <v>3564.98</v>
      </c>
    </row>
    <row r="38" spans="1:18" ht="19.95" customHeight="1" x14ac:dyDescent="0.25">
      <c r="A38" s="378" t="s">
        <v>356</v>
      </c>
      <c r="B38" s="378">
        <v>140</v>
      </c>
      <c r="C38" s="377" t="s">
        <v>499</v>
      </c>
      <c r="D38" s="377" t="s">
        <v>112</v>
      </c>
      <c r="E38" s="297">
        <v>3576.88</v>
      </c>
      <c r="F38" s="297">
        <v>824.5</v>
      </c>
      <c r="G38" s="297"/>
      <c r="H38" s="297"/>
      <c r="I38" s="297"/>
      <c r="J38" s="297"/>
      <c r="K38" s="297"/>
      <c r="L38" s="297"/>
      <c r="M38" s="297"/>
      <c r="N38" s="297">
        <f>SUM(G38:M38)</f>
        <v>0</v>
      </c>
      <c r="O38" s="297"/>
      <c r="P38" s="297"/>
      <c r="Q38" s="297"/>
      <c r="R38" s="297">
        <f>E38+F38+N38+O38+P38+Q38</f>
        <v>4401.38</v>
      </c>
    </row>
    <row r="39" spans="1:18" ht="19.95" customHeight="1" x14ac:dyDescent="0.25">
      <c r="A39" s="378" t="s">
        <v>374</v>
      </c>
      <c r="B39" s="378">
        <v>65</v>
      </c>
      <c r="C39" s="377" t="s">
        <v>499</v>
      </c>
      <c r="D39" s="377"/>
      <c r="E39" s="297"/>
      <c r="F39" s="297"/>
      <c r="G39" s="297"/>
      <c r="H39" s="297"/>
      <c r="I39" s="297"/>
      <c r="J39" s="297"/>
      <c r="K39" s="297"/>
      <c r="L39" s="297"/>
      <c r="M39" s="297"/>
      <c r="N39" s="297">
        <f>SUM(G39:M39)</f>
        <v>0</v>
      </c>
      <c r="O39" s="297"/>
      <c r="P39" s="297"/>
      <c r="Q39" s="297">
        <v>6250</v>
      </c>
      <c r="R39" s="297">
        <f>E39+F39+N39+O39+P39+Q39</f>
        <v>6250</v>
      </c>
    </row>
    <row r="40" spans="1:18" ht="19.95" customHeight="1" x14ac:dyDescent="0.25">
      <c r="A40" s="378" t="s">
        <v>475</v>
      </c>
      <c r="B40" s="378">
        <v>479</v>
      </c>
      <c r="C40" s="377" t="s">
        <v>499</v>
      </c>
      <c r="D40" s="377"/>
      <c r="E40" s="297"/>
      <c r="F40" s="297"/>
      <c r="G40" s="297"/>
      <c r="H40" s="297"/>
      <c r="I40" s="297"/>
      <c r="J40" s="297"/>
      <c r="K40" s="297"/>
      <c r="L40" s="297"/>
      <c r="M40" s="297"/>
      <c r="N40" s="297">
        <f>SUM(G40:M40)</f>
        <v>0</v>
      </c>
      <c r="O40" s="297"/>
      <c r="P40" s="297"/>
      <c r="Q40" s="297">
        <v>15000</v>
      </c>
      <c r="R40" s="297">
        <f>E40+F40+N40+O40+P40+Q40</f>
        <v>15000</v>
      </c>
    </row>
    <row r="41" spans="1:18" ht="19.95" customHeight="1" x14ac:dyDescent="0.25">
      <c r="A41" s="378" t="s">
        <v>388</v>
      </c>
      <c r="B41" s="377"/>
      <c r="C41" s="377" t="s">
        <v>499</v>
      </c>
      <c r="D41" s="377"/>
      <c r="E41" s="297"/>
      <c r="F41" s="297"/>
      <c r="G41" s="297"/>
      <c r="H41" s="297"/>
      <c r="I41" s="297"/>
      <c r="J41" s="297"/>
      <c r="K41" s="297"/>
      <c r="L41" s="297"/>
      <c r="M41" s="297"/>
      <c r="N41" s="297">
        <f>SUM(G41:M41)</f>
        <v>0</v>
      </c>
      <c r="O41" s="297"/>
      <c r="P41" s="297"/>
      <c r="Q41" s="297"/>
      <c r="R41" s="297">
        <f>E41+F41+N41+O41+P41+Q41</f>
        <v>0</v>
      </c>
    </row>
    <row r="42" spans="1:18" ht="19.95" customHeight="1" x14ac:dyDescent="0.25">
      <c r="A42" s="378" t="s">
        <v>185</v>
      </c>
      <c r="B42" s="377"/>
      <c r="C42" s="377" t="s">
        <v>499</v>
      </c>
      <c r="D42" s="377"/>
      <c r="E42" s="297">
        <v>14550</v>
      </c>
      <c r="F42" s="297"/>
      <c r="G42" s="297"/>
      <c r="H42" s="297"/>
      <c r="I42" s="297"/>
      <c r="J42" s="297"/>
      <c r="K42" s="297"/>
      <c r="L42" s="297"/>
      <c r="M42" s="297"/>
      <c r="N42" s="297">
        <f>SUM(G42:M42)</f>
        <v>0</v>
      </c>
      <c r="O42" s="297"/>
      <c r="P42" s="297"/>
      <c r="Q42" s="297"/>
      <c r="R42" s="297">
        <f>E42+F42+N42+O42+P42+Q42</f>
        <v>14550</v>
      </c>
    </row>
    <row r="43" spans="1:18" ht="19.95" customHeight="1" x14ac:dyDescent="0.25">
      <c r="A43" s="378" t="s">
        <v>367</v>
      </c>
      <c r="B43" s="378">
        <v>53</v>
      </c>
      <c r="C43" s="377" t="s">
        <v>499</v>
      </c>
      <c r="D43" s="377"/>
      <c r="E43" s="297"/>
      <c r="F43" s="297"/>
      <c r="G43" s="297"/>
      <c r="H43" s="297"/>
      <c r="I43" s="297"/>
      <c r="J43" s="297"/>
      <c r="K43" s="297"/>
      <c r="L43" s="297"/>
      <c r="M43" s="297"/>
      <c r="N43" s="297">
        <f>SUM(G43:M43)</f>
        <v>0</v>
      </c>
      <c r="O43" s="297"/>
      <c r="P43" s="297"/>
      <c r="Q43" s="297">
        <v>12500</v>
      </c>
      <c r="R43" s="297">
        <f>E43+F43+N43+O43+P43+Q43</f>
        <v>12500</v>
      </c>
    </row>
    <row r="44" spans="1:18" ht="19.95" customHeight="1" x14ac:dyDescent="0.25">
      <c r="A44" s="378" t="s">
        <v>355</v>
      </c>
      <c r="B44" s="378">
        <v>1576</v>
      </c>
      <c r="C44" s="377" t="s">
        <v>499</v>
      </c>
      <c r="D44" s="377"/>
      <c r="E44" s="297"/>
      <c r="F44" s="297"/>
      <c r="G44" s="297"/>
      <c r="H44" s="297"/>
      <c r="I44" s="297"/>
      <c r="J44" s="297"/>
      <c r="K44" s="297"/>
      <c r="L44" s="297"/>
      <c r="M44" s="297"/>
      <c r="N44" s="297">
        <f>SUM(G44:M44)</f>
        <v>0</v>
      </c>
      <c r="O44" s="297"/>
      <c r="P44" s="304">
        <v>5000</v>
      </c>
      <c r="Q44" s="297"/>
      <c r="R44" s="297">
        <f>E44+F44+N44+O44+P44+Q44</f>
        <v>5000</v>
      </c>
    </row>
    <row r="45" spans="1:18" ht="19.95" customHeight="1" x14ac:dyDescent="0.25">
      <c r="A45" s="378" t="s">
        <v>375</v>
      </c>
      <c r="B45" s="378">
        <v>2283</v>
      </c>
      <c r="C45" s="377" t="s">
        <v>499</v>
      </c>
      <c r="D45" s="377" t="s">
        <v>93</v>
      </c>
      <c r="E45" s="297">
        <v>10136.5</v>
      </c>
      <c r="F45" s="297"/>
      <c r="G45" s="297"/>
      <c r="H45" s="297"/>
      <c r="I45" s="297"/>
      <c r="J45" s="297"/>
      <c r="K45" s="297"/>
      <c r="L45" s="297"/>
      <c r="M45" s="297"/>
      <c r="N45" s="297">
        <f>SUM(G45:M45)</f>
        <v>0</v>
      </c>
      <c r="O45" s="297">
        <v>260</v>
      </c>
      <c r="P45" s="297"/>
      <c r="Q45" s="297"/>
      <c r="R45" s="297">
        <f>E45+F45+N45+O45+P45+Q45</f>
        <v>10396.5</v>
      </c>
    </row>
    <row r="46" spans="1:18" ht="19.95" customHeight="1" x14ac:dyDescent="0.25">
      <c r="A46" s="378" t="s">
        <v>376</v>
      </c>
      <c r="B46" s="378">
        <v>2520</v>
      </c>
      <c r="C46" s="377" t="s">
        <v>499</v>
      </c>
      <c r="D46" s="377" t="s">
        <v>112</v>
      </c>
      <c r="E46" s="297">
        <v>4789.37</v>
      </c>
      <c r="F46" s="297">
        <v>1161.58</v>
      </c>
      <c r="G46" s="297"/>
      <c r="H46" s="297"/>
      <c r="I46" s="297"/>
      <c r="J46" s="297"/>
      <c r="K46" s="297"/>
      <c r="L46" s="297"/>
      <c r="M46" s="297"/>
      <c r="N46" s="297">
        <f>SUM(G46:M46)</f>
        <v>0</v>
      </c>
      <c r="O46" s="297">
        <v>460</v>
      </c>
      <c r="P46" s="297"/>
      <c r="Q46" s="297"/>
      <c r="R46" s="297">
        <f>E46+F46+N46+O46+P46+Q46</f>
        <v>6410.95</v>
      </c>
    </row>
    <row r="47" spans="1:18" ht="19.95" customHeight="1" x14ac:dyDescent="0.25">
      <c r="A47" s="378" t="s">
        <v>377</v>
      </c>
      <c r="B47" s="378">
        <v>1052</v>
      </c>
      <c r="C47" s="377" t="s">
        <v>499</v>
      </c>
      <c r="D47" s="377" t="s">
        <v>91</v>
      </c>
      <c r="E47" s="297">
        <v>18187.5</v>
      </c>
      <c r="F47" s="297"/>
      <c r="G47" s="297"/>
      <c r="H47" s="297"/>
      <c r="I47" s="297"/>
      <c r="J47" s="297"/>
      <c r="K47" s="297"/>
      <c r="L47" s="297"/>
      <c r="M47" s="297"/>
      <c r="N47" s="297">
        <f>SUM(G47:M47)</f>
        <v>0</v>
      </c>
      <c r="O47" s="297"/>
      <c r="P47" s="297"/>
      <c r="Q47" s="297">
        <v>12500</v>
      </c>
      <c r="R47" s="297">
        <f>E47+F47+N47+O47+P47+Q47</f>
        <v>30687.5</v>
      </c>
    </row>
    <row r="48" spans="1:18" ht="19.95" customHeight="1" x14ac:dyDescent="0.25">
      <c r="A48" s="378" t="s">
        <v>190</v>
      </c>
      <c r="B48" s="378">
        <v>270</v>
      </c>
      <c r="C48" s="377" t="s">
        <v>499</v>
      </c>
      <c r="D48" s="387"/>
      <c r="E48" s="297"/>
      <c r="F48" s="297"/>
      <c r="G48" s="297"/>
      <c r="H48" s="297"/>
      <c r="I48" s="297"/>
      <c r="J48" s="297"/>
      <c r="K48" s="297"/>
      <c r="L48" s="297"/>
      <c r="M48" s="297"/>
      <c r="N48" s="297">
        <f>SUM(G48:M48)</f>
        <v>0</v>
      </c>
      <c r="O48" s="297"/>
      <c r="P48" s="297"/>
      <c r="Q48" s="297"/>
      <c r="R48" s="297">
        <f>E48+F48+N48+O48+P48+Q48</f>
        <v>0</v>
      </c>
    </row>
    <row r="49" spans="1:18" ht="19.95" customHeight="1" x14ac:dyDescent="0.25">
      <c r="A49" s="378" t="s">
        <v>609</v>
      </c>
      <c r="B49" s="378"/>
      <c r="C49" s="377" t="s">
        <v>499</v>
      </c>
      <c r="D49" s="387" t="s">
        <v>606</v>
      </c>
      <c r="E49" s="297"/>
      <c r="F49" s="297"/>
      <c r="G49" s="297"/>
      <c r="H49" s="297"/>
      <c r="I49" s="297"/>
      <c r="J49" s="297"/>
      <c r="K49" s="297"/>
      <c r="L49" s="297"/>
      <c r="M49" s="297"/>
      <c r="N49" s="297">
        <f>SUM(G49:M49)</f>
        <v>0</v>
      </c>
      <c r="O49" s="297"/>
      <c r="P49" s="297"/>
      <c r="Q49" s="297">
        <v>3750</v>
      </c>
      <c r="R49" s="297">
        <f>E49+F49+N49+O49+P49+Q49</f>
        <v>3750</v>
      </c>
    </row>
    <row r="50" spans="1:18" ht="19.95" customHeight="1" x14ac:dyDescent="0.25">
      <c r="A50" s="385" t="s">
        <v>192</v>
      </c>
      <c r="B50" s="378">
        <v>1575</v>
      </c>
      <c r="C50" s="377" t="s">
        <v>499</v>
      </c>
      <c r="D50" s="380" t="s">
        <v>91</v>
      </c>
      <c r="E50" s="297">
        <v>14550</v>
      </c>
      <c r="F50" s="297"/>
      <c r="G50" s="297"/>
      <c r="H50" s="297"/>
      <c r="I50" s="297"/>
      <c r="J50" s="297"/>
      <c r="K50" s="297"/>
      <c r="L50" s="297"/>
      <c r="M50" s="297"/>
      <c r="N50" s="297">
        <f>SUM(G50:M50)</f>
        <v>0</v>
      </c>
      <c r="O50" s="297"/>
      <c r="P50" s="297"/>
      <c r="Q50" s="297"/>
      <c r="R50" s="297">
        <f>E50+F50+N50+O50+P50+Q50</f>
        <v>14550</v>
      </c>
    </row>
    <row r="51" spans="1:18" ht="19.95" customHeight="1" x14ac:dyDescent="0.25">
      <c r="A51" s="385" t="s">
        <v>589</v>
      </c>
      <c r="B51" s="378">
        <v>683</v>
      </c>
      <c r="C51" s="377" t="s">
        <v>499</v>
      </c>
      <c r="D51" s="380" t="s">
        <v>93</v>
      </c>
      <c r="E51" s="303">
        <v>7566</v>
      </c>
      <c r="F51" s="297"/>
      <c r="G51" s="297"/>
      <c r="H51" s="297"/>
      <c r="I51" s="297"/>
      <c r="J51" s="297"/>
      <c r="K51" s="297"/>
      <c r="L51" s="297"/>
      <c r="M51" s="297"/>
      <c r="N51" s="297">
        <f>SUM(G51:M51)</f>
        <v>0</v>
      </c>
      <c r="O51" s="297">
        <v>1501.33</v>
      </c>
      <c r="P51" s="297"/>
      <c r="Q51" s="297"/>
      <c r="R51" s="297">
        <f>E51+F51+N51+O51+P51+Q51</f>
        <v>9067.33</v>
      </c>
    </row>
    <row r="52" spans="1:18" ht="19.95" customHeight="1" x14ac:dyDescent="0.25">
      <c r="A52" s="378" t="s">
        <v>194</v>
      </c>
      <c r="B52" s="378">
        <v>286</v>
      </c>
      <c r="C52" s="377" t="s">
        <v>499</v>
      </c>
      <c r="D52" s="377" t="s">
        <v>91</v>
      </c>
      <c r="E52" s="297">
        <v>11458.13</v>
      </c>
      <c r="F52" s="297"/>
      <c r="G52" s="297"/>
      <c r="H52" s="297"/>
      <c r="I52" s="297"/>
      <c r="J52" s="297"/>
      <c r="K52" s="297"/>
      <c r="L52" s="297"/>
      <c r="M52" s="297"/>
      <c r="N52" s="297">
        <f>SUM(G52:M52)</f>
        <v>0</v>
      </c>
      <c r="O52" s="297"/>
      <c r="P52" s="297"/>
      <c r="Q52" s="297"/>
      <c r="R52" s="297">
        <f>E52+F52+N52+O52+P52+Q52</f>
        <v>11458.13</v>
      </c>
    </row>
    <row r="53" spans="1:18" ht="19.95" customHeight="1" x14ac:dyDescent="0.25">
      <c r="A53" s="385" t="s">
        <v>193</v>
      </c>
      <c r="B53" s="378">
        <v>156</v>
      </c>
      <c r="C53" s="377" t="s">
        <v>499</v>
      </c>
      <c r="D53" s="377" t="s">
        <v>352</v>
      </c>
      <c r="E53" s="304">
        <v>7093.13</v>
      </c>
      <c r="F53" s="297"/>
      <c r="G53" s="297"/>
      <c r="H53" s="297"/>
      <c r="I53" s="297">
        <v>4630.18</v>
      </c>
      <c r="J53" s="297"/>
      <c r="K53" s="297">
        <v>1119.82</v>
      </c>
      <c r="L53" s="297"/>
      <c r="M53" s="297"/>
      <c r="N53" s="297">
        <f>SUM(G53:M53)</f>
        <v>5750</v>
      </c>
      <c r="O53" s="297"/>
      <c r="P53" s="304">
        <v>2500</v>
      </c>
      <c r="Q53" s="297">
        <v>6250</v>
      </c>
      <c r="R53" s="297">
        <f>E53+F53+N53+O53+P53+Q53</f>
        <v>21593.13</v>
      </c>
    </row>
    <row r="54" spans="1:18" ht="19.95" customHeight="1" x14ac:dyDescent="0.25">
      <c r="A54" s="385" t="s">
        <v>590</v>
      </c>
      <c r="B54" s="378"/>
      <c r="C54" s="377" t="s">
        <v>499</v>
      </c>
      <c r="D54" s="377" t="s">
        <v>608</v>
      </c>
      <c r="E54" s="304"/>
      <c r="F54" s="297"/>
      <c r="G54" s="297"/>
      <c r="H54" s="297"/>
      <c r="I54" s="297"/>
      <c r="J54" s="297"/>
      <c r="K54" s="297"/>
      <c r="L54" s="297"/>
      <c r="M54" s="297">
        <v>1950</v>
      </c>
      <c r="N54" s="297">
        <f>SUM(G54:M54)</f>
        <v>1950</v>
      </c>
      <c r="O54" s="297"/>
      <c r="P54" s="304"/>
      <c r="Q54" s="297"/>
      <c r="R54" s="297">
        <f>E54+F54+N54+O54+P54+Q54</f>
        <v>1950</v>
      </c>
    </row>
    <row r="55" spans="1:18" ht="19.95" customHeight="1" x14ac:dyDescent="0.25">
      <c r="A55" s="385" t="s">
        <v>476</v>
      </c>
      <c r="B55" s="378">
        <v>81</v>
      </c>
      <c r="C55" s="377" t="s">
        <v>499</v>
      </c>
      <c r="D55" s="380" t="s">
        <v>95</v>
      </c>
      <c r="E55" s="297">
        <v>26008.13</v>
      </c>
      <c r="F55" s="297"/>
      <c r="G55" s="297"/>
      <c r="H55" s="297"/>
      <c r="I55" s="297">
        <v>601.5</v>
      </c>
      <c r="J55" s="297"/>
      <c r="K55" s="297"/>
      <c r="L55" s="297"/>
      <c r="M55" s="297"/>
      <c r="N55" s="297">
        <f>SUM(G55:M55)</f>
        <v>601.5</v>
      </c>
      <c r="O55" s="297">
        <v>3048.61</v>
      </c>
      <c r="P55" s="297"/>
      <c r="Q55" s="297">
        <v>12500</v>
      </c>
      <c r="R55" s="297">
        <f>E55+F55+N55+O55+P55+Q55</f>
        <v>42158.240000000005</v>
      </c>
    </row>
    <row r="56" spans="1:18" ht="19.95" customHeight="1" x14ac:dyDescent="0.25">
      <c r="A56" s="378" t="s">
        <v>378</v>
      </c>
      <c r="B56" s="378">
        <v>85</v>
      </c>
      <c r="C56" s="377" t="s">
        <v>499</v>
      </c>
      <c r="D56" s="377" t="s">
        <v>95</v>
      </c>
      <c r="E56" s="297">
        <v>4035.2</v>
      </c>
      <c r="F56" s="297"/>
      <c r="G56" s="297"/>
      <c r="H56" s="297"/>
      <c r="I56" s="297"/>
      <c r="J56" s="297"/>
      <c r="K56" s="297"/>
      <c r="L56" s="297"/>
      <c r="M56" s="297"/>
      <c r="N56" s="297">
        <f>SUM(G56:M56)</f>
        <v>0</v>
      </c>
      <c r="O56" s="297">
        <v>346.66</v>
      </c>
      <c r="P56" s="297"/>
      <c r="Q56" s="297"/>
      <c r="R56" s="297">
        <f>E56+F56+N56+O56+P56+Q56</f>
        <v>4381.8599999999997</v>
      </c>
    </row>
    <row r="57" spans="1:18" ht="19.95" customHeight="1" x14ac:dyDescent="0.25">
      <c r="A57" s="378" t="s">
        <v>387</v>
      </c>
      <c r="B57" s="378">
        <v>2267</v>
      </c>
      <c r="C57" s="377" t="s">
        <v>499</v>
      </c>
      <c r="D57" s="377" t="s">
        <v>112</v>
      </c>
      <c r="E57" s="297">
        <v>8063.13</v>
      </c>
      <c r="F57" s="297">
        <v>3613.25</v>
      </c>
      <c r="G57" s="297"/>
      <c r="H57" s="297"/>
      <c r="I57" s="297"/>
      <c r="J57" s="297"/>
      <c r="K57" s="297"/>
      <c r="L57" s="297"/>
      <c r="M57" s="297"/>
      <c r="N57" s="297">
        <f>SUM(G57:M57)</f>
        <v>0</v>
      </c>
      <c r="O57" s="297">
        <v>520</v>
      </c>
      <c r="P57" s="297"/>
      <c r="Q57" s="297"/>
      <c r="R57" s="297">
        <f>E57+F57+N57+O57+P57+Q57</f>
        <v>12196.380000000001</v>
      </c>
    </row>
    <row r="58" spans="1:18" ht="19.95" customHeight="1" x14ac:dyDescent="0.25">
      <c r="A58" s="378" t="s">
        <v>361</v>
      </c>
      <c r="B58" s="378">
        <v>580</v>
      </c>
      <c r="C58" s="377" t="s">
        <v>499</v>
      </c>
      <c r="D58" s="377" t="s">
        <v>91</v>
      </c>
      <c r="E58" s="297">
        <v>1818.75</v>
      </c>
      <c r="F58" s="297"/>
      <c r="G58" s="297"/>
      <c r="H58" s="297"/>
      <c r="I58" s="297"/>
      <c r="J58" s="297"/>
      <c r="K58" s="297"/>
      <c r="L58" s="297"/>
      <c r="M58" s="297"/>
      <c r="N58" s="297">
        <f>SUM(G58:M58)</f>
        <v>0</v>
      </c>
      <c r="O58" s="297"/>
      <c r="P58" s="297">
        <v>17500</v>
      </c>
      <c r="Q58" s="297">
        <v>2500</v>
      </c>
      <c r="R58" s="297">
        <f>E58+F58+N58+O58+P58+Q58</f>
        <v>21818.75</v>
      </c>
    </row>
    <row r="59" spans="1:18" ht="19.95" customHeight="1" x14ac:dyDescent="0.25">
      <c r="A59" s="378" t="s">
        <v>360</v>
      </c>
      <c r="B59" s="378">
        <v>890</v>
      </c>
      <c r="C59" s="377" t="s">
        <v>499</v>
      </c>
      <c r="D59" s="377" t="s">
        <v>112</v>
      </c>
      <c r="E59" s="297">
        <v>8184.38</v>
      </c>
      <c r="F59" s="297">
        <v>1721.75</v>
      </c>
      <c r="G59" s="297"/>
      <c r="H59" s="297"/>
      <c r="I59" s="297"/>
      <c r="J59" s="297"/>
      <c r="K59" s="297"/>
      <c r="L59" s="297"/>
      <c r="M59" s="297"/>
      <c r="N59" s="297">
        <f>SUM(G59:M59)</f>
        <v>0</v>
      </c>
      <c r="O59" s="297"/>
      <c r="P59" s="297">
        <v>5000</v>
      </c>
      <c r="Q59" s="297"/>
      <c r="R59" s="297">
        <f>E59+F59+N59+O59+P59+Q59</f>
        <v>14906.130000000001</v>
      </c>
    </row>
    <row r="60" spans="1:18" ht="19.95" customHeight="1" x14ac:dyDescent="0.25">
      <c r="A60" s="385" t="s">
        <v>214</v>
      </c>
      <c r="B60" s="378">
        <v>422</v>
      </c>
      <c r="C60" s="377" t="s">
        <v>499</v>
      </c>
      <c r="D60" s="377"/>
      <c r="E60" s="297"/>
      <c r="F60" s="297"/>
      <c r="G60" s="297"/>
      <c r="H60" s="297"/>
      <c r="I60" s="297"/>
      <c r="J60" s="297"/>
      <c r="K60" s="297"/>
      <c r="L60" s="297"/>
      <c r="M60" s="297"/>
      <c r="N60" s="297">
        <f>SUM(G60:M60)</f>
        <v>0</v>
      </c>
      <c r="O60" s="297"/>
      <c r="P60" s="297">
        <v>2500</v>
      </c>
      <c r="Q60" s="297"/>
      <c r="R60" s="297">
        <f>E60+F60+N60+O60+P60+Q60</f>
        <v>2500</v>
      </c>
    </row>
    <row r="61" spans="1:18" ht="19.95" customHeight="1" x14ac:dyDescent="0.25">
      <c r="A61" s="385" t="s">
        <v>215</v>
      </c>
      <c r="B61" s="378">
        <v>1539</v>
      </c>
      <c r="C61" s="377" t="s">
        <v>499</v>
      </c>
      <c r="D61" s="387" t="s">
        <v>87</v>
      </c>
      <c r="E61" s="297">
        <v>11737</v>
      </c>
      <c r="F61" s="297">
        <v>582</v>
      </c>
      <c r="G61" s="297"/>
      <c r="H61" s="297"/>
      <c r="I61" s="297"/>
      <c r="J61" s="297"/>
      <c r="K61" s="297">
        <v>2017.11</v>
      </c>
      <c r="L61" s="297"/>
      <c r="M61" s="297"/>
      <c r="N61" s="297">
        <f>SUM(G61:M61)</f>
        <v>2017.11</v>
      </c>
      <c r="O61" s="297"/>
      <c r="P61" s="297"/>
      <c r="Q61" s="297"/>
      <c r="R61" s="297">
        <f>E61+F61+N61+O61+P61+Q61</f>
        <v>14336.11</v>
      </c>
    </row>
    <row r="62" spans="1:18" ht="19.95" customHeight="1" x14ac:dyDescent="0.25">
      <c r="A62" s="378" t="s">
        <v>219</v>
      </c>
      <c r="B62" s="378">
        <v>2695</v>
      </c>
      <c r="C62" s="377" t="s">
        <v>499</v>
      </c>
      <c r="D62" s="377"/>
      <c r="E62" s="297"/>
      <c r="F62" s="297"/>
      <c r="G62" s="297"/>
      <c r="H62" s="297"/>
      <c r="I62" s="297"/>
      <c r="J62" s="297"/>
      <c r="K62" s="297"/>
      <c r="L62" s="297"/>
      <c r="M62" s="297"/>
      <c r="N62" s="297">
        <f>SUM(G62:M62)</f>
        <v>0</v>
      </c>
      <c r="O62" s="297"/>
      <c r="P62" s="297"/>
      <c r="Q62" s="297"/>
      <c r="R62" s="297">
        <f>E62+F62+N62+O62+P62+Q62</f>
        <v>0</v>
      </c>
    </row>
    <row r="63" spans="1:18" ht="19.95" customHeight="1" x14ac:dyDescent="0.25">
      <c r="A63" s="378" t="s">
        <v>379</v>
      </c>
      <c r="B63" s="378">
        <v>561</v>
      </c>
      <c r="C63" s="377" t="s">
        <v>499</v>
      </c>
      <c r="D63" s="377" t="s">
        <v>95</v>
      </c>
      <c r="E63" s="297">
        <v>16550.63</v>
      </c>
      <c r="F63" s="297"/>
      <c r="G63" s="297"/>
      <c r="H63" s="297"/>
      <c r="I63" s="297"/>
      <c r="J63" s="297"/>
      <c r="K63" s="297"/>
      <c r="L63" s="297"/>
      <c r="M63" s="297"/>
      <c r="N63" s="297">
        <f>SUM(G63:M63)</f>
        <v>0</v>
      </c>
      <c r="O63" s="297"/>
      <c r="P63" s="297"/>
      <c r="Q63" s="297"/>
      <c r="R63" s="297">
        <f>E63+F63+N63+O63+P63+Q63</f>
        <v>16550.63</v>
      </c>
    </row>
    <row r="64" spans="1:18" ht="19.95" customHeight="1" x14ac:dyDescent="0.25">
      <c r="A64" s="378" t="s">
        <v>225</v>
      </c>
      <c r="B64" s="378">
        <v>640</v>
      </c>
      <c r="C64" s="377" t="s">
        <v>499</v>
      </c>
      <c r="D64" s="377"/>
      <c r="E64" s="297"/>
      <c r="F64" s="297"/>
      <c r="G64" s="297"/>
      <c r="H64" s="297"/>
      <c r="I64" s="297">
        <v>2448.0500000000002</v>
      </c>
      <c r="J64" s="297"/>
      <c r="K64" s="297"/>
      <c r="L64" s="297"/>
      <c r="M64" s="297"/>
      <c r="N64" s="297">
        <f>SUM(G64:M64)</f>
        <v>2448.0500000000002</v>
      </c>
      <c r="O64" s="297"/>
      <c r="P64" s="297">
        <v>2500</v>
      </c>
      <c r="Q64" s="297"/>
      <c r="R64" s="297">
        <f>E64+F64+N64+O64+P64+Q64</f>
        <v>4948.05</v>
      </c>
    </row>
    <row r="65" spans="1:20" ht="19.95" customHeight="1" x14ac:dyDescent="0.25">
      <c r="A65" s="378" t="s">
        <v>588</v>
      </c>
      <c r="B65" s="378"/>
      <c r="C65" s="377" t="s">
        <v>499</v>
      </c>
      <c r="D65" s="377" t="s">
        <v>606</v>
      </c>
      <c r="E65" s="297"/>
      <c r="F65" s="297"/>
      <c r="G65" s="297"/>
      <c r="H65" s="297"/>
      <c r="I65" s="297"/>
      <c r="J65" s="297"/>
      <c r="K65" s="297"/>
      <c r="L65" s="297"/>
      <c r="M65" s="297"/>
      <c r="N65" s="297">
        <f>SUM(G65:M65)</f>
        <v>0</v>
      </c>
      <c r="O65" s="297"/>
      <c r="P65" s="297"/>
      <c r="Q65" s="297">
        <v>3750</v>
      </c>
      <c r="R65" s="297">
        <f>E65+F65+N65+O65+P65+Q65</f>
        <v>3750</v>
      </c>
    </row>
    <row r="66" spans="1:20" ht="19.95" customHeight="1" x14ac:dyDescent="0.25">
      <c r="A66" s="378" t="s">
        <v>603</v>
      </c>
      <c r="B66" s="378"/>
      <c r="C66" s="377" t="s">
        <v>499</v>
      </c>
      <c r="D66" s="377"/>
      <c r="E66" s="297"/>
      <c r="F66" s="297"/>
      <c r="G66" s="297"/>
      <c r="H66" s="297"/>
      <c r="I66" s="297"/>
      <c r="J66" s="297"/>
      <c r="K66" s="297"/>
      <c r="L66" s="297"/>
      <c r="M66" s="297"/>
      <c r="N66" s="297">
        <f>SUM(G66:M66)</f>
        <v>0</v>
      </c>
      <c r="O66" s="297">
        <v>60</v>
      </c>
      <c r="P66" s="297"/>
      <c r="Q66" s="297"/>
      <c r="R66" s="297">
        <f>E66+F66+N66+O66+P66+Q66</f>
        <v>60</v>
      </c>
    </row>
    <row r="67" spans="1:20" ht="19.95" customHeight="1" x14ac:dyDescent="0.25">
      <c r="A67" s="385" t="s">
        <v>231</v>
      </c>
      <c r="B67" s="378">
        <v>509</v>
      </c>
      <c r="C67" s="377" t="s">
        <v>499</v>
      </c>
      <c r="D67" s="377"/>
      <c r="E67" s="297"/>
      <c r="F67" s="297"/>
      <c r="G67" s="297"/>
      <c r="H67" s="297"/>
      <c r="I67" s="297">
        <v>1023.28</v>
      </c>
      <c r="J67" s="297"/>
      <c r="K67" s="297"/>
      <c r="L67" s="297"/>
      <c r="M67" s="297">
        <v>1799.35</v>
      </c>
      <c r="N67" s="297">
        <f>SUM(G67:M67)</f>
        <v>2822.63</v>
      </c>
      <c r="O67" s="297">
        <v>1081.56</v>
      </c>
      <c r="P67" s="297"/>
      <c r="Q67" s="297"/>
      <c r="R67" s="297">
        <f>E67+F67+N67+O67+P67+Q67</f>
        <v>3904.19</v>
      </c>
    </row>
    <row r="68" spans="1:20" ht="19.95" customHeight="1" x14ac:dyDescent="0.25">
      <c r="A68" s="378" t="s">
        <v>236</v>
      </c>
      <c r="B68" s="378">
        <v>2351</v>
      </c>
      <c r="C68" s="377" t="s">
        <v>499</v>
      </c>
      <c r="D68" s="377"/>
      <c r="E68" s="297"/>
      <c r="F68" s="297"/>
      <c r="G68" s="297"/>
      <c r="H68" s="297"/>
      <c r="I68" s="297">
        <v>170.98</v>
      </c>
      <c r="J68" s="297"/>
      <c r="K68" s="297"/>
      <c r="L68" s="297"/>
      <c r="M68" s="297"/>
      <c r="N68" s="297">
        <f>SUM(G68:M68)</f>
        <v>170.98</v>
      </c>
      <c r="O68" s="297">
        <v>958.5</v>
      </c>
      <c r="P68" s="297"/>
      <c r="Q68" s="297"/>
      <c r="R68" s="297">
        <f>E68+F68+N68+O68+P68+Q68</f>
        <v>1129.48</v>
      </c>
    </row>
    <row r="69" spans="1:20" ht="19.95" customHeight="1" x14ac:dyDescent="0.25">
      <c r="A69" s="378" t="s">
        <v>380</v>
      </c>
      <c r="B69" s="378">
        <v>1899</v>
      </c>
      <c r="C69" s="377" t="s">
        <v>499</v>
      </c>
      <c r="D69" s="377" t="s">
        <v>93</v>
      </c>
      <c r="E69" s="297">
        <v>7614.5</v>
      </c>
      <c r="F69" s="297"/>
      <c r="G69" s="297"/>
      <c r="H69" s="297"/>
      <c r="I69" s="297"/>
      <c r="J69" s="297"/>
      <c r="K69" s="297"/>
      <c r="L69" s="297"/>
      <c r="M69" s="297"/>
      <c r="N69" s="297">
        <f>SUM(G69:M69)</f>
        <v>0</v>
      </c>
      <c r="O69" s="297">
        <v>303</v>
      </c>
      <c r="P69" s="297"/>
      <c r="Q69" s="297"/>
      <c r="R69" s="297">
        <f>E69+F69+N69+O69+P69+Q69</f>
        <v>7917.5</v>
      </c>
    </row>
    <row r="70" spans="1:20" ht="19.95" customHeight="1" x14ac:dyDescent="0.25">
      <c r="A70" s="378" t="s">
        <v>381</v>
      </c>
      <c r="B70" s="378">
        <v>179</v>
      </c>
      <c r="C70" s="377" t="s">
        <v>499</v>
      </c>
      <c r="D70" s="377" t="s">
        <v>91</v>
      </c>
      <c r="E70" s="297">
        <v>34920</v>
      </c>
      <c r="F70" s="297"/>
      <c r="G70" s="297"/>
      <c r="H70" s="297"/>
      <c r="I70" s="297">
        <v>952.61</v>
      </c>
      <c r="J70" s="297"/>
      <c r="K70" s="297"/>
      <c r="L70" s="297"/>
      <c r="M70" s="297"/>
      <c r="N70" s="297">
        <f>SUM(G70:M70)</f>
        <v>952.61</v>
      </c>
      <c r="O70" s="297">
        <v>2094.6799999999998</v>
      </c>
      <c r="P70" s="297"/>
      <c r="Q70" s="297">
        <v>6250</v>
      </c>
      <c r="R70" s="297">
        <f>E70+F70+N70+O70+P70+Q70</f>
        <v>44217.29</v>
      </c>
    </row>
    <row r="71" spans="1:20" ht="19.95" customHeight="1" x14ac:dyDescent="0.25">
      <c r="A71" s="378" t="s">
        <v>607</v>
      </c>
      <c r="B71" s="378"/>
      <c r="C71" s="377" t="s">
        <v>499</v>
      </c>
      <c r="D71" s="377" t="s">
        <v>606</v>
      </c>
      <c r="E71" s="297"/>
      <c r="F71" s="297"/>
      <c r="G71" s="297"/>
      <c r="H71" s="297"/>
      <c r="I71" s="297">
        <v>158.62</v>
      </c>
      <c r="J71" s="297"/>
      <c r="K71" s="297"/>
      <c r="L71" s="297"/>
      <c r="M71" s="297"/>
      <c r="N71" s="297">
        <f>SUM(G71:M71)</f>
        <v>158.62</v>
      </c>
      <c r="O71" s="297"/>
      <c r="P71" s="297"/>
      <c r="Q71" s="297">
        <v>3750</v>
      </c>
      <c r="R71" s="297">
        <f>E71+F71+N71+O71+P71+Q71</f>
        <v>3908.62</v>
      </c>
    </row>
    <row r="72" spans="1:20" ht="19.95" customHeight="1" x14ac:dyDescent="0.25">
      <c r="A72" s="378" t="s">
        <v>382</v>
      </c>
      <c r="B72" s="378">
        <v>180</v>
      </c>
      <c r="C72" s="377" t="s">
        <v>499</v>
      </c>
      <c r="D72" s="377" t="s">
        <v>87</v>
      </c>
      <c r="E72" s="297">
        <v>3194.53</v>
      </c>
      <c r="F72" s="297"/>
      <c r="G72" s="297"/>
      <c r="H72" s="297"/>
      <c r="I72" s="297">
        <v>278.23</v>
      </c>
      <c r="J72" s="297"/>
      <c r="K72" s="297"/>
      <c r="L72" s="297"/>
      <c r="M72" s="297"/>
      <c r="N72" s="297">
        <f>SUM(G72:M72)</f>
        <v>278.23</v>
      </c>
      <c r="O72" s="297"/>
      <c r="P72" s="297"/>
      <c r="Q72" s="297"/>
      <c r="R72" s="297">
        <f>E72+F72+N72+O72+P72+Q72</f>
        <v>3472.76</v>
      </c>
    </row>
    <row r="73" spans="1:20" ht="19.95" customHeight="1" x14ac:dyDescent="0.25">
      <c r="A73" s="378" t="s">
        <v>383</v>
      </c>
      <c r="B73" s="378">
        <v>115</v>
      </c>
      <c r="C73" s="377" t="s">
        <v>499</v>
      </c>
      <c r="D73" s="377"/>
      <c r="E73" s="297"/>
      <c r="F73" s="297"/>
      <c r="G73" s="297"/>
      <c r="H73" s="297"/>
      <c r="I73" s="297"/>
      <c r="J73" s="297"/>
      <c r="K73" s="297"/>
      <c r="L73" s="297"/>
      <c r="M73" s="297"/>
      <c r="N73" s="297">
        <f>SUM(G73:M73)</f>
        <v>0</v>
      </c>
      <c r="O73" s="297"/>
      <c r="P73" s="297"/>
      <c r="Q73" s="297">
        <v>6250</v>
      </c>
      <c r="R73" s="297">
        <f>E73+F73+N73+O73+P73+Q73</f>
        <v>6250</v>
      </c>
    </row>
    <row r="74" spans="1:20" ht="19.95" customHeight="1" x14ac:dyDescent="0.25">
      <c r="A74" s="378" t="s">
        <v>497</v>
      </c>
      <c r="B74" s="378">
        <v>540</v>
      </c>
      <c r="C74" s="377" t="s">
        <v>499</v>
      </c>
      <c r="D74" s="377"/>
      <c r="E74" s="297"/>
      <c r="F74" s="297"/>
      <c r="G74" s="297"/>
      <c r="H74" s="297"/>
      <c r="I74" s="297"/>
      <c r="J74" s="297"/>
      <c r="K74" s="297"/>
      <c r="L74" s="297"/>
      <c r="M74" s="297"/>
      <c r="N74" s="297">
        <f>SUM(G74:M74)</f>
        <v>0</v>
      </c>
      <c r="O74" s="297">
        <v>399</v>
      </c>
      <c r="P74" s="297"/>
      <c r="Q74" s="297"/>
      <c r="R74" s="297">
        <f>E74+F74+N74+O74+P74+Q74</f>
        <v>399</v>
      </c>
    </row>
    <row r="75" spans="1:20" ht="19.95" customHeight="1" x14ac:dyDescent="0.25">
      <c r="A75" s="378" t="s">
        <v>384</v>
      </c>
      <c r="B75" s="378">
        <v>1327</v>
      </c>
      <c r="C75" s="377" t="s">
        <v>499</v>
      </c>
      <c r="D75" s="377" t="s">
        <v>87</v>
      </c>
      <c r="E75" s="297">
        <v>2017.59</v>
      </c>
      <c r="F75" s="297"/>
      <c r="G75" s="297"/>
      <c r="H75" s="297"/>
      <c r="I75" s="297"/>
      <c r="J75" s="297"/>
      <c r="K75" s="297"/>
      <c r="L75" s="297"/>
      <c r="M75" s="297"/>
      <c r="N75" s="297">
        <f>SUM(G75:M75)</f>
        <v>0</v>
      </c>
      <c r="O75" s="297"/>
      <c r="P75" s="297"/>
      <c r="Q75" s="297"/>
      <c r="R75" s="297">
        <f>E75+F75+N75+O75+P75+Q75</f>
        <v>2017.59</v>
      </c>
    </row>
    <row r="76" spans="1:20" ht="19.95" customHeight="1" x14ac:dyDescent="0.25">
      <c r="A76" s="378" t="s">
        <v>385</v>
      </c>
      <c r="B76" s="378">
        <v>2286</v>
      </c>
      <c r="C76" s="377" t="s">
        <v>499</v>
      </c>
      <c r="D76" s="377" t="s">
        <v>93</v>
      </c>
      <c r="E76" s="297">
        <v>9215</v>
      </c>
      <c r="F76" s="297"/>
      <c r="G76" s="297"/>
      <c r="H76" s="297"/>
      <c r="I76" s="297">
        <v>2629.78</v>
      </c>
      <c r="J76" s="297"/>
      <c r="K76" s="297"/>
      <c r="L76" s="297"/>
      <c r="M76" s="297"/>
      <c r="N76" s="297">
        <f>SUM(G76:M76)</f>
        <v>2629.78</v>
      </c>
      <c r="O76" s="297">
        <v>260</v>
      </c>
      <c r="P76" s="297"/>
      <c r="Q76" s="297"/>
      <c r="R76" s="297">
        <f>E76+F76+N76+O76+P76+Q76</f>
        <v>12104.78</v>
      </c>
    </row>
    <row r="77" spans="1:20" s="392" customFormat="1" ht="19.95" customHeight="1" x14ac:dyDescent="0.25">
      <c r="A77" s="375" t="s">
        <v>85</v>
      </c>
      <c r="B77" s="384"/>
      <c r="C77" s="374"/>
      <c r="D77" s="374"/>
      <c r="E77" s="307">
        <f>SUM(E3:E76)</f>
        <v>518319.85000000009</v>
      </c>
      <c r="F77" s="307">
        <f>SUM(F3:F76)</f>
        <v>9930.380000000001</v>
      </c>
      <c r="G77" s="307">
        <f>SUM(G3:G76)</f>
        <v>0</v>
      </c>
      <c r="H77" s="307">
        <f>SUM(H3:H76)</f>
        <v>0</v>
      </c>
      <c r="I77" s="307">
        <f>SUM(I3:I76)</f>
        <v>43733.280000000013</v>
      </c>
      <c r="J77" s="307"/>
      <c r="K77" s="307"/>
      <c r="L77" s="307"/>
      <c r="M77" s="307"/>
      <c r="N77" s="307">
        <f>SUM(N3:N76)</f>
        <v>101754.31999999999</v>
      </c>
      <c r="O77" s="307">
        <f>SUM(O3:O76)</f>
        <v>66962.299999999988</v>
      </c>
      <c r="P77" s="307">
        <f>SUM(P3:P76)</f>
        <v>145000</v>
      </c>
      <c r="Q77" s="307">
        <f>SUM(Q3:Q76)</f>
        <v>225134.16999999998</v>
      </c>
      <c r="R77" s="307">
        <f>SUM(R3:R76)</f>
        <v>1067101.02</v>
      </c>
      <c r="T77" s="393"/>
    </row>
    <row r="78" spans="1:20" s="390" customFormat="1" ht="24" customHeight="1" x14ac:dyDescent="0.25">
      <c r="A78" s="391" t="s">
        <v>533</v>
      </c>
      <c r="B78" s="385">
        <v>237</v>
      </c>
      <c r="C78" s="377" t="s">
        <v>500</v>
      </c>
      <c r="D78" s="377"/>
      <c r="E78" s="297"/>
      <c r="F78" s="297"/>
      <c r="G78" s="297"/>
      <c r="H78" s="297"/>
      <c r="I78" s="297"/>
      <c r="J78" s="297"/>
      <c r="K78" s="297"/>
      <c r="L78" s="297"/>
      <c r="M78" s="297"/>
      <c r="N78" s="297">
        <f>SUM(G78:M78)</f>
        <v>0</v>
      </c>
      <c r="O78" s="297"/>
      <c r="P78" s="297"/>
      <c r="Q78" s="297"/>
      <c r="R78" s="297">
        <f>E78+F78+N78+O78+P78+Q78</f>
        <v>0</v>
      </c>
    </row>
    <row r="79" spans="1:20" ht="24" customHeight="1" x14ac:dyDescent="0.25">
      <c r="A79" s="386" t="s">
        <v>363</v>
      </c>
      <c r="B79" s="378">
        <v>235</v>
      </c>
      <c r="C79" s="377" t="s">
        <v>500</v>
      </c>
      <c r="D79" s="380"/>
      <c r="E79" s="313"/>
      <c r="F79" s="313"/>
      <c r="G79" s="313"/>
      <c r="H79" s="313"/>
      <c r="I79" s="313"/>
      <c r="J79" s="313"/>
      <c r="K79" s="313"/>
      <c r="L79" s="313"/>
      <c r="M79" s="313"/>
      <c r="N79" s="297">
        <f>SUM(G79:M79)</f>
        <v>0</v>
      </c>
      <c r="O79" s="313"/>
      <c r="P79" s="303"/>
      <c r="Q79" s="313"/>
      <c r="R79" s="297">
        <f>E79+F79+N79+O79+P79+Q79</f>
        <v>0</v>
      </c>
    </row>
    <row r="80" spans="1:20" ht="19.95" customHeight="1" x14ac:dyDescent="0.25">
      <c r="A80" s="385" t="s">
        <v>143</v>
      </c>
      <c r="B80" s="378">
        <v>123</v>
      </c>
      <c r="C80" s="377" t="s">
        <v>500</v>
      </c>
      <c r="D80" s="380"/>
      <c r="E80" s="303"/>
      <c r="F80" s="303"/>
      <c r="G80" s="303"/>
      <c r="H80" s="303"/>
      <c r="I80" s="303"/>
      <c r="J80" s="303"/>
      <c r="K80" s="303"/>
      <c r="L80" s="303"/>
      <c r="M80" s="303"/>
      <c r="N80" s="297">
        <f>SUM(G80:M80)</f>
        <v>0</v>
      </c>
      <c r="O80" s="303"/>
      <c r="P80" s="303"/>
      <c r="Q80" s="303">
        <v>15000</v>
      </c>
      <c r="R80" s="297">
        <f>E80+F80+N80+O80+P80+Q80</f>
        <v>15000</v>
      </c>
    </row>
    <row r="81" spans="1:18" ht="19.95" customHeight="1" x14ac:dyDescent="0.25">
      <c r="A81" s="378" t="s">
        <v>144</v>
      </c>
      <c r="B81" s="378">
        <v>269</v>
      </c>
      <c r="C81" s="377" t="s">
        <v>500</v>
      </c>
      <c r="D81" s="377" t="s">
        <v>112</v>
      </c>
      <c r="E81" s="303">
        <v>12610</v>
      </c>
      <c r="F81" s="303">
        <v>252.2</v>
      </c>
      <c r="G81" s="303"/>
      <c r="H81" s="303"/>
      <c r="I81" s="303"/>
      <c r="J81" s="303"/>
      <c r="K81" s="303"/>
      <c r="L81" s="303"/>
      <c r="M81" s="303"/>
      <c r="N81" s="297">
        <f>SUM(G81:M81)</f>
        <v>0</v>
      </c>
      <c r="O81" s="303"/>
      <c r="P81" s="303"/>
      <c r="Q81" s="303"/>
      <c r="R81" s="297">
        <f>E81+F81+N81+O81+P81+Q81</f>
        <v>12862.2</v>
      </c>
    </row>
    <row r="82" spans="1:18" ht="19.95" customHeight="1" x14ac:dyDescent="0.25">
      <c r="A82" s="378" t="s">
        <v>145</v>
      </c>
      <c r="B82" s="378">
        <v>122</v>
      </c>
      <c r="C82" s="377" t="s">
        <v>500</v>
      </c>
      <c r="D82" s="377" t="s">
        <v>103</v>
      </c>
      <c r="E82" s="303">
        <v>7081</v>
      </c>
      <c r="F82" s="303"/>
      <c r="G82" s="303"/>
      <c r="H82" s="303"/>
      <c r="I82" s="303"/>
      <c r="J82" s="303"/>
      <c r="K82" s="303"/>
      <c r="L82" s="303"/>
      <c r="M82" s="303"/>
      <c r="N82" s="297">
        <f>SUM(G82:M82)</f>
        <v>0</v>
      </c>
      <c r="O82" s="303"/>
      <c r="P82" s="303"/>
      <c r="Q82" s="303"/>
      <c r="R82" s="297">
        <f>E82+F82+N82+O82+P82+Q82</f>
        <v>7081</v>
      </c>
    </row>
    <row r="83" spans="1:18" ht="19.95" customHeight="1" x14ac:dyDescent="0.25">
      <c r="A83" s="378" t="s">
        <v>465</v>
      </c>
      <c r="B83" s="378">
        <v>220</v>
      </c>
      <c r="C83" s="377" t="s">
        <v>500</v>
      </c>
      <c r="D83" s="377"/>
      <c r="E83" s="303"/>
      <c r="F83" s="303"/>
      <c r="G83" s="303"/>
      <c r="H83" s="303"/>
      <c r="I83" s="303">
        <v>783.3</v>
      </c>
      <c r="J83" s="303"/>
      <c r="K83" s="303"/>
      <c r="L83" s="303"/>
      <c r="M83" s="303"/>
      <c r="N83" s="297">
        <f>SUM(G83:M83)</f>
        <v>783.3</v>
      </c>
      <c r="O83" s="303"/>
      <c r="P83" s="303"/>
      <c r="Q83" s="303"/>
      <c r="R83" s="297">
        <f>E83+F83+N83+O83+P83+Q83</f>
        <v>783.3</v>
      </c>
    </row>
    <row r="84" spans="1:18" ht="19.95" customHeight="1" x14ac:dyDescent="0.25">
      <c r="A84" s="378" t="s">
        <v>462</v>
      </c>
      <c r="B84" s="378">
        <v>706</v>
      </c>
      <c r="C84" s="377" t="s">
        <v>500</v>
      </c>
      <c r="D84" s="377"/>
      <c r="E84" s="303"/>
      <c r="F84" s="303"/>
      <c r="G84" s="303"/>
      <c r="H84" s="303"/>
      <c r="I84" s="303"/>
      <c r="J84" s="303"/>
      <c r="K84" s="303"/>
      <c r="L84" s="303">
        <v>31107.46</v>
      </c>
      <c r="M84" s="303"/>
      <c r="N84" s="297">
        <f>SUM(G84:M84)</f>
        <v>31107.46</v>
      </c>
      <c r="O84" s="303"/>
      <c r="P84" s="303"/>
      <c r="Q84" s="303"/>
      <c r="R84" s="297">
        <f>E84+F84+N84+O84+P84+Q84</f>
        <v>31107.46</v>
      </c>
    </row>
    <row r="85" spans="1:18" ht="19.95" customHeight="1" x14ac:dyDescent="0.25">
      <c r="A85" s="386" t="s">
        <v>452</v>
      </c>
      <c r="B85" s="378">
        <v>1873</v>
      </c>
      <c r="C85" s="377" t="s">
        <v>500</v>
      </c>
      <c r="D85" s="380"/>
      <c r="E85" s="313"/>
      <c r="F85" s="313"/>
      <c r="G85" s="313"/>
      <c r="H85" s="313"/>
      <c r="I85" s="313"/>
      <c r="J85" s="313"/>
      <c r="K85" s="313"/>
      <c r="L85" s="313"/>
      <c r="M85" s="313"/>
      <c r="N85" s="297">
        <f>SUM(G85:M85)</f>
        <v>0</v>
      </c>
      <c r="O85" s="313"/>
      <c r="P85" s="303"/>
      <c r="Q85" s="313"/>
      <c r="R85" s="297">
        <f>E85+F85+N85+O85+P85+Q85</f>
        <v>0</v>
      </c>
    </row>
    <row r="86" spans="1:18" ht="19.95" customHeight="1" x14ac:dyDescent="0.25">
      <c r="A86" s="385" t="s">
        <v>147</v>
      </c>
      <c r="B86" s="378">
        <v>2364</v>
      </c>
      <c r="C86" s="377" t="s">
        <v>500</v>
      </c>
      <c r="D86" s="380" t="s">
        <v>87</v>
      </c>
      <c r="E86" s="303">
        <v>3951.12</v>
      </c>
      <c r="F86" s="303"/>
      <c r="G86" s="303"/>
      <c r="H86" s="303"/>
      <c r="I86" s="303"/>
      <c r="J86" s="303"/>
      <c r="K86" s="303">
        <v>605.13</v>
      </c>
      <c r="L86" s="303"/>
      <c r="M86" s="303"/>
      <c r="N86" s="297">
        <f>SUM(G86:M86)</f>
        <v>605.13</v>
      </c>
      <c r="O86" s="303"/>
      <c r="P86" s="303"/>
      <c r="Q86" s="303"/>
      <c r="R86" s="297">
        <f>E86+F86+N86+O86+P86+Q86</f>
        <v>4556.25</v>
      </c>
    </row>
    <row r="87" spans="1:18" ht="19.95" customHeight="1" x14ac:dyDescent="0.25">
      <c r="A87" s="378" t="s">
        <v>149</v>
      </c>
      <c r="B87" s="378">
        <v>2381</v>
      </c>
      <c r="C87" s="377" t="s">
        <v>500</v>
      </c>
      <c r="D87" s="380" t="s">
        <v>93</v>
      </c>
      <c r="E87" s="303"/>
      <c r="F87" s="303"/>
      <c r="G87" s="303"/>
      <c r="H87" s="303"/>
      <c r="I87" s="303"/>
      <c r="J87" s="303"/>
      <c r="K87" s="303"/>
      <c r="L87" s="303"/>
      <c r="M87" s="303"/>
      <c r="N87" s="297">
        <f>SUM(G87:M87)</f>
        <v>0</v>
      </c>
      <c r="O87" s="303"/>
      <c r="P87" s="303"/>
      <c r="Q87" s="303"/>
      <c r="R87" s="297">
        <f>E87+F87+N87+O87+P87+Q87</f>
        <v>0</v>
      </c>
    </row>
    <row r="88" spans="1:18" ht="19.95" customHeight="1" x14ac:dyDescent="0.25">
      <c r="A88" s="378" t="s">
        <v>151</v>
      </c>
      <c r="B88" s="378">
        <v>307</v>
      </c>
      <c r="C88" s="377" t="s">
        <v>500</v>
      </c>
      <c r="D88" s="377"/>
      <c r="E88" s="303"/>
      <c r="F88" s="303"/>
      <c r="G88" s="303"/>
      <c r="H88" s="303"/>
      <c r="I88" s="303">
        <v>8470.84</v>
      </c>
      <c r="J88" s="303"/>
      <c r="K88" s="303"/>
      <c r="L88" s="303"/>
      <c r="M88" s="303"/>
      <c r="N88" s="297">
        <f>SUM(G88:M88)</f>
        <v>8470.84</v>
      </c>
      <c r="O88" s="303"/>
      <c r="P88" s="303"/>
      <c r="Q88" s="303"/>
      <c r="R88" s="297">
        <f>E88+F88+N88+O88+P88+Q88</f>
        <v>8470.84</v>
      </c>
    </row>
    <row r="89" spans="1:18" ht="19.95" customHeight="1" x14ac:dyDescent="0.25">
      <c r="A89" s="385" t="s">
        <v>152</v>
      </c>
      <c r="B89" s="378">
        <v>1092</v>
      </c>
      <c r="C89" s="377" t="s">
        <v>500</v>
      </c>
      <c r="D89" s="380" t="s">
        <v>87</v>
      </c>
      <c r="E89" s="303"/>
      <c r="F89" s="303"/>
      <c r="G89" s="303"/>
      <c r="H89" s="303"/>
      <c r="I89" s="303"/>
      <c r="J89" s="303"/>
      <c r="K89" s="303"/>
      <c r="L89" s="303"/>
      <c r="M89" s="303"/>
      <c r="N89" s="297">
        <f>SUM(G89:M89)</f>
        <v>0</v>
      </c>
      <c r="O89" s="303"/>
      <c r="P89" s="303"/>
      <c r="Q89" s="303"/>
      <c r="R89" s="297">
        <f>E89+F89+N89+O89+P89+Q89</f>
        <v>0</v>
      </c>
    </row>
    <row r="90" spans="1:18" ht="19.95" customHeight="1" x14ac:dyDescent="0.25">
      <c r="A90" s="378" t="s">
        <v>153</v>
      </c>
      <c r="B90" s="378">
        <v>622</v>
      </c>
      <c r="C90" s="377" t="s">
        <v>500</v>
      </c>
      <c r="D90" s="377" t="s">
        <v>112</v>
      </c>
      <c r="E90" s="303"/>
      <c r="F90" s="303"/>
      <c r="G90" s="303"/>
      <c r="H90" s="303"/>
      <c r="I90" s="303"/>
      <c r="J90" s="303"/>
      <c r="K90" s="303"/>
      <c r="L90" s="303"/>
      <c r="M90" s="303"/>
      <c r="N90" s="297">
        <f>SUM(G90:M90)</f>
        <v>0</v>
      </c>
      <c r="O90" s="303"/>
      <c r="P90" s="303"/>
      <c r="Q90" s="303"/>
      <c r="R90" s="297">
        <f>E90+F90+N90+O90+P90+Q90</f>
        <v>0</v>
      </c>
    </row>
    <row r="91" spans="1:18" ht="19.95" customHeight="1" x14ac:dyDescent="0.25">
      <c r="A91" s="385" t="s">
        <v>154</v>
      </c>
      <c r="B91" s="378">
        <v>2455</v>
      </c>
      <c r="C91" s="377" t="s">
        <v>500</v>
      </c>
      <c r="D91" s="377" t="s">
        <v>103</v>
      </c>
      <c r="E91" s="303">
        <v>10401.620000000001</v>
      </c>
      <c r="F91" s="303"/>
      <c r="G91" s="303"/>
      <c r="H91" s="303"/>
      <c r="I91" s="303">
        <v>151.08000000000001</v>
      </c>
      <c r="J91" s="303"/>
      <c r="K91" s="303"/>
      <c r="L91" s="303"/>
      <c r="M91" s="303"/>
      <c r="N91" s="297">
        <f>SUM(G91:M91)</f>
        <v>151.08000000000001</v>
      </c>
      <c r="O91" s="303"/>
      <c r="P91" s="303"/>
      <c r="Q91" s="303"/>
      <c r="R91" s="297">
        <f>E91+F91+N91+O91+P91+Q91</f>
        <v>10552.7</v>
      </c>
    </row>
    <row r="92" spans="1:18" ht="19.95" customHeight="1" x14ac:dyDescent="0.25">
      <c r="A92" s="378" t="s">
        <v>155</v>
      </c>
      <c r="B92" s="378">
        <v>126</v>
      </c>
      <c r="C92" s="377" t="s">
        <v>500</v>
      </c>
      <c r="D92" s="377" t="s">
        <v>352</v>
      </c>
      <c r="E92" s="303">
        <v>11185.31</v>
      </c>
      <c r="F92" s="303"/>
      <c r="G92" s="303"/>
      <c r="H92" s="303"/>
      <c r="I92" s="303"/>
      <c r="J92" s="303"/>
      <c r="K92" s="303"/>
      <c r="L92" s="303"/>
      <c r="M92" s="303"/>
      <c r="N92" s="297">
        <f>SUM(G92:M92)</f>
        <v>0</v>
      </c>
      <c r="O92" s="303"/>
      <c r="P92" s="303"/>
      <c r="Q92" s="303">
        <v>16666.669999999998</v>
      </c>
      <c r="R92" s="297">
        <f>E92+F92+N92+O92+P92+Q92</f>
        <v>27851.979999999996</v>
      </c>
    </row>
    <row r="93" spans="1:18" ht="19.95" customHeight="1" x14ac:dyDescent="0.25">
      <c r="A93" s="378" t="s">
        <v>156</v>
      </c>
      <c r="B93" s="378">
        <v>2497</v>
      </c>
      <c r="C93" s="377" t="s">
        <v>500</v>
      </c>
      <c r="D93" s="377"/>
      <c r="E93" s="303"/>
      <c r="F93" s="303"/>
      <c r="G93" s="303"/>
      <c r="H93" s="303"/>
      <c r="I93" s="303"/>
      <c r="J93" s="303"/>
      <c r="K93" s="303"/>
      <c r="L93" s="303"/>
      <c r="M93" s="303">
        <v>441.35</v>
      </c>
      <c r="N93" s="297">
        <f>SUM(G93:M93)</f>
        <v>441.35</v>
      </c>
      <c r="O93" s="303"/>
      <c r="P93" s="303"/>
      <c r="Q93" s="303"/>
      <c r="R93" s="297">
        <f>E93+F93+N93+O93+P93+Q93</f>
        <v>441.35</v>
      </c>
    </row>
    <row r="94" spans="1:18" ht="19.95" customHeight="1" x14ac:dyDescent="0.25">
      <c r="A94" s="378" t="s">
        <v>466</v>
      </c>
      <c r="B94" s="378">
        <v>321</v>
      </c>
      <c r="C94" s="377" t="s">
        <v>500</v>
      </c>
      <c r="D94" s="377"/>
      <c r="E94" s="303"/>
      <c r="F94" s="303"/>
      <c r="G94" s="303"/>
      <c r="H94" s="303"/>
      <c r="I94" s="303"/>
      <c r="J94" s="303"/>
      <c r="K94" s="303"/>
      <c r="L94" s="303"/>
      <c r="M94" s="303">
        <v>339.5</v>
      </c>
      <c r="N94" s="297">
        <f>SUM(G94:M94)</f>
        <v>339.5</v>
      </c>
      <c r="O94" s="303"/>
      <c r="P94" s="303"/>
      <c r="Q94" s="303"/>
      <c r="R94" s="297">
        <f>E94+F94+N94+O94+P94+Q94</f>
        <v>339.5</v>
      </c>
    </row>
    <row r="95" spans="1:18" ht="19.95" customHeight="1" x14ac:dyDescent="0.25">
      <c r="A95" s="385" t="s">
        <v>157</v>
      </c>
      <c r="B95" s="378">
        <v>127</v>
      </c>
      <c r="C95" s="377" t="s">
        <v>500</v>
      </c>
      <c r="D95" s="380" t="s">
        <v>112</v>
      </c>
      <c r="E95" s="303">
        <v>3031.25</v>
      </c>
      <c r="F95" s="303">
        <v>1096.0999999999999</v>
      </c>
      <c r="G95" s="303"/>
      <c r="H95" s="303"/>
      <c r="I95" s="303"/>
      <c r="J95" s="303"/>
      <c r="K95" s="303"/>
      <c r="L95" s="303"/>
      <c r="M95" s="303"/>
      <c r="N95" s="297">
        <f>SUM(G95:M95)</f>
        <v>0</v>
      </c>
      <c r="O95" s="303"/>
      <c r="P95" s="303"/>
      <c r="Q95" s="303"/>
      <c r="R95" s="297">
        <f>E95+F95+N95+O95+P95+Q95</f>
        <v>4127.3500000000004</v>
      </c>
    </row>
    <row r="96" spans="1:18" ht="19.95" customHeight="1" x14ac:dyDescent="0.25">
      <c r="A96" s="389" t="s">
        <v>364</v>
      </c>
      <c r="B96" s="378">
        <v>51</v>
      </c>
      <c r="C96" s="377" t="s">
        <v>500</v>
      </c>
      <c r="D96" s="380" t="s">
        <v>95</v>
      </c>
      <c r="E96" s="303">
        <v>2364.38</v>
      </c>
      <c r="F96" s="303"/>
      <c r="G96" s="303"/>
      <c r="H96" s="303"/>
      <c r="I96" s="303"/>
      <c r="J96" s="303"/>
      <c r="K96" s="303"/>
      <c r="L96" s="303"/>
      <c r="M96" s="303"/>
      <c r="N96" s="297">
        <f>SUM(G96:M96)</f>
        <v>0</v>
      </c>
      <c r="O96" s="303"/>
      <c r="P96" s="303"/>
      <c r="Q96" s="303"/>
      <c r="R96" s="297">
        <f>E96+F96+N96+O96+P96+Q96</f>
        <v>2364.38</v>
      </c>
    </row>
    <row r="97" spans="1:18" ht="19.95" customHeight="1" x14ac:dyDescent="0.25">
      <c r="A97" s="388" t="s">
        <v>467</v>
      </c>
      <c r="B97" s="378">
        <v>128</v>
      </c>
      <c r="C97" s="377" t="s">
        <v>500</v>
      </c>
      <c r="D97" s="380" t="s">
        <v>112</v>
      </c>
      <c r="E97" s="303">
        <v>4365</v>
      </c>
      <c r="F97" s="303"/>
      <c r="G97" s="303"/>
      <c r="H97" s="303"/>
      <c r="I97" s="303"/>
      <c r="J97" s="303"/>
      <c r="K97" s="303"/>
      <c r="L97" s="303"/>
      <c r="M97" s="303"/>
      <c r="N97" s="297">
        <f>SUM(G97:M97)</f>
        <v>0</v>
      </c>
      <c r="O97" s="303"/>
      <c r="P97" s="303"/>
      <c r="Q97" s="303"/>
      <c r="R97" s="297">
        <f>E97+F97+N97+O97+P97+Q97</f>
        <v>4365</v>
      </c>
    </row>
    <row r="98" spans="1:18" ht="19.95" customHeight="1" x14ac:dyDescent="0.25">
      <c r="A98" s="378" t="s">
        <v>468</v>
      </c>
      <c r="B98" s="378">
        <v>1537</v>
      </c>
      <c r="C98" s="377" t="s">
        <v>500</v>
      </c>
      <c r="D98" s="380" t="s">
        <v>93</v>
      </c>
      <c r="E98" s="303">
        <v>5044</v>
      </c>
      <c r="F98" s="303"/>
      <c r="G98" s="303"/>
      <c r="H98" s="303"/>
      <c r="I98" s="303">
        <v>3178.71</v>
      </c>
      <c r="J98" s="303"/>
      <c r="K98" s="303"/>
      <c r="L98" s="303"/>
      <c r="M98" s="303"/>
      <c r="N98" s="297">
        <f>SUM(G98:M98)</f>
        <v>3178.71</v>
      </c>
      <c r="O98" s="303"/>
      <c r="P98" s="303"/>
      <c r="Q98" s="303"/>
      <c r="R98" s="297">
        <f>E98+F98+N98+O98+P98+Q98</f>
        <v>8222.7099999999991</v>
      </c>
    </row>
    <row r="99" spans="1:18" ht="19.95" customHeight="1" x14ac:dyDescent="0.25">
      <c r="A99" s="386" t="s">
        <v>365</v>
      </c>
      <c r="B99" s="378">
        <v>234</v>
      </c>
      <c r="C99" s="377" t="s">
        <v>500</v>
      </c>
      <c r="D99" s="380"/>
      <c r="E99" s="313"/>
      <c r="F99" s="313"/>
      <c r="G99" s="313"/>
      <c r="H99" s="313"/>
      <c r="I99" s="313"/>
      <c r="J99" s="313"/>
      <c r="K99" s="313"/>
      <c r="L99" s="313"/>
      <c r="M99" s="313"/>
      <c r="N99" s="297">
        <f>SUM(G99:M99)</f>
        <v>0</v>
      </c>
      <c r="O99" s="313"/>
      <c r="P99" s="303"/>
      <c r="Q99" s="313"/>
      <c r="R99" s="297">
        <f>E99+F99+N99+O99+P99+Q99</f>
        <v>0</v>
      </c>
    </row>
    <row r="100" spans="1:18" ht="19.95" customHeight="1" x14ac:dyDescent="0.25">
      <c r="A100" s="385" t="s">
        <v>161</v>
      </c>
      <c r="B100" s="378">
        <v>2154</v>
      </c>
      <c r="C100" s="377" t="s">
        <v>500</v>
      </c>
      <c r="D100" s="380" t="s">
        <v>87</v>
      </c>
      <c r="E100" s="303">
        <v>3362.65</v>
      </c>
      <c r="F100" s="303"/>
      <c r="G100" s="303"/>
      <c r="H100" s="303"/>
      <c r="I100" s="303">
        <v>2397.63</v>
      </c>
      <c r="J100" s="303"/>
      <c r="K100" s="303"/>
      <c r="L100" s="303"/>
      <c r="M100" s="303"/>
      <c r="N100" s="297">
        <f>SUM(G100:M100)</f>
        <v>2397.63</v>
      </c>
      <c r="O100" s="303"/>
      <c r="P100" s="303"/>
      <c r="Q100" s="303"/>
      <c r="R100" s="297">
        <f>E100+F100+N100+O100+P100+Q100</f>
        <v>5760.2800000000007</v>
      </c>
    </row>
    <row r="101" spans="1:18" ht="19.95" customHeight="1" x14ac:dyDescent="0.25">
      <c r="A101" s="385" t="s">
        <v>534</v>
      </c>
      <c r="B101" s="378">
        <v>579</v>
      </c>
      <c r="C101" s="377" t="s">
        <v>500</v>
      </c>
      <c r="D101" s="380"/>
      <c r="E101" s="303"/>
      <c r="F101" s="303"/>
      <c r="G101" s="303"/>
      <c r="H101" s="303"/>
      <c r="I101" s="303"/>
      <c r="J101" s="303"/>
      <c r="K101" s="303"/>
      <c r="L101" s="303"/>
      <c r="M101" s="303">
        <v>441.35</v>
      </c>
      <c r="N101" s="297">
        <f>SUM(G101:M101)</f>
        <v>441.35</v>
      </c>
      <c r="O101" s="303"/>
      <c r="P101" s="303"/>
      <c r="Q101" s="303"/>
      <c r="R101" s="297">
        <f>E101+F101+N101+O101+P101+Q101</f>
        <v>441.35</v>
      </c>
    </row>
    <row r="102" spans="1:18" ht="19.95" customHeight="1" x14ac:dyDescent="0.25">
      <c r="A102" s="378" t="s">
        <v>163</v>
      </c>
      <c r="B102" s="378">
        <v>331</v>
      </c>
      <c r="C102" s="377" t="s">
        <v>500</v>
      </c>
      <c r="D102" s="377"/>
      <c r="E102" s="303"/>
      <c r="F102" s="303"/>
      <c r="G102" s="303"/>
      <c r="H102" s="303"/>
      <c r="I102" s="303"/>
      <c r="J102" s="303"/>
      <c r="K102" s="303"/>
      <c r="L102" s="303"/>
      <c r="M102" s="303"/>
      <c r="N102" s="297">
        <f>SUM(G102:M102)</f>
        <v>0</v>
      </c>
      <c r="O102" s="303"/>
      <c r="P102" s="303"/>
      <c r="Q102" s="303"/>
      <c r="R102" s="297">
        <f>E102+F102+N102+O102+P102+Q102</f>
        <v>0</v>
      </c>
    </row>
    <row r="103" spans="1:18" ht="19.95" customHeight="1" x14ac:dyDescent="0.25">
      <c r="A103" s="378" t="s">
        <v>164</v>
      </c>
      <c r="B103" s="378">
        <v>58</v>
      </c>
      <c r="C103" s="377" t="s">
        <v>500</v>
      </c>
      <c r="D103" s="377" t="s">
        <v>95</v>
      </c>
      <c r="E103" s="303">
        <v>8070.4</v>
      </c>
      <c r="F103" s="303"/>
      <c r="G103" s="303"/>
      <c r="H103" s="303"/>
      <c r="I103" s="303"/>
      <c r="J103" s="303"/>
      <c r="K103" s="303"/>
      <c r="L103" s="303"/>
      <c r="M103" s="303"/>
      <c r="N103" s="297">
        <f>SUM(G103:M103)</f>
        <v>0</v>
      </c>
      <c r="O103" s="303"/>
      <c r="P103" s="303"/>
      <c r="Q103" s="303"/>
      <c r="R103" s="297">
        <f>E103+F103+N103+O103+P103+Q103</f>
        <v>8070.4</v>
      </c>
    </row>
    <row r="104" spans="1:18" ht="19.95" customHeight="1" x14ac:dyDescent="0.25">
      <c r="A104" s="378" t="s">
        <v>166</v>
      </c>
      <c r="B104" s="378">
        <v>131</v>
      </c>
      <c r="C104" s="377" t="s">
        <v>500</v>
      </c>
      <c r="D104" s="380" t="s">
        <v>87</v>
      </c>
      <c r="E104" s="303">
        <v>13822.5</v>
      </c>
      <c r="F104" s="303">
        <v>921.5</v>
      </c>
      <c r="G104" s="303"/>
      <c r="H104" s="303"/>
      <c r="I104" s="303"/>
      <c r="J104" s="303"/>
      <c r="K104" s="303"/>
      <c r="L104" s="303"/>
      <c r="M104" s="303"/>
      <c r="N104" s="297">
        <f>SUM(G104:M104)</f>
        <v>0</v>
      </c>
      <c r="O104" s="303"/>
      <c r="P104" s="303"/>
      <c r="Q104" s="303"/>
      <c r="R104" s="297">
        <f>E104+F104+N104+O104+P104+Q104</f>
        <v>14744</v>
      </c>
    </row>
    <row r="105" spans="1:18" ht="19.95" customHeight="1" x14ac:dyDescent="0.25">
      <c r="A105" s="385" t="s">
        <v>167</v>
      </c>
      <c r="B105" s="378">
        <v>59</v>
      </c>
      <c r="C105" s="377" t="s">
        <v>500</v>
      </c>
      <c r="D105" s="380" t="s">
        <v>95</v>
      </c>
      <c r="E105" s="303">
        <v>16140.8</v>
      </c>
      <c r="F105" s="303"/>
      <c r="G105" s="303"/>
      <c r="H105" s="303"/>
      <c r="I105" s="303"/>
      <c r="J105" s="303"/>
      <c r="K105" s="303"/>
      <c r="L105" s="303"/>
      <c r="M105" s="303"/>
      <c r="N105" s="297">
        <f>SUM(G105:M105)</f>
        <v>0</v>
      </c>
      <c r="O105" s="303"/>
      <c r="P105" s="303"/>
      <c r="Q105" s="303"/>
      <c r="R105" s="297">
        <f>E105+F105+N105+O105+P105+Q105</f>
        <v>16140.8</v>
      </c>
    </row>
    <row r="106" spans="1:18" ht="19.95" customHeight="1" x14ac:dyDescent="0.25">
      <c r="A106" s="378" t="s">
        <v>168</v>
      </c>
      <c r="B106" s="378">
        <v>345</v>
      </c>
      <c r="C106" s="377" t="s">
        <v>500</v>
      </c>
      <c r="D106" s="377" t="s">
        <v>91</v>
      </c>
      <c r="E106" s="303">
        <v>7275</v>
      </c>
      <c r="F106" s="303"/>
      <c r="G106" s="303"/>
      <c r="H106" s="303"/>
      <c r="I106" s="303"/>
      <c r="J106" s="303"/>
      <c r="K106" s="303"/>
      <c r="L106" s="303"/>
      <c r="M106" s="303"/>
      <c r="N106" s="297">
        <f>SUM(G106:M106)</f>
        <v>0</v>
      </c>
      <c r="O106" s="303"/>
      <c r="P106" s="303"/>
      <c r="Q106" s="303"/>
      <c r="R106" s="297">
        <f>E106+F106+N106+O106+P106+Q106</f>
        <v>7275</v>
      </c>
    </row>
    <row r="107" spans="1:18" ht="19.95" customHeight="1" x14ac:dyDescent="0.25">
      <c r="A107" s="378" t="s">
        <v>169</v>
      </c>
      <c r="B107" s="378">
        <v>355</v>
      </c>
      <c r="C107" s="377" t="s">
        <v>500</v>
      </c>
      <c r="D107" s="380" t="s">
        <v>93</v>
      </c>
      <c r="E107" s="303">
        <v>2910</v>
      </c>
      <c r="F107" s="303"/>
      <c r="G107" s="303"/>
      <c r="H107" s="303"/>
      <c r="I107" s="303"/>
      <c r="J107" s="303"/>
      <c r="K107" s="303"/>
      <c r="L107" s="303"/>
      <c r="M107" s="303"/>
      <c r="N107" s="297">
        <f>SUM(G107:M107)</f>
        <v>0</v>
      </c>
      <c r="O107" s="303"/>
      <c r="P107" s="303"/>
      <c r="Q107" s="303"/>
      <c r="R107" s="297">
        <f>E107+F107+N107+O107+P107+Q107</f>
        <v>2910</v>
      </c>
    </row>
    <row r="108" spans="1:18" ht="19.95" customHeight="1" x14ac:dyDescent="0.25">
      <c r="A108" s="378" t="s">
        <v>171</v>
      </c>
      <c r="B108" s="378">
        <v>357</v>
      </c>
      <c r="C108" s="377" t="s">
        <v>500</v>
      </c>
      <c r="D108" s="377"/>
      <c r="E108" s="303"/>
      <c r="F108" s="303"/>
      <c r="G108" s="303"/>
      <c r="H108" s="303"/>
      <c r="I108" s="303"/>
      <c r="J108" s="303"/>
      <c r="K108" s="303"/>
      <c r="L108" s="303"/>
      <c r="M108" s="303"/>
      <c r="N108" s="297">
        <f>SUM(G108:M108)</f>
        <v>0</v>
      </c>
      <c r="O108" s="303"/>
      <c r="P108" s="303"/>
      <c r="Q108" s="303"/>
      <c r="R108" s="297">
        <f>E108+F108+N108+O108+P108+Q108</f>
        <v>0</v>
      </c>
    </row>
    <row r="109" spans="1:18" ht="19.95" customHeight="1" x14ac:dyDescent="0.25">
      <c r="A109" s="378" t="s">
        <v>535</v>
      </c>
      <c r="B109" s="378">
        <v>134</v>
      </c>
      <c r="C109" s="377" t="s">
        <v>500</v>
      </c>
      <c r="D109" s="377"/>
      <c r="E109" s="303">
        <v>5121.6000000000004</v>
      </c>
      <c r="F109" s="303"/>
      <c r="G109" s="303"/>
      <c r="H109" s="303"/>
      <c r="I109" s="303"/>
      <c r="J109" s="303"/>
      <c r="K109" s="303"/>
      <c r="L109" s="303"/>
      <c r="M109" s="303"/>
      <c r="N109" s="297">
        <f>SUM(G109:M109)</f>
        <v>0</v>
      </c>
      <c r="O109" s="303"/>
      <c r="P109" s="303"/>
      <c r="Q109" s="303"/>
      <c r="R109" s="297">
        <f>E109+F109+N109+O109+P109+Q109</f>
        <v>5121.6000000000004</v>
      </c>
    </row>
    <row r="110" spans="1:18" ht="19.95" customHeight="1" x14ac:dyDescent="0.25">
      <c r="A110" s="378" t="s">
        <v>172</v>
      </c>
      <c r="B110" s="378">
        <v>60</v>
      </c>
      <c r="C110" s="377" t="s">
        <v>500</v>
      </c>
      <c r="D110" s="380" t="s">
        <v>95</v>
      </c>
      <c r="E110" s="303"/>
      <c r="F110" s="303"/>
      <c r="G110" s="303"/>
      <c r="H110" s="303"/>
      <c r="I110" s="303"/>
      <c r="J110" s="303"/>
      <c r="K110" s="303"/>
      <c r="L110" s="303"/>
      <c r="M110" s="303"/>
      <c r="N110" s="297">
        <f>SUM(G110:M110)</f>
        <v>0</v>
      </c>
      <c r="O110" s="303"/>
      <c r="P110" s="303"/>
      <c r="Q110" s="303"/>
      <c r="R110" s="297">
        <f>E110+F110+N110+O110+P110+Q110</f>
        <v>0</v>
      </c>
    </row>
    <row r="111" spans="1:18" ht="19.95" customHeight="1" x14ac:dyDescent="0.25">
      <c r="A111" s="378" t="s">
        <v>173</v>
      </c>
      <c r="B111" s="378">
        <v>137</v>
      </c>
      <c r="C111" s="377" t="s">
        <v>500</v>
      </c>
      <c r="D111" s="380" t="s">
        <v>87</v>
      </c>
      <c r="E111" s="303">
        <v>4850</v>
      </c>
      <c r="F111" s="303">
        <v>97</v>
      </c>
      <c r="G111" s="303"/>
      <c r="H111" s="303"/>
      <c r="I111" s="303"/>
      <c r="J111" s="303"/>
      <c r="K111" s="303"/>
      <c r="L111" s="303"/>
      <c r="M111" s="303"/>
      <c r="N111" s="297">
        <f>SUM(G111:M111)</f>
        <v>0</v>
      </c>
      <c r="O111" s="303"/>
      <c r="P111" s="303"/>
      <c r="Q111" s="303"/>
      <c r="R111" s="297">
        <f>E111+F111+N111+O111+P111+Q111</f>
        <v>4947</v>
      </c>
    </row>
    <row r="112" spans="1:18" ht="19.95" customHeight="1" x14ac:dyDescent="0.25">
      <c r="A112" s="386" t="s">
        <v>464</v>
      </c>
      <c r="B112" s="378">
        <v>365</v>
      </c>
      <c r="C112" s="377" t="s">
        <v>500</v>
      </c>
      <c r="D112" s="380"/>
      <c r="E112" s="313"/>
      <c r="F112" s="313"/>
      <c r="G112" s="313"/>
      <c r="H112" s="313"/>
      <c r="I112" s="313"/>
      <c r="J112" s="313"/>
      <c r="K112" s="313"/>
      <c r="L112" s="313"/>
      <c r="M112" s="313"/>
      <c r="N112" s="297">
        <f>SUM(G112:M112)</f>
        <v>0</v>
      </c>
      <c r="O112" s="313"/>
      <c r="P112" s="303"/>
      <c r="Q112" s="313"/>
      <c r="R112" s="297">
        <f>E112+F112+N112+O112+P112+Q112</f>
        <v>0</v>
      </c>
    </row>
    <row r="113" spans="1:18" ht="19.95" customHeight="1" x14ac:dyDescent="0.25">
      <c r="A113" s="386" t="s">
        <v>175</v>
      </c>
      <c r="B113" s="378">
        <v>366</v>
      </c>
      <c r="C113" s="377" t="s">
        <v>500</v>
      </c>
      <c r="D113" s="380"/>
      <c r="E113" s="313"/>
      <c r="F113" s="313"/>
      <c r="G113" s="313"/>
      <c r="H113" s="313"/>
      <c r="I113" s="313"/>
      <c r="J113" s="313"/>
      <c r="K113" s="313"/>
      <c r="L113" s="313"/>
      <c r="M113" s="313"/>
      <c r="N113" s="297">
        <f>SUM(G113:M113)</f>
        <v>0</v>
      </c>
      <c r="O113" s="313"/>
      <c r="P113" s="303"/>
      <c r="Q113" s="313"/>
      <c r="R113" s="297">
        <f>E113+F113+N113+O113+P113+Q113</f>
        <v>0</v>
      </c>
    </row>
    <row r="114" spans="1:18" ht="19.95" customHeight="1" x14ac:dyDescent="0.25">
      <c r="A114" s="385" t="s">
        <v>366</v>
      </c>
      <c r="B114" s="378">
        <v>1569</v>
      </c>
      <c r="C114" s="377" t="s">
        <v>500</v>
      </c>
      <c r="D114" s="377" t="s">
        <v>91</v>
      </c>
      <c r="E114" s="303">
        <v>5456.25</v>
      </c>
      <c r="F114" s="303"/>
      <c r="G114" s="303"/>
      <c r="H114" s="303"/>
      <c r="I114" s="303">
        <v>447.6</v>
      </c>
      <c r="J114" s="303"/>
      <c r="K114" s="303"/>
      <c r="L114" s="303"/>
      <c r="M114" s="303"/>
      <c r="N114" s="297">
        <f>SUM(G114:M114)</f>
        <v>447.6</v>
      </c>
      <c r="O114" s="303"/>
      <c r="P114" s="303"/>
      <c r="Q114" s="303"/>
      <c r="R114" s="297">
        <f>E114+F114+N114+O114+P114+Q114</f>
        <v>5903.85</v>
      </c>
    </row>
    <row r="115" spans="1:18" ht="19.95" customHeight="1" x14ac:dyDescent="0.25">
      <c r="A115" s="385" t="s">
        <v>178</v>
      </c>
      <c r="B115" s="378">
        <v>427</v>
      </c>
      <c r="C115" s="377" t="s">
        <v>500</v>
      </c>
      <c r="D115" s="377"/>
      <c r="E115" s="303"/>
      <c r="F115" s="303"/>
      <c r="G115" s="303"/>
      <c r="H115" s="303"/>
      <c r="I115" s="303"/>
      <c r="J115" s="303"/>
      <c r="K115" s="303"/>
      <c r="L115" s="303"/>
      <c r="M115" s="303"/>
      <c r="N115" s="297">
        <f>SUM(G115:M115)</f>
        <v>0</v>
      </c>
      <c r="O115" s="303"/>
      <c r="P115" s="303"/>
      <c r="Q115" s="303"/>
      <c r="R115" s="297">
        <f>E115+F115+N115+O115+P115+Q115</f>
        <v>0</v>
      </c>
    </row>
    <row r="116" spans="1:18" ht="19.95" customHeight="1" x14ac:dyDescent="0.25">
      <c r="A116" s="378" t="s">
        <v>179</v>
      </c>
      <c r="B116" s="378">
        <v>607</v>
      </c>
      <c r="C116" s="377" t="s">
        <v>500</v>
      </c>
      <c r="D116" s="377"/>
      <c r="E116" s="303"/>
      <c r="F116" s="303"/>
      <c r="G116" s="303"/>
      <c r="H116" s="303"/>
      <c r="I116" s="303"/>
      <c r="J116" s="303"/>
      <c r="K116" s="303"/>
      <c r="L116" s="303">
        <v>25960.18</v>
      </c>
      <c r="M116" s="303"/>
      <c r="N116" s="297">
        <f>SUM(G116:M116)</f>
        <v>25960.18</v>
      </c>
      <c r="O116" s="303"/>
      <c r="P116" s="303"/>
      <c r="Q116" s="303"/>
      <c r="R116" s="297">
        <f>E116+F116+N116+O116+P116+Q116</f>
        <v>25960.18</v>
      </c>
    </row>
    <row r="117" spans="1:18" ht="19.95" customHeight="1" x14ac:dyDescent="0.25">
      <c r="A117" s="378" t="s">
        <v>180</v>
      </c>
      <c r="B117" s="378">
        <v>433</v>
      </c>
      <c r="C117" s="377" t="s">
        <v>500</v>
      </c>
      <c r="D117" s="377"/>
      <c r="E117" s="303"/>
      <c r="F117" s="303"/>
      <c r="G117" s="303"/>
      <c r="H117" s="303"/>
      <c r="I117" s="303"/>
      <c r="J117" s="303"/>
      <c r="K117" s="303"/>
      <c r="L117" s="303"/>
      <c r="M117" s="303"/>
      <c r="N117" s="297">
        <f>SUM(G117:M117)</f>
        <v>0</v>
      </c>
      <c r="O117" s="303"/>
      <c r="P117" s="303"/>
      <c r="Q117" s="303"/>
      <c r="R117" s="297">
        <f>E117+F117+N117+O117+P117+Q117</f>
        <v>0</v>
      </c>
    </row>
    <row r="118" spans="1:18" ht="19.95" customHeight="1" x14ac:dyDescent="0.25">
      <c r="A118" s="378" t="s">
        <v>181</v>
      </c>
      <c r="B118" s="378">
        <v>110</v>
      </c>
      <c r="C118" s="377" t="s">
        <v>500</v>
      </c>
      <c r="D118" s="377" t="s">
        <v>95</v>
      </c>
      <c r="E118" s="303">
        <v>7184.06</v>
      </c>
      <c r="F118" s="303"/>
      <c r="G118" s="303"/>
      <c r="H118" s="303"/>
      <c r="I118" s="303"/>
      <c r="J118" s="303"/>
      <c r="K118" s="303"/>
      <c r="L118" s="303"/>
      <c r="M118" s="303"/>
      <c r="N118" s="297">
        <f>SUM(G118:M118)</f>
        <v>0</v>
      </c>
      <c r="O118" s="303"/>
      <c r="P118" s="303"/>
      <c r="Q118" s="303"/>
      <c r="R118" s="297">
        <f>E118+F118+N118+O118+P118+Q118</f>
        <v>7184.06</v>
      </c>
    </row>
    <row r="119" spans="1:18" ht="19.95" customHeight="1" x14ac:dyDescent="0.25">
      <c r="A119" s="385" t="s">
        <v>182</v>
      </c>
      <c r="B119" s="378">
        <v>2189</v>
      </c>
      <c r="C119" s="377" t="s">
        <v>500</v>
      </c>
      <c r="D119" s="380" t="s">
        <v>93</v>
      </c>
      <c r="E119" s="303">
        <v>2522</v>
      </c>
      <c r="F119" s="303"/>
      <c r="G119" s="303"/>
      <c r="H119" s="303"/>
      <c r="I119" s="303"/>
      <c r="J119" s="303"/>
      <c r="K119" s="303"/>
      <c r="L119" s="303"/>
      <c r="M119" s="303"/>
      <c r="N119" s="297">
        <f>SUM(G119:M119)</f>
        <v>0</v>
      </c>
      <c r="O119" s="313"/>
      <c r="P119" s="303"/>
      <c r="Q119" s="303"/>
      <c r="R119" s="297">
        <f>E119+F119+N119+O119+P119+Q119</f>
        <v>2522</v>
      </c>
    </row>
    <row r="120" spans="1:18" ht="19.95" customHeight="1" x14ac:dyDescent="0.25">
      <c r="A120" s="378" t="s">
        <v>457</v>
      </c>
      <c r="B120" s="378">
        <v>457</v>
      </c>
      <c r="C120" s="377" t="s">
        <v>500</v>
      </c>
      <c r="D120" s="377"/>
      <c r="E120" s="303"/>
      <c r="F120" s="303"/>
      <c r="G120" s="303"/>
      <c r="H120" s="303"/>
      <c r="I120" s="303">
        <v>9801.67</v>
      </c>
      <c r="J120" s="303"/>
      <c r="K120" s="303"/>
      <c r="L120" s="303"/>
      <c r="M120" s="303"/>
      <c r="N120" s="297">
        <f>SUM(G120:M120)</f>
        <v>9801.67</v>
      </c>
      <c r="O120" s="303"/>
      <c r="P120" s="303"/>
      <c r="Q120" s="303"/>
      <c r="R120" s="297">
        <f>E120+F120+N120+O120+P120+Q120</f>
        <v>9801.67</v>
      </c>
    </row>
    <row r="121" spans="1:18" ht="19.95" customHeight="1" x14ac:dyDescent="0.25">
      <c r="A121" s="378" t="s">
        <v>605</v>
      </c>
      <c r="B121" s="378"/>
      <c r="C121" s="377" t="s">
        <v>500</v>
      </c>
      <c r="D121" s="377"/>
      <c r="E121" s="303"/>
      <c r="F121" s="303"/>
      <c r="G121" s="303"/>
      <c r="H121" s="303"/>
      <c r="I121" s="303">
        <v>4791.41</v>
      </c>
      <c r="J121" s="303"/>
      <c r="K121" s="303"/>
      <c r="L121" s="303"/>
      <c r="M121" s="303"/>
      <c r="N121" s="297">
        <f>SUM(G121:M121)</f>
        <v>4791.41</v>
      </c>
      <c r="O121" s="303"/>
      <c r="P121" s="303"/>
      <c r="Q121" s="303"/>
      <c r="R121" s="297">
        <f>E121+F121+N121+O121+P121+Q121</f>
        <v>4791.41</v>
      </c>
    </row>
    <row r="122" spans="1:18" ht="19.95" customHeight="1" x14ac:dyDescent="0.25">
      <c r="A122" s="378" t="s">
        <v>183</v>
      </c>
      <c r="B122" s="378">
        <v>143</v>
      </c>
      <c r="C122" s="377" t="s">
        <v>500</v>
      </c>
      <c r="D122" s="377" t="s">
        <v>352</v>
      </c>
      <c r="E122" s="303">
        <v>8911.8799999999992</v>
      </c>
      <c r="F122" s="303"/>
      <c r="G122" s="303"/>
      <c r="H122" s="303"/>
      <c r="I122" s="303"/>
      <c r="J122" s="303"/>
      <c r="K122" s="303"/>
      <c r="L122" s="303"/>
      <c r="M122" s="303"/>
      <c r="N122" s="297">
        <f>SUM(G122:M122)</f>
        <v>0</v>
      </c>
      <c r="O122" s="303"/>
      <c r="P122" s="303"/>
      <c r="Q122" s="303"/>
      <c r="R122" s="297">
        <f>E122+F122+N122+O122+P122+Q122</f>
        <v>8911.8799999999992</v>
      </c>
    </row>
    <row r="123" spans="1:18" ht="19.95" customHeight="1" x14ac:dyDescent="0.25">
      <c r="A123" s="378" t="s">
        <v>185</v>
      </c>
      <c r="B123" s="378">
        <v>1025</v>
      </c>
      <c r="C123" s="377" t="s">
        <v>500</v>
      </c>
      <c r="D123" s="377" t="s">
        <v>91</v>
      </c>
      <c r="E123" s="303"/>
      <c r="F123" s="303"/>
      <c r="G123" s="303"/>
      <c r="H123" s="303"/>
      <c r="I123" s="303"/>
      <c r="J123" s="303"/>
      <c r="K123" s="303"/>
      <c r="L123" s="303"/>
      <c r="M123" s="303"/>
      <c r="N123" s="297">
        <f>SUM(G123:M123)</f>
        <v>0</v>
      </c>
      <c r="O123" s="303"/>
      <c r="P123" s="303"/>
      <c r="Q123" s="303"/>
      <c r="R123" s="297">
        <f>E123+F123+N123+O123+P123+Q123</f>
        <v>0</v>
      </c>
    </row>
    <row r="124" spans="1:18" ht="19.95" customHeight="1" x14ac:dyDescent="0.25">
      <c r="A124" s="378" t="s">
        <v>536</v>
      </c>
      <c r="B124" s="378">
        <v>492</v>
      </c>
      <c r="C124" s="377" t="s">
        <v>500</v>
      </c>
      <c r="D124" s="377"/>
      <c r="E124" s="303"/>
      <c r="F124" s="303"/>
      <c r="G124" s="303"/>
      <c r="H124" s="303"/>
      <c r="I124" s="303"/>
      <c r="J124" s="303"/>
      <c r="K124" s="303"/>
      <c r="L124" s="303"/>
      <c r="M124" s="303"/>
      <c r="N124" s="297">
        <f>SUM(G124:M124)</f>
        <v>0</v>
      </c>
      <c r="O124" s="303"/>
      <c r="P124" s="303"/>
      <c r="Q124" s="303"/>
      <c r="R124" s="297">
        <f>E124+F124+N124+O124+P124+Q124</f>
        <v>0</v>
      </c>
    </row>
    <row r="125" spans="1:18" ht="19.95" customHeight="1" x14ac:dyDescent="0.25">
      <c r="A125" s="385" t="s">
        <v>186</v>
      </c>
      <c r="B125" s="378">
        <v>1715</v>
      </c>
      <c r="C125" s="377" t="s">
        <v>500</v>
      </c>
      <c r="D125" s="380" t="s">
        <v>112</v>
      </c>
      <c r="E125" s="303">
        <v>11094.38</v>
      </c>
      <c r="F125" s="303">
        <v>7347.75</v>
      </c>
      <c r="G125" s="303"/>
      <c r="H125" s="303"/>
      <c r="I125" s="303"/>
      <c r="J125" s="303"/>
      <c r="K125" s="303"/>
      <c r="L125" s="303"/>
      <c r="M125" s="303"/>
      <c r="N125" s="297">
        <f>SUM(G125:M125)</f>
        <v>0</v>
      </c>
      <c r="O125" s="303"/>
      <c r="P125" s="303"/>
      <c r="Q125" s="303"/>
      <c r="R125" s="297">
        <f>E125+F125+N125+O125+P125+Q125</f>
        <v>18442.129999999997</v>
      </c>
    </row>
    <row r="126" spans="1:18" ht="19.95" customHeight="1" x14ac:dyDescent="0.25">
      <c r="A126" s="378" t="s">
        <v>187</v>
      </c>
      <c r="B126" s="378">
        <v>67</v>
      </c>
      <c r="C126" s="377" t="s">
        <v>500</v>
      </c>
      <c r="D126" s="380" t="s">
        <v>95</v>
      </c>
      <c r="E126" s="303">
        <v>14123.2</v>
      </c>
      <c r="F126" s="303"/>
      <c r="G126" s="303"/>
      <c r="H126" s="303"/>
      <c r="I126" s="303"/>
      <c r="J126" s="303"/>
      <c r="K126" s="303"/>
      <c r="L126" s="303"/>
      <c r="M126" s="303"/>
      <c r="N126" s="297">
        <f>SUM(G126:M126)</f>
        <v>0</v>
      </c>
      <c r="O126" s="303"/>
      <c r="P126" s="303"/>
      <c r="Q126" s="303"/>
      <c r="R126" s="297">
        <f>E126+F126+N126+O126+P126+Q126</f>
        <v>14123.2</v>
      </c>
    </row>
    <row r="127" spans="1:18" ht="19.95" customHeight="1" x14ac:dyDescent="0.25">
      <c r="A127" s="385" t="s">
        <v>188</v>
      </c>
      <c r="B127" s="378">
        <v>264</v>
      </c>
      <c r="C127" s="377" t="s">
        <v>500</v>
      </c>
      <c r="D127" s="380" t="s">
        <v>105</v>
      </c>
      <c r="E127" s="303">
        <v>3706.75</v>
      </c>
      <c r="F127" s="303"/>
      <c r="G127" s="303"/>
      <c r="H127" s="303"/>
      <c r="I127" s="303"/>
      <c r="J127" s="303"/>
      <c r="K127" s="303"/>
      <c r="L127" s="303"/>
      <c r="M127" s="303"/>
      <c r="N127" s="297">
        <f>SUM(G127:M127)</f>
        <v>0</v>
      </c>
      <c r="O127" s="303"/>
      <c r="P127" s="303"/>
      <c r="Q127" s="303"/>
      <c r="R127" s="297">
        <f>E127+F127+N127+O127+P127+Q127</f>
        <v>3706.75</v>
      </c>
    </row>
    <row r="128" spans="1:18" ht="19.95" customHeight="1" x14ac:dyDescent="0.25">
      <c r="A128" s="378" t="s">
        <v>591</v>
      </c>
      <c r="B128" s="378">
        <v>266</v>
      </c>
      <c r="C128" s="377" t="s">
        <v>500</v>
      </c>
      <c r="D128" s="380" t="s">
        <v>93</v>
      </c>
      <c r="E128" s="303">
        <v>14550</v>
      </c>
      <c r="F128" s="303"/>
      <c r="G128" s="303"/>
      <c r="H128" s="303"/>
      <c r="I128" s="303"/>
      <c r="J128" s="303"/>
      <c r="K128" s="303"/>
      <c r="L128" s="303"/>
      <c r="M128" s="303"/>
      <c r="N128" s="297">
        <f>SUM(G128:M128)</f>
        <v>0</v>
      </c>
      <c r="O128" s="303"/>
      <c r="P128" s="303"/>
      <c r="Q128" s="303"/>
      <c r="R128" s="297">
        <f>E128+F128+N128+O128+P128+Q128</f>
        <v>14550</v>
      </c>
    </row>
    <row r="129" spans="1:18" ht="19.95" customHeight="1" x14ac:dyDescent="0.25">
      <c r="A129" s="378" t="s">
        <v>190</v>
      </c>
      <c r="B129" s="378">
        <v>270</v>
      </c>
      <c r="C129" s="377" t="s">
        <v>500</v>
      </c>
      <c r="D129" s="380"/>
      <c r="E129" s="303"/>
      <c r="F129" s="303"/>
      <c r="G129" s="303"/>
      <c r="H129" s="303"/>
      <c r="I129" s="303"/>
      <c r="J129" s="303"/>
      <c r="K129" s="303"/>
      <c r="L129" s="303"/>
      <c r="M129" s="303"/>
      <c r="N129" s="297">
        <f>SUM(G129:M129)</f>
        <v>0</v>
      </c>
      <c r="O129" s="303"/>
      <c r="P129" s="303"/>
      <c r="Q129" s="303"/>
      <c r="R129" s="297">
        <f>E129+F129+N129+O129+P129+Q129</f>
        <v>0</v>
      </c>
    </row>
    <row r="130" spans="1:18" ht="19.95" customHeight="1" x14ac:dyDescent="0.25">
      <c r="A130" s="385" t="s">
        <v>191</v>
      </c>
      <c r="B130" s="378">
        <v>148</v>
      </c>
      <c r="C130" s="377" t="s">
        <v>500</v>
      </c>
      <c r="D130" s="380"/>
      <c r="E130" s="303"/>
      <c r="F130" s="303"/>
      <c r="G130" s="303"/>
      <c r="H130" s="303"/>
      <c r="I130" s="303"/>
      <c r="J130" s="303"/>
      <c r="K130" s="303"/>
      <c r="L130" s="303"/>
      <c r="M130" s="303">
        <v>339.5</v>
      </c>
      <c r="N130" s="297">
        <f>SUM(G130:M130)</f>
        <v>339.5</v>
      </c>
      <c r="O130" s="303"/>
      <c r="P130" s="303"/>
      <c r="Q130" s="303"/>
      <c r="R130" s="297">
        <f>E130+F130+N130+O130+P130+Q130</f>
        <v>339.5</v>
      </c>
    </row>
    <row r="131" spans="1:18" ht="19.95" customHeight="1" x14ac:dyDescent="0.25">
      <c r="A131" s="378" t="s">
        <v>195</v>
      </c>
      <c r="B131" s="378">
        <v>151</v>
      </c>
      <c r="C131" s="377" t="s">
        <v>500</v>
      </c>
      <c r="D131" s="377" t="s">
        <v>352</v>
      </c>
      <c r="E131" s="303">
        <v>19278.75</v>
      </c>
      <c r="F131" s="303"/>
      <c r="G131" s="303"/>
      <c r="H131" s="303"/>
      <c r="I131" s="303"/>
      <c r="J131" s="303"/>
      <c r="K131" s="303">
        <v>32.200000000000003</v>
      </c>
      <c r="L131" s="303"/>
      <c r="M131" s="303"/>
      <c r="N131" s="297">
        <f>SUM(G131:M131)</f>
        <v>32.200000000000003</v>
      </c>
      <c r="O131" s="303"/>
      <c r="P131" s="303"/>
      <c r="Q131" s="303">
        <v>4166.67</v>
      </c>
      <c r="R131" s="297">
        <f>E131+F131+N131+O131+P131+Q131</f>
        <v>23477.620000000003</v>
      </c>
    </row>
    <row r="132" spans="1:18" ht="19.95" customHeight="1" x14ac:dyDescent="0.25">
      <c r="A132" s="378" t="s">
        <v>196</v>
      </c>
      <c r="B132" s="378">
        <v>157</v>
      </c>
      <c r="C132" s="377" t="s">
        <v>500</v>
      </c>
      <c r="D132" s="380" t="s">
        <v>87</v>
      </c>
      <c r="E132" s="303">
        <v>3770.02</v>
      </c>
      <c r="F132" s="303">
        <v>145.5</v>
      </c>
      <c r="G132" s="303"/>
      <c r="H132" s="303"/>
      <c r="I132" s="303"/>
      <c r="J132" s="303"/>
      <c r="K132" s="303"/>
      <c r="L132" s="303"/>
      <c r="M132" s="303"/>
      <c r="N132" s="297">
        <f>SUM(G132:M132)</f>
        <v>0</v>
      </c>
      <c r="O132" s="303"/>
      <c r="P132" s="303"/>
      <c r="Q132" s="303"/>
      <c r="R132" s="297">
        <f>E132+F132+N132+O132+P132+Q132</f>
        <v>3915.52</v>
      </c>
    </row>
    <row r="133" spans="1:18" ht="19.95" customHeight="1" x14ac:dyDescent="0.25">
      <c r="A133" s="378" t="s">
        <v>197</v>
      </c>
      <c r="B133" s="378">
        <v>152</v>
      </c>
      <c r="C133" s="377" t="s">
        <v>500</v>
      </c>
      <c r="D133" s="377" t="s">
        <v>103</v>
      </c>
      <c r="E133" s="303">
        <v>1455</v>
      </c>
      <c r="F133" s="303"/>
      <c r="G133" s="303"/>
      <c r="H133" s="303"/>
      <c r="I133" s="303"/>
      <c r="J133" s="303"/>
      <c r="K133" s="303"/>
      <c r="L133" s="303"/>
      <c r="M133" s="303"/>
      <c r="N133" s="297">
        <f>SUM(G133:M133)</f>
        <v>0</v>
      </c>
      <c r="O133" s="303"/>
      <c r="P133" s="303"/>
      <c r="Q133" s="303"/>
      <c r="R133" s="297">
        <f>E133+F133+N133+O133+P133+Q133</f>
        <v>1455</v>
      </c>
    </row>
    <row r="134" spans="1:18" ht="19.95" customHeight="1" x14ac:dyDescent="0.25">
      <c r="A134" s="378" t="s">
        <v>537</v>
      </c>
      <c r="B134" s="378">
        <v>158</v>
      </c>
      <c r="C134" s="377" t="s">
        <v>500</v>
      </c>
      <c r="D134" s="377"/>
      <c r="E134" s="303"/>
      <c r="F134" s="303"/>
      <c r="G134" s="303"/>
      <c r="H134" s="303"/>
      <c r="I134" s="303"/>
      <c r="J134" s="303"/>
      <c r="K134" s="303"/>
      <c r="L134" s="303"/>
      <c r="M134" s="303"/>
      <c r="N134" s="297">
        <f>SUM(G134:M134)</f>
        <v>0</v>
      </c>
      <c r="O134" s="303"/>
      <c r="P134" s="303"/>
      <c r="Q134" s="303"/>
      <c r="R134" s="297">
        <f>E134+F134+N134+O134+P134+Q134</f>
        <v>0</v>
      </c>
    </row>
    <row r="135" spans="1:18" ht="19.95" customHeight="1" x14ac:dyDescent="0.25">
      <c r="A135" s="385" t="s">
        <v>200</v>
      </c>
      <c r="B135" s="378">
        <v>161</v>
      </c>
      <c r="C135" s="377" t="s">
        <v>500</v>
      </c>
      <c r="D135" s="377" t="s">
        <v>103</v>
      </c>
      <c r="E135" s="303">
        <v>5044</v>
      </c>
      <c r="F135" s="303"/>
      <c r="G135" s="303"/>
      <c r="H135" s="303"/>
      <c r="I135" s="303"/>
      <c r="J135" s="303"/>
      <c r="K135" s="303"/>
      <c r="L135" s="303"/>
      <c r="M135" s="303"/>
      <c r="N135" s="297">
        <f>SUM(G135:M135)</f>
        <v>0</v>
      </c>
      <c r="O135" s="303"/>
      <c r="P135" s="303"/>
      <c r="Q135" s="303"/>
      <c r="R135" s="297">
        <f>E135+F135+N135+O135+P135+Q135</f>
        <v>5044</v>
      </c>
    </row>
    <row r="136" spans="1:18" ht="19.95" customHeight="1" x14ac:dyDescent="0.25">
      <c r="A136" s="385" t="s">
        <v>201</v>
      </c>
      <c r="B136" s="378">
        <v>162</v>
      </c>
      <c r="C136" s="377" t="s">
        <v>500</v>
      </c>
      <c r="D136" s="380" t="s">
        <v>105</v>
      </c>
      <c r="E136" s="303">
        <v>3265.4</v>
      </c>
      <c r="F136" s="303"/>
      <c r="G136" s="303"/>
      <c r="H136" s="303"/>
      <c r="I136" s="303"/>
      <c r="J136" s="303"/>
      <c r="K136" s="303"/>
      <c r="L136" s="303"/>
      <c r="M136" s="303"/>
      <c r="N136" s="297">
        <f>SUM(G136:M136)</f>
        <v>0</v>
      </c>
      <c r="O136" s="303"/>
      <c r="P136" s="303"/>
      <c r="Q136" s="303"/>
      <c r="R136" s="297">
        <f>E136+F136+N136+O136+P136+Q136</f>
        <v>3265.4</v>
      </c>
    </row>
    <row r="137" spans="1:18" ht="19.95" customHeight="1" x14ac:dyDescent="0.25">
      <c r="A137" s="378" t="s">
        <v>203</v>
      </c>
      <c r="B137" s="378">
        <v>72</v>
      </c>
      <c r="C137" s="377" t="s">
        <v>500</v>
      </c>
      <c r="D137" s="380" t="s">
        <v>95</v>
      </c>
      <c r="E137" s="303">
        <f>2364.38+22193.6</f>
        <v>24557.98</v>
      </c>
      <c r="F137" s="303"/>
      <c r="G137" s="303"/>
      <c r="H137" s="303"/>
      <c r="I137" s="303"/>
      <c r="J137" s="303"/>
      <c r="K137" s="303"/>
      <c r="L137" s="303"/>
      <c r="M137" s="303"/>
      <c r="N137" s="297">
        <f>SUM(G137:M137)</f>
        <v>0</v>
      </c>
      <c r="O137" s="303"/>
      <c r="P137" s="303"/>
      <c r="Q137" s="303"/>
      <c r="R137" s="297">
        <f>E137+F137+N137+O137+P137+Q137</f>
        <v>24557.98</v>
      </c>
    </row>
    <row r="138" spans="1:18" ht="19.95" customHeight="1" x14ac:dyDescent="0.25">
      <c r="A138" s="385" t="s">
        <v>204</v>
      </c>
      <c r="B138" s="378">
        <v>79</v>
      </c>
      <c r="C138" s="377" t="s">
        <v>500</v>
      </c>
      <c r="D138" s="380" t="s">
        <v>95</v>
      </c>
      <c r="E138" s="303">
        <v>3104</v>
      </c>
      <c r="F138" s="303"/>
      <c r="G138" s="303"/>
      <c r="H138" s="303"/>
      <c r="I138" s="303"/>
      <c r="J138" s="303"/>
      <c r="K138" s="303"/>
      <c r="L138" s="303"/>
      <c r="M138" s="303"/>
      <c r="N138" s="297">
        <f>SUM(G138:M138)</f>
        <v>0</v>
      </c>
      <c r="O138" s="303"/>
      <c r="P138" s="303"/>
      <c r="Q138" s="303"/>
      <c r="R138" s="297">
        <f>E138+F138+N138+O138+P138+Q138</f>
        <v>3104</v>
      </c>
    </row>
    <row r="139" spans="1:18" ht="19.95" customHeight="1" x14ac:dyDescent="0.25">
      <c r="A139" s="378" t="s">
        <v>205</v>
      </c>
      <c r="B139" s="378">
        <v>80</v>
      </c>
      <c r="C139" s="377" t="s">
        <v>500</v>
      </c>
      <c r="D139" s="380" t="s">
        <v>95</v>
      </c>
      <c r="E139" s="303">
        <f>14822.81+5044</f>
        <v>19866.809999999998</v>
      </c>
      <c r="F139" s="303"/>
      <c r="G139" s="303"/>
      <c r="H139" s="303"/>
      <c r="I139" s="303"/>
      <c r="J139" s="303"/>
      <c r="K139" s="303"/>
      <c r="L139" s="303"/>
      <c r="M139" s="303"/>
      <c r="N139" s="297">
        <f>SUM(G139:M139)</f>
        <v>0</v>
      </c>
      <c r="O139" s="303"/>
      <c r="P139" s="303"/>
      <c r="Q139" s="303"/>
      <c r="R139" s="297">
        <f>E139+F139+N139+O139+P139+Q139</f>
        <v>19866.809999999998</v>
      </c>
    </row>
    <row r="140" spans="1:18" ht="19.95" customHeight="1" x14ac:dyDescent="0.25">
      <c r="A140" s="378" t="s">
        <v>206</v>
      </c>
      <c r="B140" s="378">
        <v>83</v>
      </c>
      <c r="C140" s="377" t="s">
        <v>500</v>
      </c>
      <c r="D140" s="377"/>
      <c r="E140" s="303"/>
      <c r="F140" s="303"/>
      <c r="G140" s="303"/>
      <c r="H140" s="303"/>
      <c r="I140" s="303"/>
      <c r="J140" s="303"/>
      <c r="K140" s="303"/>
      <c r="L140" s="303"/>
      <c r="M140" s="303"/>
      <c r="N140" s="297">
        <f>SUM(G140:M140)</f>
        <v>0</v>
      </c>
      <c r="O140" s="303"/>
      <c r="P140" s="303"/>
      <c r="Q140" s="303">
        <v>12500</v>
      </c>
      <c r="R140" s="297">
        <f>E140+F140+N140+O140+P140+Q140</f>
        <v>12500</v>
      </c>
    </row>
    <row r="141" spans="1:18" ht="19.95" customHeight="1" x14ac:dyDescent="0.25">
      <c r="A141" s="378" t="s">
        <v>368</v>
      </c>
      <c r="B141" s="378">
        <v>82</v>
      </c>
      <c r="C141" s="377" t="s">
        <v>500</v>
      </c>
      <c r="D141" s="377" t="s">
        <v>95</v>
      </c>
      <c r="E141" s="303">
        <v>4578.3999999999996</v>
      </c>
      <c r="F141" s="303"/>
      <c r="G141" s="303"/>
      <c r="H141" s="303"/>
      <c r="I141" s="303"/>
      <c r="J141" s="303"/>
      <c r="K141" s="303"/>
      <c r="L141" s="303"/>
      <c r="M141" s="303"/>
      <c r="N141" s="297">
        <f>SUM(G141:M141)</f>
        <v>0</v>
      </c>
      <c r="O141" s="303"/>
      <c r="P141" s="303"/>
      <c r="Q141" s="303"/>
      <c r="R141" s="297">
        <f>E141+F141+N141+O141+P141+Q141</f>
        <v>4578.3999999999996</v>
      </c>
    </row>
    <row r="142" spans="1:18" ht="19.95" customHeight="1" x14ac:dyDescent="0.25">
      <c r="A142" s="385" t="s">
        <v>208</v>
      </c>
      <c r="B142" s="378">
        <v>160</v>
      </c>
      <c r="C142" s="377" t="s">
        <v>500</v>
      </c>
      <c r="D142" s="380" t="s">
        <v>112</v>
      </c>
      <c r="E142" s="303"/>
      <c r="F142" s="303"/>
      <c r="G142" s="303"/>
      <c r="H142" s="303"/>
      <c r="I142" s="303"/>
      <c r="J142" s="303"/>
      <c r="K142" s="303"/>
      <c r="L142" s="303"/>
      <c r="M142" s="303"/>
      <c r="N142" s="297">
        <f>SUM(G142:M142)</f>
        <v>0</v>
      </c>
      <c r="O142" s="303"/>
      <c r="P142" s="303"/>
      <c r="Q142" s="303"/>
      <c r="R142" s="297">
        <f>E142+F142+N142+O142+P142+Q142</f>
        <v>0</v>
      </c>
    </row>
    <row r="143" spans="1:18" ht="19.95" customHeight="1" x14ac:dyDescent="0.25">
      <c r="A143" s="385" t="s">
        <v>209</v>
      </c>
      <c r="B143" s="378">
        <v>2518</v>
      </c>
      <c r="C143" s="377" t="s">
        <v>500</v>
      </c>
      <c r="D143" s="380" t="s">
        <v>91</v>
      </c>
      <c r="E143" s="303"/>
      <c r="F143" s="303"/>
      <c r="G143" s="303"/>
      <c r="H143" s="303"/>
      <c r="I143" s="303"/>
      <c r="J143" s="303"/>
      <c r="K143" s="303"/>
      <c r="L143" s="303"/>
      <c r="M143" s="303"/>
      <c r="N143" s="297">
        <f>SUM(G143:M143)</f>
        <v>0</v>
      </c>
      <c r="O143" s="303"/>
      <c r="P143" s="303"/>
      <c r="Q143" s="303"/>
      <c r="R143" s="297">
        <f>E143+F143+N143+O143+P143+Q143</f>
        <v>0</v>
      </c>
    </row>
    <row r="144" spans="1:18" ht="19.95" customHeight="1" x14ac:dyDescent="0.25">
      <c r="A144" s="385" t="s">
        <v>538</v>
      </c>
      <c r="B144" s="378">
        <v>351</v>
      </c>
      <c r="C144" s="377" t="s">
        <v>500</v>
      </c>
      <c r="D144" s="380" t="s">
        <v>110</v>
      </c>
      <c r="E144" s="303">
        <v>2609.3000000000002</v>
      </c>
      <c r="F144" s="303"/>
      <c r="G144" s="303"/>
      <c r="H144" s="303"/>
      <c r="I144" s="303"/>
      <c r="J144" s="303"/>
      <c r="K144" s="303"/>
      <c r="L144" s="303"/>
      <c r="M144" s="303"/>
      <c r="N144" s="297">
        <f>SUM(G144:M144)</f>
        <v>0</v>
      </c>
      <c r="O144" s="303"/>
      <c r="P144" s="303"/>
      <c r="Q144" s="303"/>
      <c r="R144" s="297">
        <f>E144+F144+N144+O144+P144+Q144</f>
        <v>2609.3000000000002</v>
      </c>
    </row>
    <row r="145" spans="1:18" ht="19.95" customHeight="1" x14ac:dyDescent="0.25">
      <c r="A145" s="385" t="s">
        <v>213</v>
      </c>
      <c r="B145" s="378">
        <v>600</v>
      </c>
      <c r="C145" s="377" t="s">
        <v>500</v>
      </c>
      <c r="D145" s="380" t="s">
        <v>93</v>
      </c>
      <c r="E145" s="303"/>
      <c r="F145" s="303"/>
      <c r="G145" s="303"/>
      <c r="H145" s="303"/>
      <c r="I145" s="303">
        <v>214.02</v>
      </c>
      <c r="J145" s="303"/>
      <c r="K145" s="303"/>
      <c r="L145" s="303"/>
      <c r="M145" s="303"/>
      <c r="N145" s="297">
        <f>SUM(G145:M145)</f>
        <v>214.02</v>
      </c>
      <c r="O145" s="303"/>
      <c r="P145" s="303"/>
      <c r="Q145" s="303"/>
      <c r="R145" s="297">
        <f>E145+F145+N145+O145+P145+Q145</f>
        <v>214.02</v>
      </c>
    </row>
    <row r="146" spans="1:18" ht="19.95" customHeight="1" x14ac:dyDescent="0.25">
      <c r="A146" s="378" t="s">
        <v>369</v>
      </c>
      <c r="B146" s="378">
        <v>398</v>
      </c>
      <c r="C146" s="377" t="s">
        <v>500</v>
      </c>
      <c r="D146" s="377"/>
      <c r="E146" s="303"/>
      <c r="F146" s="303"/>
      <c r="G146" s="303"/>
      <c r="H146" s="303"/>
      <c r="I146" s="303"/>
      <c r="J146" s="303"/>
      <c r="K146" s="303"/>
      <c r="L146" s="303"/>
      <c r="M146" s="303"/>
      <c r="N146" s="297">
        <f>SUM(G146:M146)</f>
        <v>0</v>
      </c>
      <c r="O146" s="303"/>
      <c r="P146" s="303"/>
      <c r="Q146" s="303"/>
      <c r="R146" s="297">
        <f>E146+F146+N146+O146+P146+Q146</f>
        <v>0</v>
      </c>
    </row>
    <row r="147" spans="1:18" ht="19.95" customHeight="1" x14ac:dyDescent="0.25">
      <c r="A147" s="378" t="s">
        <v>604</v>
      </c>
      <c r="B147" s="378"/>
      <c r="C147" s="377" t="s">
        <v>500</v>
      </c>
      <c r="D147" s="377"/>
      <c r="E147" s="303"/>
      <c r="F147" s="303"/>
      <c r="G147" s="303"/>
      <c r="H147" s="303"/>
      <c r="I147" s="303">
        <v>1342.58</v>
      </c>
      <c r="J147" s="303"/>
      <c r="K147" s="303"/>
      <c r="L147" s="303"/>
      <c r="M147" s="303"/>
      <c r="N147" s="297">
        <f>SUM(G147:M147)</f>
        <v>1342.58</v>
      </c>
      <c r="O147" s="303"/>
      <c r="P147" s="303"/>
      <c r="Q147" s="303"/>
      <c r="R147" s="297">
        <f>E147+F147+N147+O147+P147+Q147</f>
        <v>1342.58</v>
      </c>
    </row>
    <row r="148" spans="1:18" ht="19.95" customHeight="1" x14ac:dyDescent="0.25">
      <c r="A148" s="385" t="s">
        <v>214</v>
      </c>
      <c r="B148" s="378">
        <v>422</v>
      </c>
      <c r="C148" s="377" t="s">
        <v>500</v>
      </c>
      <c r="D148" s="380" t="s">
        <v>105</v>
      </c>
      <c r="E148" s="303">
        <v>3265.4</v>
      </c>
      <c r="F148" s="303"/>
      <c r="G148" s="303"/>
      <c r="H148" s="303"/>
      <c r="I148" s="303"/>
      <c r="J148" s="303"/>
      <c r="K148" s="303"/>
      <c r="L148" s="303"/>
      <c r="M148" s="303"/>
      <c r="N148" s="297">
        <f>SUM(G148:M148)</f>
        <v>0</v>
      </c>
      <c r="O148" s="303"/>
      <c r="P148" s="303"/>
      <c r="Q148" s="303"/>
      <c r="R148" s="297">
        <f>E148+F148+N148+O148+P148+Q148</f>
        <v>3265.4</v>
      </c>
    </row>
    <row r="149" spans="1:18" ht="19.95" customHeight="1" x14ac:dyDescent="0.25">
      <c r="A149" s="385" t="s">
        <v>216</v>
      </c>
      <c r="B149" s="378">
        <v>453</v>
      </c>
      <c r="C149" s="377" t="s">
        <v>500</v>
      </c>
      <c r="D149" s="380" t="s">
        <v>93</v>
      </c>
      <c r="E149" s="303">
        <v>3395</v>
      </c>
      <c r="F149" s="303"/>
      <c r="G149" s="303"/>
      <c r="H149" s="303"/>
      <c r="I149" s="303">
        <v>2887.2</v>
      </c>
      <c r="J149" s="303"/>
      <c r="K149" s="303"/>
      <c r="L149" s="303">
        <v>3110.52</v>
      </c>
      <c r="M149" s="303"/>
      <c r="N149" s="297">
        <f>SUM(G149:M149)</f>
        <v>5997.7199999999993</v>
      </c>
      <c r="O149" s="303"/>
      <c r="P149" s="303"/>
      <c r="Q149" s="303"/>
      <c r="R149" s="297">
        <f>E149+F149+N149+O149+P149+Q149</f>
        <v>9392.7199999999993</v>
      </c>
    </row>
    <row r="150" spans="1:18" ht="19.95" customHeight="1" x14ac:dyDescent="0.25">
      <c r="A150" s="385" t="s">
        <v>539</v>
      </c>
      <c r="B150" s="378">
        <v>456</v>
      </c>
      <c r="C150" s="377" t="s">
        <v>500</v>
      </c>
      <c r="D150" s="380"/>
      <c r="E150" s="303"/>
      <c r="F150" s="303"/>
      <c r="G150" s="303"/>
      <c r="H150" s="303"/>
      <c r="I150" s="303"/>
      <c r="J150" s="303"/>
      <c r="K150" s="303"/>
      <c r="L150" s="303"/>
      <c r="M150" s="303"/>
      <c r="N150" s="297">
        <f>SUM(G150:M150)</f>
        <v>0</v>
      </c>
      <c r="O150" s="303"/>
      <c r="P150" s="303"/>
      <c r="Q150" s="303"/>
      <c r="R150" s="297">
        <f>E150+F150+N150+O150+P150+Q150</f>
        <v>0</v>
      </c>
    </row>
    <row r="151" spans="1:18" ht="19.95" customHeight="1" x14ac:dyDescent="0.25">
      <c r="A151" s="378" t="s">
        <v>217</v>
      </c>
      <c r="B151" s="378">
        <v>171</v>
      </c>
      <c r="C151" s="377" t="s">
        <v>500</v>
      </c>
      <c r="D151" s="380" t="s">
        <v>105</v>
      </c>
      <c r="E151" s="303">
        <v>1765.4</v>
      </c>
      <c r="F151" s="303"/>
      <c r="G151" s="303"/>
      <c r="H151" s="303"/>
      <c r="I151" s="303">
        <v>1254.1600000000001</v>
      </c>
      <c r="J151" s="303"/>
      <c r="K151" s="303"/>
      <c r="L151" s="303"/>
      <c r="M151" s="303"/>
      <c r="N151" s="297">
        <f>SUM(G151:M151)</f>
        <v>1254.1600000000001</v>
      </c>
      <c r="O151" s="303"/>
      <c r="P151" s="303"/>
      <c r="Q151" s="303"/>
      <c r="R151" s="297">
        <f>E151+F151+N151+O151+P151+Q151</f>
        <v>3019.5600000000004</v>
      </c>
    </row>
    <row r="152" spans="1:18" ht="19.95" customHeight="1" x14ac:dyDescent="0.25">
      <c r="A152" s="378" t="s">
        <v>219</v>
      </c>
      <c r="B152" s="378">
        <v>2695</v>
      </c>
      <c r="C152" s="377" t="s">
        <v>500</v>
      </c>
      <c r="D152" s="380"/>
      <c r="E152" s="303"/>
      <c r="F152" s="303"/>
      <c r="G152" s="303"/>
      <c r="H152" s="303"/>
      <c r="I152" s="303"/>
      <c r="J152" s="303"/>
      <c r="K152" s="303"/>
      <c r="L152" s="303">
        <v>990</v>
      </c>
      <c r="M152" s="303"/>
      <c r="N152" s="297">
        <f>SUM(G152:M152)</f>
        <v>990</v>
      </c>
      <c r="O152" s="303"/>
      <c r="P152" s="303"/>
      <c r="Q152" s="303"/>
      <c r="R152" s="297">
        <f>E152+F152+N152+O152+P152+Q152</f>
        <v>990</v>
      </c>
    </row>
    <row r="153" spans="1:18" ht="19.95" customHeight="1" x14ac:dyDescent="0.25">
      <c r="A153" s="378" t="s">
        <v>220</v>
      </c>
      <c r="B153" s="378">
        <v>720</v>
      </c>
      <c r="C153" s="377" t="s">
        <v>500</v>
      </c>
      <c r="D153" s="377" t="s">
        <v>93</v>
      </c>
      <c r="E153" s="303"/>
      <c r="F153" s="303"/>
      <c r="G153" s="303"/>
      <c r="H153" s="303"/>
      <c r="I153" s="303"/>
      <c r="J153" s="303"/>
      <c r="K153" s="303"/>
      <c r="L153" s="303"/>
      <c r="M153" s="303"/>
      <c r="N153" s="297">
        <f>SUM(G153:M153)</f>
        <v>0</v>
      </c>
      <c r="O153" s="303"/>
      <c r="P153" s="303"/>
      <c r="Q153" s="303"/>
      <c r="R153" s="297">
        <f>E153+F153+N153+O153+P153+Q153</f>
        <v>0</v>
      </c>
    </row>
    <row r="154" spans="1:18" ht="19.95" customHeight="1" x14ac:dyDescent="0.25">
      <c r="A154" s="378" t="s">
        <v>540</v>
      </c>
      <c r="B154" s="378">
        <v>593</v>
      </c>
      <c r="C154" s="377" t="s">
        <v>500</v>
      </c>
      <c r="D154" s="377"/>
      <c r="E154" s="303"/>
      <c r="F154" s="303"/>
      <c r="G154" s="303"/>
      <c r="H154" s="303"/>
      <c r="I154" s="303"/>
      <c r="J154" s="303"/>
      <c r="K154" s="303"/>
      <c r="L154" s="303"/>
      <c r="M154" s="303"/>
      <c r="N154" s="297">
        <f>SUM(G154:M154)</f>
        <v>0</v>
      </c>
      <c r="O154" s="303"/>
      <c r="P154" s="303"/>
      <c r="Q154" s="303"/>
      <c r="R154" s="297">
        <f>E154+F154+N154+O154+P154+Q154</f>
        <v>0</v>
      </c>
    </row>
    <row r="155" spans="1:18" ht="19.95" customHeight="1" x14ac:dyDescent="0.25">
      <c r="A155" s="378" t="s">
        <v>221</v>
      </c>
      <c r="B155" s="378">
        <v>208</v>
      </c>
      <c r="C155" s="377" t="s">
        <v>500</v>
      </c>
      <c r="D155" s="380" t="s">
        <v>95</v>
      </c>
      <c r="E155" s="303">
        <v>4345.6000000000004</v>
      </c>
      <c r="F155" s="303"/>
      <c r="G155" s="303"/>
      <c r="H155" s="303"/>
      <c r="I155" s="303"/>
      <c r="J155" s="303"/>
      <c r="K155" s="303"/>
      <c r="L155" s="303"/>
      <c r="M155" s="303"/>
      <c r="N155" s="297">
        <f>SUM(G155:M155)</f>
        <v>0</v>
      </c>
      <c r="O155" s="303"/>
      <c r="P155" s="303"/>
      <c r="Q155" s="303"/>
      <c r="R155" s="297">
        <f>E155+F155+N155+O155+P155+Q155</f>
        <v>4345.6000000000004</v>
      </c>
    </row>
    <row r="156" spans="1:18" ht="19.95" customHeight="1" x14ac:dyDescent="0.25">
      <c r="A156" s="378" t="s">
        <v>370</v>
      </c>
      <c r="B156" s="378">
        <v>223</v>
      </c>
      <c r="C156" s="377" t="s">
        <v>500</v>
      </c>
      <c r="D156" s="377"/>
      <c r="E156" s="303"/>
      <c r="F156" s="303"/>
      <c r="G156" s="303"/>
      <c r="H156" s="303"/>
      <c r="I156" s="303">
        <v>9466.74</v>
      </c>
      <c r="J156" s="303"/>
      <c r="K156" s="303"/>
      <c r="L156" s="303"/>
      <c r="M156" s="303"/>
      <c r="N156" s="297">
        <f>SUM(G156:M156)</f>
        <v>9466.74</v>
      </c>
      <c r="O156" s="303"/>
      <c r="P156" s="303"/>
      <c r="Q156" s="303"/>
      <c r="R156" s="297">
        <f>E156+F156+N156+O156+P156+Q156</f>
        <v>9466.74</v>
      </c>
    </row>
    <row r="157" spans="1:18" ht="19.95" customHeight="1" x14ac:dyDescent="0.25">
      <c r="A157" s="378" t="s">
        <v>222</v>
      </c>
      <c r="B157" s="378">
        <v>86</v>
      </c>
      <c r="C157" s="377" t="s">
        <v>500</v>
      </c>
      <c r="D157" s="377"/>
      <c r="E157" s="303"/>
      <c r="F157" s="303"/>
      <c r="G157" s="303"/>
      <c r="H157" s="303"/>
      <c r="I157" s="303"/>
      <c r="J157" s="303"/>
      <c r="K157" s="303"/>
      <c r="L157" s="303"/>
      <c r="M157" s="303">
        <v>3496.85</v>
      </c>
      <c r="N157" s="297">
        <f>SUM(G157:M157)</f>
        <v>3496.85</v>
      </c>
      <c r="O157" s="303"/>
      <c r="P157" s="303"/>
      <c r="Q157" s="303"/>
      <c r="R157" s="297">
        <f>E157+F157+N157+O157+P157+Q157</f>
        <v>3496.85</v>
      </c>
    </row>
    <row r="158" spans="1:18" ht="19.95" customHeight="1" x14ac:dyDescent="0.25">
      <c r="A158" s="378" t="s">
        <v>223</v>
      </c>
      <c r="B158" s="378">
        <v>2481</v>
      </c>
      <c r="C158" s="377" t="s">
        <v>500</v>
      </c>
      <c r="D158" s="380" t="s">
        <v>87</v>
      </c>
      <c r="E158" s="303"/>
      <c r="F158" s="303"/>
      <c r="G158" s="303"/>
      <c r="H158" s="303"/>
      <c r="I158" s="303">
        <v>187.45</v>
      </c>
      <c r="J158" s="303"/>
      <c r="K158" s="303"/>
      <c r="L158" s="303"/>
      <c r="M158" s="303"/>
      <c r="N158" s="297">
        <f>SUM(G158:M158)</f>
        <v>187.45</v>
      </c>
      <c r="O158" s="303"/>
      <c r="P158" s="303"/>
      <c r="Q158" s="303"/>
      <c r="R158" s="297">
        <f>E158+F158+N158+O158+P158+Q158</f>
        <v>187.45</v>
      </c>
    </row>
    <row r="159" spans="1:18" ht="19.95" customHeight="1" x14ac:dyDescent="0.25">
      <c r="A159" s="385" t="s">
        <v>224</v>
      </c>
      <c r="B159" s="378">
        <v>960</v>
      </c>
      <c r="C159" s="377" t="s">
        <v>500</v>
      </c>
      <c r="D159" s="387"/>
      <c r="E159" s="303"/>
      <c r="F159" s="303"/>
      <c r="G159" s="303"/>
      <c r="H159" s="303"/>
      <c r="I159" s="303"/>
      <c r="J159" s="303"/>
      <c r="K159" s="303"/>
      <c r="L159" s="303"/>
      <c r="M159" s="303"/>
      <c r="N159" s="297">
        <f>SUM(G159:M159)</f>
        <v>0</v>
      </c>
      <c r="O159" s="303"/>
      <c r="P159" s="303"/>
      <c r="Q159" s="303"/>
      <c r="R159" s="297">
        <f>E159+F159+N159+O159+P159+Q159</f>
        <v>0</v>
      </c>
    </row>
    <row r="160" spans="1:18" ht="19.95" customHeight="1" x14ac:dyDescent="0.25">
      <c r="A160" s="378" t="s">
        <v>371</v>
      </c>
      <c r="B160" s="378">
        <v>221</v>
      </c>
      <c r="C160" s="377" t="s">
        <v>500</v>
      </c>
      <c r="D160" s="377"/>
      <c r="E160" s="303"/>
      <c r="F160" s="303"/>
      <c r="G160" s="303"/>
      <c r="H160" s="303"/>
      <c r="I160" s="303">
        <v>2660.24</v>
      </c>
      <c r="J160" s="303"/>
      <c r="K160" s="303"/>
      <c r="L160" s="303"/>
      <c r="M160" s="303"/>
      <c r="N160" s="297">
        <f>SUM(G160:M160)</f>
        <v>2660.24</v>
      </c>
      <c r="O160" s="303"/>
      <c r="P160" s="303"/>
      <c r="Q160" s="303"/>
      <c r="R160" s="297">
        <f>E160+F160+N160+O160+P160+Q160</f>
        <v>2660.24</v>
      </c>
    </row>
    <row r="161" spans="1:18" ht="19.95" customHeight="1" x14ac:dyDescent="0.25">
      <c r="A161" s="378" t="s">
        <v>225</v>
      </c>
      <c r="B161" s="378">
        <v>640</v>
      </c>
      <c r="C161" s="377" t="s">
        <v>500</v>
      </c>
      <c r="D161" s="377" t="s">
        <v>103</v>
      </c>
      <c r="E161" s="303">
        <v>8322.59</v>
      </c>
      <c r="F161" s="303"/>
      <c r="G161" s="303"/>
      <c r="H161" s="303"/>
      <c r="I161" s="303"/>
      <c r="J161" s="303"/>
      <c r="K161" s="303"/>
      <c r="L161" s="303"/>
      <c r="M161" s="303"/>
      <c r="N161" s="297">
        <f>SUM(G161:M161)</f>
        <v>0</v>
      </c>
      <c r="O161" s="303"/>
      <c r="P161" s="303"/>
      <c r="Q161" s="303"/>
      <c r="R161" s="297">
        <f>E161+F161+N161+O161+P161+Q161</f>
        <v>8322.59</v>
      </c>
    </row>
    <row r="162" spans="1:18" ht="19.95" customHeight="1" x14ac:dyDescent="0.25">
      <c r="A162" s="386" t="s">
        <v>226</v>
      </c>
      <c r="B162" s="378">
        <v>88</v>
      </c>
      <c r="C162" s="377" t="s">
        <v>500</v>
      </c>
      <c r="D162" s="380"/>
      <c r="E162" s="303"/>
      <c r="F162" s="303"/>
      <c r="G162" s="303"/>
      <c r="H162" s="303"/>
      <c r="I162" s="303"/>
      <c r="J162" s="303"/>
      <c r="K162" s="303"/>
      <c r="L162" s="303"/>
      <c r="M162" s="303"/>
      <c r="N162" s="297">
        <f>SUM(G162:M162)</f>
        <v>0</v>
      </c>
      <c r="O162" s="303"/>
      <c r="P162" s="303"/>
      <c r="Q162" s="303">
        <v>4032.5</v>
      </c>
      <c r="R162" s="297">
        <f>E162+F162+N162+O162+P162+Q162</f>
        <v>4032.5</v>
      </c>
    </row>
    <row r="163" spans="1:18" ht="19.95" customHeight="1" x14ac:dyDescent="0.25">
      <c r="A163" s="385" t="s">
        <v>227</v>
      </c>
      <c r="B163" s="378">
        <v>168</v>
      </c>
      <c r="C163" s="377" t="s">
        <v>500</v>
      </c>
      <c r="D163" s="377" t="s">
        <v>352</v>
      </c>
      <c r="E163" s="303">
        <v>27826.880000000001</v>
      </c>
      <c r="F163" s="303"/>
      <c r="G163" s="303"/>
      <c r="H163" s="303"/>
      <c r="I163" s="303"/>
      <c r="J163" s="303"/>
      <c r="K163" s="303"/>
      <c r="L163" s="303"/>
      <c r="M163" s="303"/>
      <c r="N163" s="297">
        <f>SUM(G163:M163)</f>
        <v>0</v>
      </c>
      <c r="O163" s="313"/>
      <c r="P163" s="303"/>
      <c r="Q163" s="303"/>
      <c r="R163" s="297">
        <f>E163+F163+N163+O163+P163+Q163</f>
        <v>27826.880000000001</v>
      </c>
    </row>
    <row r="164" spans="1:18" ht="19.95" customHeight="1" x14ac:dyDescent="0.25">
      <c r="A164" s="385" t="s">
        <v>228</v>
      </c>
      <c r="B164" s="378">
        <v>495</v>
      </c>
      <c r="C164" s="377" t="s">
        <v>500</v>
      </c>
      <c r="D164" s="377"/>
      <c r="E164" s="303"/>
      <c r="F164" s="303"/>
      <c r="G164" s="303"/>
      <c r="H164" s="303"/>
      <c r="I164" s="303"/>
      <c r="J164" s="303"/>
      <c r="K164" s="303"/>
      <c r="L164" s="303"/>
      <c r="M164" s="303"/>
      <c r="N164" s="297">
        <f>SUM(G164:M164)</f>
        <v>0</v>
      </c>
      <c r="O164" s="313"/>
      <c r="P164" s="303"/>
      <c r="Q164" s="303"/>
      <c r="R164" s="297">
        <f>E164+F164+N164+O164+P164+Q164</f>
        <v>0</v>
      </c>
    </row>
    <row r="165" spans="1:18" ht="19.95" customHeight="1" x14ac:dyDescent="0.25">
      <c r="A165" s="378" t="s">
        <v>229</v>
      </c>
      <c r="B165" s="378">
        <v>167</v>
      </c>
      <c r="C165" s="377" t="s">
        <v>500</v>
      </c>
      <c r="D165" s="380" t="s">
        <v>112</v>
      </c>
      <c r="E165" s="303">
        <v>9724.25</v>
      </c>
      <c r="F165" s="303">
        <v>1091.25</v>
      </c>
      <c r="G165" s="303"/>
      <c r="H165" s="303"/>
      <c r="I165" s="303"/>
      <c r="J165" s="303"/>
      <c r="K165" s="303"/>
      <c r="L165" s="303"/>
      <c r="M165" s="303"/>
      <c r="N165" s="297">
        <f>SUM(G165:M165)</f>
        <v>0</v>
      </c>
      <c r="O165" s="303"/>
      <c r="P165" s="303"/>
      <c r="Q165" s="303"/>
      <c r="R165" s="297">
        <f>E165+F165+N165+O165+P165+Q165</f>
        <v>10815.5</v>
      </c>
    </row>
    <row r="166" spans="1:18" ht="19.95" customHeight="1" x14ac:dyDescent="0.25">
      <c r="A166" s="378" t="s">
        <v>603</v>
      </c>
      <c r="B166" s="378"/>
      <c r="C166" s="377" t="s">
        <v>500</v>
      </c>
      <c r="D166" s="380"/>
      <c r="E166" s="303"/>
      <c r="F166" s="303"/>
      <c r="G166" s="303"/>
      <c r="H166" s="303"/>
      <c r="I166" s="303"/>
      <c r="J166" s="303"/>
      <c r="K166" s="303"/>
      <c r="L166" s="303">
        <v>1555.26</v>
      </c>
      <c r="M166" s="303"/>
      <c r="N166" s="297">
        <f>SUM(G166:M166)</f>
        <v>1555.26</v>
      </c>
      <c r="O166" s="303"/>
      <c r="P166" s="303"/>
      <c r="Q166" s="303"/>
      <c r="R166" s="297">
        <f>E166+F166+N166+O166+P166+Q166</f>
        <v>1555.26</v>
      </c>
    </row>
    <row r="167" spans="1:18" ht="19.95" customHeight="1" x14ac:dyDescent="0.25">
      <c r="A167" s="385" t="s">
        <v>231</v>
      </c>
      <c r="B167" s="378">
        <v>509</v>
      </c>
      <c r="C167" s="377" t="s">
        <v>500</v>
      </c>
      <c r="D167" s="380" t="s">
        <v>91</v>
      </c>
      <c r="E167" s="303">
        <v>9093.75</v>
      </c>
      <c r="F167" s="303"/>
      <c r="G167" s="303"/>
      <c r="H167" s="303"/>
      <c r="I167" s="303"/>
      <c r="J167" s="303"/>
      <c r="K167" s="303"/>
      <c r="L167" s="303"/>
      <c r="M167" s="303"/>
      <c r="N167" s="297">
        <f>SUM(G167:M167)</f>
        <v>0</v>
      </c>
      <c r="O167" s="303"/>
      <c r="P167" s="303"/>
      <c r="Q167" s="303"/>
      <c r="R167" s="297">
        <f>E167+F167+N167+O167+P167+Q167</f>
        <v>9093.75</v>
      </c>
    </row>
    <row r="168" spans="1:18" ht="19.95" customHeight="1" x14ac:dyDescent="0.25">
      <c r="A168" s="385" t="s">
        <v>232</v>
      </c>
      <c r="B168" s="378">
        <v>173</v>
      </c>
      <c r="C168" s="377" t="s">
        <v>500</v>
      </c>
      <c r="D168" s="380" t="s">
        <v>112</v>
      </c>
      <c r="E168" s="313">
        <v>3213.12</v>
      </c>
      <c r="F168" s="303">
        <v>1830.88</v>
      </c>
      <c r="G168" s="303"/>
      <c r="H168" s="303"/>
      <c r="I168" s="303"/>
      <c r="J168" s="303"/>
      <c r="K168" s="303"/>
      <c r="L168" s="303"/>
      <c r="M168" s="303"/>
      <c r="N168" s="297">
        <f>SUM(G168:M168)</f>
        <v>0</v>
      </c>
      <c r="O168" s="313"/>
      <c r="P168" s="303"/>
      <c r="Q168" s="303">
        <v>15000</v>
      </c>
      <c r="R168" s="297">
        <f>E168+F168+N168+O168+P168+Q168</f>
        <v>20044</v>
      </c>
    </row>
    <row r="169" spans="1:18" ht="19.95" customHeight="1" x14ac:dyDescent="0.25">
      <c r="A169" s="378" t="s">
        <v>233</v>
      </c>
      <c r="B169" s="378">
        <v>175</v>
      </c>
      <c r="C169" s="377" t="s">
        <v>500</v>
      </c>
      <c r="D169" s="380" t="s">
        <v>112</v>
      </c>
      <c r="E169" s="303">
        <v>8669.3799999999992</v>
      </c>
      <c r="F169" s="303"/>
      <c r="G169" s="303"/>
      <c r="H169" s="303"/>
      <c r="I169" s="303"/>
      <c r="J169" s="303"/>
      <c r="K169" s="303"/>
      <c r="L169" s="303"/>
      <c r="M169" s="303"/>
      <c r="N169" s="297">
        <f>SUM(G169:M169)</f>
        <v>0</v>
      </c>
      <c r="O169" s="303"/>
      <c r="P169" s="303"/>
      <c r="Q169" s="303"/>
      <c r="R169" s="297">
        <f>E169+F169+N169+O169+P169+Q169</f>
        <v>8669.3799999999992</v>
      </c>
    </row>
    <row r="170" spans="1:18" ht="19.95" customHeight="1" x14ac:dyDescent="0.25">
      <c r="A170" s="385" t="s">
        <v>234</v>
      </c>
      <c r="B170" s="378">
        <v>1546</v>
      </c>
      <c r="C170" s="377" t="s">
        <v>500</v>
      </c>
      <c r="D170" s="380" t="s">
        <v>103</v>
      </c>
      <c r="E170" s="303"/>
      <c r="F170" s="303"/>
      <c r="G170" s="303"/>
      <c r="H170" s="303"/>
      <c r="I170" s="303"/>
      <c r="J170" s="303"/>
      <c r="K170" s="303"/>
      <c r="L170" s="303"/>
      <c r="M170" s="303"/>
      <c r="N170" s="297">
        <f>SUM(G170:M170)</f>
        <v>0</v>
      </c>
      <c r="O170" s="313"/>
      <c r="P170" s="303"/>
      <c r="Q170" s="303"/>
      <c r="R170" s="297">
        <f>E170+F170+N170+O170+P170+Q170</f>
        <v>0</v>
      </c>
    </row>
    <row r="171" spans="1:18" ht="19.95" customHeight="1" x14ac:dyDescent="0.25">
      <c r="A171" s="378" t="s">
        <v>235</v>
      </c>
      <c r="B171" s="378">
        <v>111</v>
      </c>
      <c r="C171" s="377" t="s">
        <v>500</v>
      </c>
      <c r="D171" s="380" t="s">
        <v>95</v>
      </c>
      <c r="E171" s="303">
        <v>20331.2</v>
      </c>
      <c r="F171" s="303"/>
      <c r="G171" s="303"/>
      <c r="H171" s="303"/>
      <c r="I171" s="303"/>
      <c r="J171" s="303"/>
      <c r="K171" s="303"/>
      <c r="L171" s="303"/>
      <c r="M171" s="303"/>
      <c r="N171" s="297">
        <f>SUM(G171:M171)</f>
        <v>0</v>
      </c>
      <c r="O171" s="303"/>
      <c r="P171" s="303"/>
      <c r="Q171" s="303"/>
      <c r="R171" s="297">
        <f>E171+F171+N171+O171+P171+Q171</f>
        <v>20331.2</v>
      </c>
    </row>
    <row r="172" spans="1:18" ht="19.95" customHeight="1" x14ac:dyDescent="0.25">
      <c r="A172" s="378" t="s">
        <v>237</v>
      </c>
      <c r="B172" s="378">
        <v>112</v>
      </c>
      <c r="C172" s="377" t="s">
        <v>500</v>
      </c>
      <c r="D172" s="377" t="s">
        <v>95</v>
      </c>
      <c r="E172" s="303">
        <v>8458.4</v>
      </c>
      <c r="F172" s="303"/>
      <c r="G172" s="303"/>
      <c r="H172" s="303"/>
      <c r="I172" s="303"/>
      <c r="J172" s="303"/>
      <c r="K172" s="303"/>
      <c r="L172" s="303"/>
      <c r="M172" s="303"/>
      <c r="N172" s="297">
        <f>SUM(G172:M172)</f>
        <v>0</v>
      </c>
      <c r="O172" s="303"/>
      <c r="P172" s="303"/>
      <c r="Q172" s="303"/>
      <c r="R172" s="297">
        <f>E172+F172+N172+O172+P172+Q172</f>
        <v>8458.4</v>
      </c>
    </row>
    <row r="173" spans="1:18" ht="19.95" customHeight="1" x14ac:dyDescent="0.25">
      <c r="A173" s="378" t="s">
        <v>236</v>
      </c>
      <c r="B173" s="378">
        <v>2351</v>
      </c>
      <c r="C173" s="377" t="s">
        <v>500</v>
      </c>
      <c r="D173" s="377"/>
      <c r="E173" s="303"/>
      <c r="F173" s="303"/>
      <c r="G173" s="303"/>
      <c r="H173" s="303"/>
      <c r="I173" s="303"/>
      <c r="J173" s="303"/>
      <c r="K173" s="303"/>
      <c r="L173" s="303">
        <v>18165.78</v>
      </c>
      <c r="M173" s="303"/>
      <c r="N173" s="297">
        <f>SUM(G173:M173)</f>
        <v>18165.78</v>
      </c>
      <c r="O173" s="303"/>
      <c r="P173" s="303"/>
      <c r="Q173" s="303"/>
      <c r="R173" s="297">
        <f>E173+F173+N173+O173+P173+Q173</f>
        <v>18165.78</v>
      </c>
    </row>
    <row r="174" spans="1:18" ht="19.95" customHeight="1" x14ac:dyDescent="0.25">
      <c r="A174" s="378" t="s">
        <v>238</v>
      </c>
      <c r="B174" s="378">
        <v>113</v>
      </c>
      <c r="C174" s="377" t="s">
        <v>500</v>
      </c>
      <c r="D174" s="380" t="s">
        <v>95</v>
      </c>
      <c r="E174" s="303">
        <v>33600.800000000003</v>
      </c>
      <c r="F174" s="303"/>
      <c r="G174" s="303"/>
      <c r="H174" s="303"/>
      <c r="I174" s="303"/>
      <c r="J174" s="303"/>
      <c r="K174" s="303"/>
      <c r="L174" s="303"/>
      <c r="M174" s="303"/>
      <c r="N174" s="297">
        <f>SUM(G174:M174)</f>
        <v>0</v>
      </c>
      <c r="O174" s="303"/>
      <c r="P174" s="303"/>
      <c r="Q174" s="303"/>
      <c r="R174" s="297">
        <f>E174+F174+N174+O174+P174+Q174</f>
        <v>33600.800000000003</v>
      </c>
    </row>
    <row r="175" spans="1:18" ht="19.95" customHeight="1" x14ac:dyDescent="0.25">
      <c r="A175" s="385" t="s">
        <v>239</v>
      </c>
      <c r="B175" s="378">
        <v>176</v>
      </c>
      <c r="C175" s="377" t="s">
        <v>500</v>
      </c>
      <c r="D175" s="380" t="s">
        <v>87</v>
      </c>
      <c r="E175" s="303">
        <v>1642.53</v>
      </c>
      <c r="F175" s="303">
        <v>48.5</v>
      </c>
      <c r="G175" s="303"/>
      <c r="H175" s="303"/>
      <c r="I175" s="303"/>
      <c r="J175" s="303"/>
      <c r="K175" s="303"/>
      <c r="L175" s="303"/>
      <c r="M175" s="303"/>
      <c r="N175" s="297">
        <f>SUM(G175:M175)</f>
        <v>0</v>
      </c>
      <c r="O175" s="303"/>
      <c r="P175" s="303"/>
      <c r="Q175" s="303"/>
      <c r="R175" s="297">
        <f>E175+F175+N175+O175+P175+Q175</f>
        <v>1691.03</v>
      </c>
    </row>
    <row r="176" spans="1:18" ht="19.95" customHeight="1" x14ac:dyDescent="0.25">
      <c r="A176" s="378" t="s">
        <v>372</v>
      </c>
      <c r="B176" s="378">
        <v>524</v>
      </c>
      <c r="C176" s="377" t="s">
        <v>500</v>
      </c>
      <c r="D176" s="377"/>
      <c r="E176" s="303"/>
      <c r="F176" s="303"/>
      <c r="G176" s="303"/>
      <c r="H176" s="303"/>
      <c r="I176" s="303"/>
      <c r="J176" s="303"/>
      <c r="K176" s="303"/>
      <c r="L176" s="303"/>
      <c r="M176" s="303"/>
      <c r="N176" s="297">
        <f>SUM(G176:M176)</f>
        <v>0</v>
      </c>
      <c r="O176" s="303"/>
      <c r="P176" s="303"/>
      <c r="Q176" s="303"/>
      <c r="R176" s="297">
        <f>E176+F176+N176+O176+P176+Q176</f>
        <v>0</v>
      </c>
    </row>
    <row r="177" spans="1:18" ht="19.95" customHeight="1" x14ac:dyDescent="0.25">
      <c r="A177" s="378" t="s">
        <v>240</v>
      </c>
      <c r="B177" s="378">
        <v>1725</v>
      </c>
      <c r="C177" s="377" t="s">
        <v>500</v>
      </c>
      <c r="D177" s="377"/>
      <c r="E177" s="303"/>
      <c r="F177" s="303"/>
      <c r="G177" s="303"/>
      <c r="H177" s="303"/>
      <c r="I177" s="303"/>
      <c r="J177" s="303"/>
      <c r="K177" s="303"/>
      <c r="L177" s="303"/>
      <c r="M177" s="303"/>
      <c r="N177" s="297">
        <f>SUM(G177:M177)</f>
        <v>0</v>
      </c>
      <c r="O177" s="303"/>
      <c r="P177" s="303"/>
      <c r="Q177" s="303"/>
      <c r="R177" s="297">
        <f>E177+F177+N177+O177+P177+Q177</f>
        <v>0</v>
      </c>
    </row>
    <row r="178" spans="1:18" ht="19.95" customHeight="1" x14ac:dyDescent="0.25">
      <c r="A178" s="378" t="s">
        <v>241</v>
      </c>
      <c r="B178" s="378">
        <v>116</v>
      </c>
      <c r="C178" s="377" t="s">
        <v>500</v>
      </c>
      <c r="D178" s="380" t="s">
        <v>95</v>
      </c>
      <c r="E178" s="303">
        <v>11821.88</v>
      </c>
      <c r="F178" s="303"/>
      <c r="G178" s="303"/>
      <c r="H178" s="303"/>
      <c r="I178" s="303">
        <v>565.13</v>
      </c>
      <c r="J178" s="303"/>
      <c r="K178" s="303"/>
      <c r="L178" s="303"/>
      <c r="M178" s="303"/>
      <c r="N178" s="297">
        <f>SUM(G178:M178)</f>
        <v>565.13</v>
      </c>
      <c r="O178" s="303"/>
      <c r="P178" s="303"/>
      <c r="Q178" s="303">
        <v>12500</v>
      </c>
      <c r="R178" s="297">
        <f>E178+F178+N178+O178+P178+Q178</f>
        <v>24887.01</v>
      </c>
    </row>
    <row r="179" spans="1:18" ht="19.95" customHeight="1" x14ac:dyDescent="0.25">
      <c r="A179" s="378" t="s">
        <v>541</v>
      </c>
      <c r="B179" s="378">
        <v>2255</v>
      </c>
      <c r="C179" s="377" t="s">
        <v>500</v>
      </c>
      <c r="D179" s="380"/>
      <c r="E179" s="303"/>
      <c r="F179" s="303"/>
      <c r="G179" s="303"/>
      <c r="H179" s="303"/>
      <c r="I179" s="303"/>
      <c r="J179" s="303"/>
      <c r="K179" s="303"/>
      <c r="L179" s="303"/>
      <c r="M179" s="303"/>
      <c r="N179" s="297">
        <f>SUM(G179:M179)</f>
        <v>0</v>
      </c>
      <c r="O179" s="303"/>
      <c r="P179" s="303"/>
      <c r="Q179" s="303"/>
      <c r="R179" s="297">
        <f>E179+F179+N179+O179+P179+Q179</f>
        <v>0</v>
      </c>
    </row>
    <row r="180" spans="1:18" ht="19.95" customHeight="1" x14ac:dyDescent="0.25">
      <c r="A180" s="378" t="s">
        <v>497</v>
      </c>
      <c r="B180" s="378">
        <v>540</v>
      </c>
      <c r="C180" s="377" t="s">
        <v>500</v>
      </c>
      <c r="D180" s="380"/>
      <c r="E180" s="303"/>
      <c r="F180" s="303"/>
      <c r="G180" s="303"/>
      <c r="H180" s="303"/>
      <c r="I180" s="303"/>
      <c r="J180" s="303"/>
      <c r="K180" s="303"/>
      <c r="L180" s="303">
        <v>6010</v>
      </c>
      <c r="M180" s="303"/>
      <c r="N180" s="297">
        <f>SUM(G180:M180)</f>
        <v>6010</v>
      </c>
      <c r="O180" s="303"/>
      <c r="P180" s="303"/>
      <c r="Q180" s="303"/>
      <c r="R180" s="297">
        <f>E180+F180+N180+O180+P180+Q180</f>
        <v>6010</v>
      </c>
    </row>
    <row r="181" spans="1:18" ht="19.95" customHeight="1" x14ac:dyDescent="0.25">
      <c r="A181" s="378" t="s">
        <v>243</v>
      </c>
      <c r="B181" s="378">
        <v>181</v>
      </c>
      <c r="C181" s="377" t="s">
        <v>500</v>
      </c>
      <c r="D181" s="377"/>
      <c r="E181" s="303"/>
      <c r="F181" s="303"/>
      <c r="G181" s="303"/>
      <c r="H181" s="303"/>
      <c r="I181" s="303"/>
      <c r="J181" s="303"/>
      <c r="K181" s="303"/>
      <c r="L181" s="303"/>
      <c r="M181" s="303"/>
      <c r="N181" s="297">
        <f>SUM(G181:M181)</f>
        <v>0</v>
      </c>
      <c r="O181" s="303"/>
      <c r="P181" s="303"/>
      <c r="Q181" s="303"/>
      <c r="R181" s="297">
        <f>E181+F181+N181+O181+P181+Q181</f>
        <v>0</v>
      </c>
    </row>
    <row r="182" spans="1:18" ht="19.95" customHeight="1" x14ac:dyDescent="0.25">
      <c r="A182" s="378" t="s">
        <v>244</v>
      </c>
      <c r="B182" s="378">
        <v>508</v>
      </c>
      <c r="C182" s="377" t="s">
        <v>500</v>
      </c>
      <c r="D182" s="377" t="s">
        <v>93</v>
      </c>
      <c r="E182" s="303">
        <v>4510.5</v>
      </c>
      <c r="F182" s="303"/>
      <c r="G182" s="303"/>
      <c r="H182" s="303"/>
      <c r="I182" s="303"/>
      <c r="J182" s="303"/>
      <c r="K182" s="303"/>
      <c r="L182" s="303"/>
      <c r="M182" s="303"/>
      <c r="N182" s="297">
        <f>SUM(G182:M182)</f>
        <v>0</v>
      </c>
      <c r="O182" s="303"/>
      <c r="P182" s="303"/>
      <c r="Q182" s="303"/>
      <c r="R182" s="297">
        <f>E182+F182+N182+O182+P182+Q182</f>
        <v>4510.5</v>
      </c>
    </row>
    <row r="183" spans="1:18" ht="19.95" customHeight="1" x14ac:dyDescent="0.25">
      <c r="A183" s="375" t="s">
        <v>85</v>
      </c>
      <c r="B183" s="374"/>
      <c r="C183" s="374"/>
      <c r="D183" s="374"/>
      <c r="E183" s="307">
        <f>SUM(E78:E182)</f>
        <v>436651.49000000011</v>
      </c>
      <c r="F183" s="307">
        <f>SUM(F78:F182)</f>
        <v>12830.68</v>
      </c>
      <c r="G183" s="307">
        <f>SUM(G78:G182)</f>
        <v>0</v>
      </c>
      <c r="H183" s="307">
        <f>SUM(H78:H182)</f>
        <v>0</v>
      </c>
      <c r="I183" s="307">
        <f>SUM(I78:I182)</f>
        <v>48599.759999999995</v>
      </c>
      <c r="J183" s="307"/>
      <c r="K183" s="307"/>
      <c r="L183" s="307"/>
      <c r="M183" s="307"/>
      <c r="N183" s="307">
        <f>SUM(N78:N182)</f>
        <v>141194.84000000003</v>
      </c>
      <c r="O183" s="307">
        <f>SUM(O78:O182)</f>
        <v>0</v>
      </c>
      <c r="P183" s="307">
        <f>SUM(P78:P182)</f>
        <v>0</v>
      </c>
      <c r="Q183" s="307">
        <f>SUM(Q78:Q182)</f>
        <v>79865.84</v>
      </c>
      <c r="R183" s="307">
        <f>SUM(R78:R182)</f>
        <v>670542.85000000009</v>
      </c>
    </row>
    <row r="184" spans="1:18" ht="19.95" customHeight="1" x14ac:dyDescent="0.25">
      <c r="A184" s="384" t="s">
        <v>389</v>
      </c>
      <c r="B184" s="378"/>
      <c r="C184" s="377" t="s">
        <v>501</v>
      </c>
      <c r="D184" s="376" t="s">
        <v>110</v>
      </c>
      <c r="E184" s="316"/>
      <c r="F184" s="316"/>
      <c r="G184" s="316"/>
      <c r="H184" s="316"/>
      <c r="I184" s="316"/>
      <c r="J184" s="316"/>
      <c r="K184" s="316"/>
      <c r="L184" s="316"/>
      <c r="M184" s="316"/>
      <c r="N184" s="297">
        <f>SUM(G184:M184)</f>
        <v>0</v>
      </c>
      <c r="O184" s="316"/>
      <c r="P184" s="316"/>
      <c r="Q184" s="316"/>
      <c r="R184" s="297">
        <f>SUM(E184+F184+N184+O184+P184+Q184)</f>
        <v>0</v>
      </c>
    </row>
    <row r="185" spans="1:18" ht="19.95" customHeight="1" x14ac:dyDescent="0.25">
      <c r="A185" s="383" t="s">
        <v>390</v>
      </c>
      <c r="B185" s="378"/>
      <c r="C185" s="377" t="s">
        <v>501</v>
      </c>
      <c r="D185" s="376"/>
      <c r="E185" s="316"/>
      <c r="F185" s="316"/>
      <c r="G185" s="316"/>
      <c r="H185" s="316"/>
      <c r="I185" s="316"/>
      <c r="J185" s="316"/>
      <c r="K185" s="316"/>
      <c r="L185" s="316"/>
      <c r="M185" s="316"/>
      <c r="N185" s="297">
        <f>SUM(G185:M185)</f>
        <v>0</v>
      </c>
      <c r="O185" s="316"/>
      <c r="P185" s="318"/>
      <c r="Q185" s="316"/>
      <c r="R185" s="297">
        <f>SUM(E185+F185+N185+O185+P185+Q185)</f>
        <v>0</v>
      </c>
    </row>
    <row r="186" spans="1:18" ht="19.95" customHeight="1" x14ac:dyDescent="0.25">
      <c r="A186" s="383" t="s">
        <v>391</v>
      </c>
      <c r="B186" s="378"/>
      <c r="C186" s="377" t="s">
        <v>501</v>
      </c>
      <c r="D186" s="381" t="s">
        <v>250</v>
      </c>
      <c r="E186" s="316"/>
      <c r="F186" s="316"/>
      <c r="G186" s="316"/>
      <c r="H186" s="316"/>
      <c r="I186" s="316"/>
      <c r="J186" s="316"/>
      <c r="K186" s="316"/>
      <c r="L186" s="316"/>
      <c r="M186" s="316"/>
      <c r="N186" s="297">
        <f>SUM(G186:M186)</f>
        <v>0</v>
      </c>
      <c r="O186" s="320"/>
      <c r="P186" s="321"/>
      <c r="Q186" s="322"/>
      <c r="R186" s="297">
        <f>SUM(E186+F186+N186+O186+P186+Q186)</f>
        <v>0</v>
      </c>
    </row>
    <row r="187" spans="1:18" ht="19.95" customHeight="1" x14ac:dyDescent="0.25">
      <c r="A187" s="383" t="s">
        <v>392</v>
      </c>
      <c r="B187" s="378"/>
      <c r="C187" s="377" t="s">
        <v>501</v>
      </c>
      <c r="D187" s="376"/>
      <c r="E187" s="316"/>
      <c r="F187" s="316"/>
      <c r="G187" s="316"/>
      <c r="H187" s="316"/>
      <c r="I187" s="316"/>
      <c r="J187" s="316"/>
      <c r="K187" s="316"/>
      <c r="L187" s="316"/>
      <c r="M187" s="316"/>
      <c r="N187" s="297">
        <f>SUM(G187:M187)</f>
        <v>0</v>
      </c>
      <c r="O187" s="320"/>
      <c r="P187" s="321"/>
      <c r="Q187" s="322"/>
      <c r="R187" s="297">
        <f>SUM(E187+F187+N187+O187+P187+Q187)</f>
        <v>0</v>
      </c>
    </row>
    <row r="188" spans="1:18" ht="19.95" customHeight="1" x14ac:dyDescent="0.25">
      <c r="A188" s="383" t="s">
        <v>592</v>
      </c>
      <c r="B188" s="378"/>
      <c r="C188" s="377" t="s">
        <v>501</v>
      </c>
      <c r="D188" s="381" t="s">
        <v>250</v>
      </c>
      <c r="E188" s="316"/>
      <c r="F188" s="316"/>
      <c r="G188" s="316"/>
      <c r="H188" s="316"/>
      <c r="I188" s="316"/>
      <c r="J188" s="316"/>
      <c r="K188" s="316"/>
      <c r="L188" s="316"/>
      <c r="M188" s="316"/>
      <c r="N188" s="297">
        <f>SUM(G188:M188)</f>
        <v>0</v>
      </c>
      <c r="O188" s="320"/>
      <c r="P188" s="321"/>
      <c r="Q188" s="322"/>
      <c r="R188" s="297">
        <f>SUM(E188+F188+N188+O188+P188+Q188)</f>
        <v>0</v>
      </c>
    </row>
    <row r="189" spans="1:18" ht="19.95" customHeight="1" x14ac:dyDescent="0.25">
      <c r="A189" s="383" t="s">
        <v>593</v>
      </c>
      <c r="B189" s="378"/>
      <c r="C189" s="377" t="s">
        <v>501</v>
      </c>
      <c r="D189" s="376"/>
      <c r="E189" s="316"/>
      <c r="F189" s="316"/>
      <c r="G189" s="316"/>
      <c r="H189" s="316"/>
      <c r="I189" s="316"/>
      <c r="J189" s="316"/>
      <c r="K189" s="316"/>
      <c r="L189" s="316"/>
      <c r="M189" s="316"/>
      <c r="N189" s="297">
        <f>SUM(G189:M189)</f>
        <v>0</v>
      </c>
      <c r="O189" s="316"/>
      <c r="P189" s="323"/>
      <c r="Q189" s="316"/>
      <c r="R189" s="297">
        <f>SUM(E189+F189+N189+O189+P189+Q189)</f>
        <v>0</v>
      </c>
    </row>
    <row r="190" spans="1:18" ht="19.95" customHeight="1" x14ac:dyDescent="0.25">
      <c r="A190" s="382" t="s">
        <v>395</v>
      </c>
      <c r="B190" s="378">
        <v>2610</v>
      </c>
      <c r="C190" s="377" t="s">
        <v>501</v>
      </c>
      <c r="D190" s="376" t="s">
        <v>93</v>
      </c>
      <c r="E190" s="316"/>
      <c r="F190" s="316"/>
      <c r="G190" s="316"/>
      <c r="H190" s="316"/>
      <c r="I190" s="316"/>
      <c r="J190" s="316"/>
      <c r="K190" s="316"/>
      <c r="L190" s="316"/>
      <c r="M190" s="316"/>
      <c r="N190" s="297">
        <f>SUM(G190:M190)</f>
        <v>0</v>
      </c>
      <c r="O190" s="316"/>
      <c r="P190" s="316"/>
      <c r="Q190" s="316"/>
      <c r="R190" s="297">
        <f>SUM(E190+F190+N190+O190+P190+Q190)</f>
        <v>0</v>
      </c>
    </row>
    <row r="191" spans="1:18" ht="19.95" customHeight="1" x14ac:dyDescent="0.25">
      <c r="A191" s="382" t="s">
        <v>268</v>
      </c>
      <c r="B191" s="378">
        <v>1946</v>
      </c>
      <c r="C191" s="377" t="s">
        <v>501</v>
      </c>
      <c r="D191" s="376" t="s">
        <v>352</v>
      </c>
      <c r="E191" s="316"/>
      <c r="F191" s="316"/>
      <c r="G191" s="316"/>
      <c r="H191" s="316"/>
      <c r="I191" s="316"/>
      <c r="J191" s="316"/>
      <c r="K191" s="316"/>
      <c r="L191" s="316"/>
      <c r="M191" s="316"/>
      <c r="N191" s="297">
        <f>SUM(G191:M191)</f>
        <v>0</v>
      </c>
      <c r="O191" s="316"/>
      <c r="P191" s="316"/>
      <c r="Q191" s="316"/>
      <c r="R191" s="297">
        <f>SUM(E191+F191+N191+O191+P191+Q191)</f>
        <v>0</v>
      </c>
    </row>
    <row r="192" spans="1:18" ht="19.95" customHeight="1" x14ac:dyDescent="0.25">
      <c r="A192" s="382" t="s">
        <v>269</v>
      </c>
      <c r="B192" s="378">
        <v>2417</v>
      </c>
      <c r="C192" s="377" t="s">
        <v>501</v>
      </c>
      <c r="D192" s="376" t="s">
        <v>112</v>
      </c>
      <c r="E192" s="316"/>
      <c r="F192" s="316"/>
      <c r="G192" s="316"/>
      <c r="H192" s="316"/>
      <c r="I192" s="316"/>
      <c r="J192" s="316"/>
      <c r="K192" s="316"/>
      <c r="L192" s="316"/>
      <c r="M192" s="316"/>
      <c r="N192" s="297">
        <f>SUM(G192:M192)</f>
        <v>0</v>
      </c>
      <c r="O192" s="316"/>
      <c r="P192" s="316"/>
      <c r="Q192" s="316"/>
      <c r="R192" s="297">
        <f>SUM(E192+F192+N192+O192+P192+Q192)</f>
        <v>0</v>
      </c>
    </row>
    <row r="193" spans="1:18" ht="19.95" customHeight="1" x14ac:dyDescent="0.25">
      <c r="A193" s="382" t="s">
        <v>267</v>
      </c>
      <c r="B193" s="378">
        <v>1152</v>
      </c>
      <c r="C193" s="377" t="s">
        <v>501</v>
      </c>
      <c r="D193" s="376" t="s">
        <v>91</v>
      </c>
      <c r="E193" s="316"/>
      <c r="F193" s="316"/>
      <c r="G193" s="316"/>
      <c r="H193" s="316"/>
      <c r="I193" s="316"/>
      <c r="J193" s="316"/>
      <c r="K193" s="316"/>
      <c r="L193" s="316"/>
      <c r="M193" s="316"/>
      <c r="N193" s="297">
        <f>SUM(G193:M193)</f>
        <v>0</v>
      </c>
      <c r="O193" s="316"/>
      <c r="P193" s="316"/>
      <c r="Q193" s="316"/>
      <c r="R193" s="297">
        <f>SUM(E193+F193+N193+O193+P193+Q193)</f>
        <v>0</v>
      </c>
    </row>
    <row r="194" spans="1:18" ht="19.95" customHeight="1" x14ac:dyDescent="0.25">
      <c r="A194" s="382" t="s">
        <v>396</v>
      </c>
      <c r="B194" s="378">
        <v>2659</v>
      </c>
      <c r="C194" s="377" t="s">
        <v>501</v>
      </c>
      <c r="D194" s="376"/>
      <c r="E194" s="324"/>
      <c r="F194" s="324"/>
      <c r="G194" s="324"/>
      <c r="H194" s="324"/>
      <c r="I194" s="324"/>
      <c r="J194" s="324"/>
      <c r="K194" s="324"/>
      <c r="L194" s="324"/>
      <c r="M194" s="324"/>
      <c r="N194" s="297">
        <f>SUM(G194:M194)</f>
        <v>0</v>
      </c>
      <c r="O194" s="324"/>
      <c r="P194" s="324"/>
      <c r="Q194" s="324"/>
      <c r="R194" s="297">
        <f>SUM(E194+F194+N194+O194+P194+Q194)</f>
        <v>0</v>
      </c>
    </row>
    <row r="195" spans="1:18" ht="19.95" customHeight="1" x14ac:dyDescent="0.25">
      <c r="A195" s="382" t="s">
        <v>594</v>
      </c>
      <c r="B195" s="378">
        <v>2256</v>
      </c>
      <c r="C195" s="377" t="s">
        <v>501</v>
      </c>
      <c r="D195" s="376"/>
      <c r="E195" s="324"/>
      <c r="F195" s="324"/>
      <c r="G195" s="324"/>
      <c r="H195" s="324"/>
      <c r="I195" s="324"/>
      <c r="J195" s="324"/>
      <c r="K195" s="324"/>
      <c r="L195" s="324"/>
      <c r="M195" s="324"/>
      <c r="N195" s="297">
        <f>SUM(G195:M195)</f>
        <v>0</v>
      </c>
      <c r="O195" s="324"/>
      <c r="P195" s="324"/>
      <c r="Q195" s="324"/>
      <c r="R195" s="297">
        <f>SUM(E195+F195+N195+O195+P195+Q195)</f>
        <v>0</v>
      </c>
    </row>
    <row r="196" spans="1:18" ht="19.95" customHeight="1" x14ac:dyDescent="0.25">
      <c r="A196" s="382" t="s">
        <v>397</v>
      </c>
      <c r="B196" s="378">
        <v>2147</v>
      </c>
      <c r="C196" s="377" t="s">
        <v>501</v>
      </c>
      <c r="D196" s="381" t="s">
        <v>93</v>
      </c>
      <c r="E196" s="324"/>
      <c r="F196" s="324"/>
      <c r="G196" s="324"/>
      <c r="H196" s="324"/>
      <c r="I196" s="324"/>
      <c r="J196" s="324"/>
      <c r="K196" s="324"/>
      <c r="L196" s="324"/>
      <c r="M196" s="324"/>
      <c r="N196" s="297">
        <f>SUM(G196:M196)</f>
        <v>0</v>
      </c>
      <c r="O196" s="324"/>
      <c r="P196" s="324"/>
      <c r="Q196" s="324"/>
      <c r="R196" s="297">
        <f>SUM(E196+F196+N196+O196+P196+Q196)</f>
        <v>0</v>
      </c>
    </row>
    <row r="197" spans="1:18" ht="19.95" customHeight="1" x14ac:dyDescent="0.25">
      <c r="A197" s="382" t="s">
        <v>398</v>
      </c>
      <c r="B197" s="378">
        <v>2377</v>
      </c>
      <c r="C197" s="377" t="s">
        <v>501</v>
      </c>
      <c r="D197" s="381" t="s">
        <v>95</v>
      </c>
      <c r="E197" s="324"/>
      <c r="F197" s="324"/>
      <c r="G197" s="324"/>
      <c r="H197" s="324"/>
      <c r="I197" s="324"/>
      <c r="J197" s="324"/>
      <c r="K197" s="324"/>
      <c r="L197" s="324"/>
      <c r="M197" s="324"/>
      <c r="N197" s="297">
        <f>SUM(G197:M197)</f>
        <v>0</v>
      </c>
      <c r="O197" s="324"/>
      <c r="P197" s="324"/>
      <c r="Q197" s="324"/>
      <c r="R197" s="297">
        <f>SUM(E197+F197+N197+O197+P197+Q197)</f>
        <v>0</v>
      </c>
    </row>
    <row r="198" spans="1:18" ht="19.95" customHeight="1" x14ac:dyDescent="0.25">
      <c r="A198" s="382" t="s">
        <v>271</v>
      </c>
      <c r="B198" s="378">
        <v>828</v>
      </c>
      <c r="C198" s="377" t="s">
        <v>501</v>
      </c>
      <c r="D198" s="381"/>
      <c r="E198" s="324"/>
      <c r="F198" s="324"/>
      <c r="G198" s="324"/>
      <c r="H198" s="324"/>
      <c r="I198" s="324"/>
      <c r="J198" s="324"/>
      <c r="K198" s="324"/>
      <c r="L198" s="324"/>
      <c r="M198" s="324"/>
      <c r="N198" s="297">
        <f>SUM(G198:M198)</f>
        <v>0</v>
      </c>
      <c r="O198" s="324"/>
      <c r="P198" s="324"/>
      <c r="Q198" s="324"/>
      <c r="R198" s="297">
        <f>SUM(E198+F198+N198+O198+P198+Q198)</f>
        <v>0</v>
      </c>
    </row>
    <row r="199" spans="1:18" ht="19.95" customHeight="1" x14ac:dyDescent="0.25">
      <c r="A199" s="382" t="s">
        <v>550</v>
      </c>
      <c r="B199" s="378">
        <v>1815</v>
      </c>
      <c r="C199" s="377" t="s">
        <v>501</v>
      </c>
      <c r="D199" s="381"/>
      <c r="E199" s="324"/>
      <c r="F199" s="324"/>
      <c r="G199" s="324"/>
      <c r="H199" s="324"/>
      <c r="I199" s="324"/>
      <c r="J199" s="324"/>
      <c r="K199" s="324"/>
      <c r="L199" s="324"/>
      <c r="M199" s="324"/>
      <c r="N199" s="297">
        <f>SUM(G199:M199)</f>
        <v>0</v>
      </c>
      <c r="O199" s="324"/>
      <c r="P199" s="324"/>
      <c r="Q199" s="324"/>
      <c r="R199" s="297">
        <f>SUM(E199+F199+N199+O199+P199+Q199)</f>
        <v>0</v>
      </c>
    </row>
    <row r="200" spans="1:18" ht="19.95" customHeight="1" x14ac:dyDescent="0.25">
      <c r="A200" s="382" t="s">
        <v>272</v>
      </c>
      <c r="B200" s="378">
        <v>2478</v>
      </c>
      <c r="C200" s="377" t="s">
        <v>501</v>
      </c>
      <c r="D200" s="376" t="s">
        <v>112</v>
      </c>
      <c r="E200" s="324"/>
      <c r="F200" s="324"/>
      <c r="G200" s="324"/>
      <c r="H200" s="324"/>
      <c r="I200" s="324"/>
      <c r="J200" s="324"/>
      <c r="K200" s="324"/>
      <c r="L200" s="324"/>
      <c r="M200" s="324"/>
      <c r="N200" s="297">
        <f>SUM(G200:M200)</f>
        <v>0</v>
      </c>
      <c r="O200" s="324"/>
      <c r="P200" s="324"/>
      <c r="Q200" s="324"/>
      <c r="R200" s="297">
        <f>SUM(E200+F200+N200+O200+P200+Q200)</f>
        <v>0</v>
      </c>
    </row>
    <row r="201" spans="1:18" ht="19.95" customHeight="1" x14ac:dyDescent="0.25">
      <c r="A201" s="382" t="s">
        <v>399</v>
      </c>
      <c r="B201" s="378">
        <v>2210</v>
      </c>
      <c r="C201" s="377" t="s">
        <v>501</v>
      </c>
      <c r="D201" s="381" t="s">
        <v>95</v>
      </c>
      <c r="E201" s="324"/>
      <c r="F201" s="324"/>
      <c r="G201" s="324"/>
      <c r="H201" s="324"/>
      <c r="I201" s="324"/>
      <c r="J201" s="324"/>
      <c r="K201" s="324"/>
      <c r="L201" s="324"/>
      <c r="M201" s="324"/>
      <c r="N201" s="297">
        <f>SUM(G201:M201)</f>
        <v>0</v>
      </c>
      <c r="O201" s="324"/>
      <c r="P201" s="324"/>
      <c r="Q201" s="324"/>
      <c r="R201" s="297">
        <f>SUM(E201+F201+N201+O201+P201+Q201)</f>
        <v>0</v>
      </c>
    </row>
    <row r="202" spans="1:18" ht="19.95" customHeight="1" x14ac:dyDescent="0.25">
      <c r="A202" s="382" t="s">
        <v>400</v>
      </c>
      <c r="B202" s="378">
        <v>2540</v>
      </c>
      <c r="C202" s="377" t="s">
        <v>501</v>
      </c>
      <c r="D202" s="381" t="s">
        <v>93</v>
      </c>
      <c r="E202" s="324"/>
      <c r="F202" s="324"/>
      <c r="G202" s="324"/>
      <c r="H202" s="324"/>
      <c r="I202" s="324"/>
      <c r="J202" s="324"/>
      <c r="K202" s="324"/>
      <c r="L202" s="324"/>
      <c r="M202" s="324"/>
      <c r="N202" s="297">
        <f>SUM(G202:M202)</f>
        <v>0</v>
      </c>
      <c r="O202" s="324"/>
      <c r="P202" s="324"/>
      <c r="Q202" s="324"/>
      <c r="R202" s="297">
        <f>SUM(E202+F202+N202+O202+P202+Q202)</f>
        <v>0</v>
      </c>
    </row>
    <row r="203" spans="1:18" ht="19.95" customHeight="1" x14ac:dyDescent="0.25">
      <c r="A203" s="382" t="s">
        <v>274</v>
      </c>
      <c r="B203" s="378">
        <v>2188</v>
      </c>
      <c r="C203" s="377" t="s">
        <v>501</v>
      </c>
      <c r="D203" s="381"/>
      <c r="E203" s="324"/>
      <c r="F203" s="324"/>
      <c r="G203" s="324"/>
      <c r="H203" s="324"/>
      <c r="I203" s="324"/>
      <c r="J203" s="324"/>
      <c r="K203" s="324"/>
      <c r="L203" s="324"/>
      <c r="M203" s="324"/>
      <c r="N203" s="297">
        <f>SUM(G203:M203)</f>
        <v>0</v>
      </c>
      <c r="O203" s="324"/>
      <c r="P203" s="324"/>
      <c r="Q203" s="324"/>
      <c r="R203" s="297">
        <f>SUM(E203+F203+N203+O203+P203+Q203)</f>
        <v>0</v>
      </c>
    </row>
    <row r="204" spans="1:18" ht="19.95" customHeight="1" x14ac:dyDescent="0.25">
      <c r="A204" s="382" t="s">
        <v>275</v>
      </c>
      <c r="B204" s="378">
        <v>2757</v>
      </c>
      <c r="C204" s="377" t="s">
        <v>501</v>
      </c>
      <c r="D204" s="381" t="s">
        <v>112</v>
      </c>
      <c r="E204" s="324"/>
      <c r="F204" s="324"/>
      <c r="G204" s="324"/>
      <c r="H204" s="324"/>
      <c r="I204" s="324"/>
      <c r="J204" s="324"/>
      <c r="K204" s="324"/>
      <c r="L204" s="324"/>
      <c r="M204" s="324"/>
      <c r="N204" s="297">
        <f>SUM(G204:M204)</f>
        <v>0</v>
      </c>
      <c r="O204" s="324"/>
      <c r="P204" s="324"/>
      <c r="Q204" s="324"/>
      <c r="R204" s="297">
        <f>SUM(E204+F204+N204+O204+P204+Q204)</f>
        <v>0</v>
      </c>
    </row>
    <row r="205" spans="1:18" ht="19.95" customHeight="1" x14ac:dyDescent="0.25">
      <c r="A205" s="382" t="s">
        <v>276</v>
      </c>
      <c r="B205" s="378">
        <v>2163</v>
      </c>
      <c r="C205" s="377" t="s">
        <v>501</v>
      </c>
      <c r="D205" s="376" t="s">
        <v>103</v>
      </c>
      <c r="E205" s="324"/>
      <c r="F205" s="324"/>
      <c r="G205" s="324"/>
      <c r="H205" s="324"/>
      <c r="I205" s="324"/>
      <c r="J205" s="324"/>
      <c r="K205" s="324"/>
      <c r="L205" s="324"/>
      <c r="M205" s="324"/>
      <c r="N205" s="297">
        <f>SUM(G205:M205)</f>
        <v>0</v>
      </c>
      <c r="O205" s="324"/>
      <c r="P205" s="324"/>
      <c r="Q205" s="324"/>
      <c r="R205" s="297">
        <f>SUM(E205+F205+N205+O205+P205+Q205)</f>
        <v>0</v>
      </c>
    </row>
    <row r="206" spans="1:18" ht="19.95" customHeight="1" x14ac:dyDescent="0.25">
      <c r="A206" s="382" t="s">
        <v>277</v>
      </c>
      <c r="B206" s="378">
        <v>1704</v>
      </c>
      <c r="C206" s="377" t="s">
        <v>501</v>
      </c>
      <c r="D206" s="381"/>
      <c r="E206" s="324"/>
      <c r="F206" s="324"/>
      <c r="G206" s="324"/>
      <c r="H206" s="324"/>
      <c r="I206" s="324"/>
      <c r="J206" s="324"/>
      <c r="K206" s="324"/>
      <c r="L206" s="324"/>
      <c r="M206" s="324"/>
      <c r="N206" s="297">
        <f>SUM(G206:M206)</f>
        <v>0</v>
      </c>
      <c r="O206" s="324"/>
      <c r="P206" s="324"/>
      <c r="Q206" s="324"/>
      <c r="R206" s="297">
        <f>SUM(E206+F206+N206+O206+P206+Q206)</f>
        <v>0</v>
      </c>
    </row>
    <row r="207" spans="1:18" ht="19.95" customHeight="1" x14ac:dyDescent="0.25">
      <c r="A207" s="382" t="s">
        <v>547</v>
      </c>
      <c r="B207" s="378">
        <v>2466</v>
      </c>
      <c r="C207" s="377" t="s">
        <v>501</v>
      </c>
      <c r="D207" s="381" t="s">
        <v>103</v>
      </c>
      <c r="E207" s="324"/>
      <c r="F207" s="324"/>
      <c r="G207" s="324"/>
      <c r="H207" s="324"/>
      <c r="I207" s="324"/>
      <c r="J207" s="324"/>
      <c r="K207" s="324"/>
      <c r="L207" s="324"/>
      <c r="M207" s="324"/>
      <c r="N207" s="297">
        <f>SUM(G207:M207)</f>
        <v>0</v>
      </c>
      <c r="O207" s="324"/>
      <c r="P207" s="324"/>
      <c r="Q207" s="324"/>
      <c r="R207" s="297">
        <f>SUM(E207+F207+N207+O207+P207+Q207)</f>
        <v>0</v>
      </c>
    </row>
    <row r="208" spans="1:18" ht="19.95" customHeight="1" x14ac:dyDescent="0.25">
      <c r="A208" s="379" t="s">
        <v>278</v>
      </c>
      <c r="B208" s="378">
        <v>1151</v>
      </c>
      <c r="C208" s="377" t="s">
        <v>501</v>
      </c>
      <c r="D208" s="376" t="s">
        <v>91</v>
      </c>
      <c r="E208" s="326"/>
      <c r="F208" s="324"/>
      <c r="G208" s="324"/>
      <c r="H208" s="324"/>
      <c r="I208" s="324"/>
      <c r="J208" s="324"/>
      <c r="K208" s="324"/>
      <c r="L208" s="324"/>
      <c r="M208" s="324"/>
      <c r="N208" s="297">
        <f>SUM(G208:M208)</f>
        <v>0</v>
      </c>
      <c r="O208" s="326"/>
      <c r="P208" s="324"/>
      <c r="Q208" s="324"/>
      <c r="R208" s="297">
        <f>SUM(E208+F208+N208+O208+P208+Q208)</f>
        <v>0</v>
      </c>
    </row>
    <row r="209" spans="1:18" ht="19.95" customHeight="1" x14ac:dyDescent="0.25">
      <c r="A209" s="379" t="s">
        <v>402</v>
      </c>
      <c r="B209" s="378">
        <v>2663</v>
      </c>
      <c r="C209" s="377" t="s">
        <v>501</v>
      </c>
      <c r="D209" s="376" t="s">
        <v>112</v>
      </c>
      <c r="E209" s="326"/>
      <c r="F209" s="324"/>
      <c r="G209" s="324"/>
      <c r="H209" s="324"/>
      <c r="I209" s="324"/>
      <c r="J209" s="324"/>
      <c r="K209" s="324"/>
      <c r="L209" s="324"/>
      <c r="M209" s="324"/>
      <c r="N209" s="297">
        <f>SUM(G209:M209)</f>
        <v>0</v>
      </c>
      <c r="O209" s="326"/>
      <c r="P209" s="324"/>
      <c r="Q209" s="324"/>
      <c r="R209" s="297">
        <f>SUM(E209+F209+N209+O209+P209+Q209)</f>
        <v>0</v>
      </c>
    </row>
    <row r="210" spans="1:18" ht="19.95" customHeight="1" x14ac:dyDescent="0.25">
      <c r="A210" s="379" t="s">
        <v>280</v>
      </c>
      <c r="B210" s="378">
        <v>1194</v>
      </c>
      <c r="C210" s="377" t="s">
        <v>501</v>
      </c>
      <c r="D210" s="376" t="s">
        <v>93</v>
      </c>
      <c r="E210" s="326"/>
      <c r="F210" s="324"/>
      <c r="G210" s="324"/>
      <c r="H210" s="324"/>
      <c r="I210" s="324"/>
      <c r="J210" s="324"/>
      <c r="K210" s="324"/>
      <c r="L210" s="324"/>
      <c r="M210" s="324"/>
      <c r="N210" s="297">
        <f>SUM(G210:M210)</f>
        <v>0</v>
      </c>
      <c r="O210" s="326"/>
      <c r="P210" s="324"/>
      <c r="Q210" s="324"/>
      <c r="R210" s="297">
        <f>SUM(E210+F210+N210+O210+P210+Q210)</f>
        <v>0</v>
      </c>
    </row>
    <row r="211" spans="1:18" ht="19.95" customHeight="1" x14ac:dyDescent="0.25">
      <c r="A211" s="379" t="s">
        <v>403</v>
      </c>
      <c r="B211" s="378">
        <v>2633</v>
      </c>
      <c r="C211" s="377" t="s">
        <v>501</v>
      </c>
      <c r="D211" s="381" t="s">
        <v>93</v>
      </c>
      <c r="E211" s="326"/>
      <c r="F211" s="324"/>
      <c r="G211" s="324"/>
      <c r="H211" s="324"/>
      <c r="I211" s="324"/>
      <c r="J211" s="324"/>
      <c r="K211" s="324"/>
      <c r="L211" s="324"/>
      <c r="M211" s="324"/>
      <c r="N211" s="297">
        <f>SUM(G211:M211)</f>
        <v>0</v>
      </c>
      <c r="O211" s="326"/>
      <c r="P211" s="324"/>
      <c r="Q211" s="324"/>
      <c r="R211" s="297">
        <f>SUM(E211+F211+N211+O211+P211+Q211)</f>
        <v>0</v>
      </c>
    </row>
    <row r="212" spans="1:18" ht="19.95" customHeight="1" x14ac:dyDescent="0.25">
      <c r="A212" s="379" t="s">
        <v>282</v>
      </c>
      <c r="B212" s="378">
        <v>2595</v>
      </c>
      <c r="C212" s="377" t="s">
        <v>501</v>
      </c>
      <c r="D212" s="376"/>
      <c r="E212" s="326"/>
      <c r="F212" s="324"/>
      <c r="G212" s="324"/>
      <c r="H212" s="324"/>
      <c r="I212" s="324"/>
      <c r="J212" s="324"/>
      <c r="K212" s="324"/>
      <c r="L212" s="324"/>
      <c r="M212" s="324"/>
      <c r="N212" s="297">
        <f>SUM(G212:M212)</f>
        <v>0</v>
      </c>
      <c r="O212" s="326"/>
      <c r="P212" s="324"/>
      <c r="Q212" s="324"/>
      <c r="R212" s="297">
        <f>SUM(E212+F212+N212+O212+P212+Q212)</f>
        <v>0</v>
      </c>
    </row>
    <row r="213" spans="1:18" ht="19.95" customHeight="1" x14ac:dyDescent="0.25">
      <c r="A213" s="379" t="s">
        <v>283</v>
      </c>
      <c r="B213" s="378">
        <v>2514</v>
      </c>
      <c r="C213" s="377" t="s">
        <v>501</v>
      </c>
      <c r="D213" s="381" t="s">
        <v>87</v>
      </c>
      <c r="E213" s="326"/>
      <c r="F213" s="324"/>
      <c r="G213" s="324"/>
      <c r="H213" s="324"/>
      <c r="I213" s="324"/>
      <c r="J213" s="324"/>
      <c r="K213" s="324"/>
      <c r="L213" s="324"/>
      <c r="M213" s="324"/>
      <c r="N213" s="297">
        <f>SUM(G213:M213)</f>
        <v>0</v>
      </c>
      <c r="O213" s="326"/>
      <c r="P213" s="324"/>
      <c r="Q213" s="324"/>
      <c r="R213" s="297">
        <f>SUM(E213+F213+N213+O213+P213+Q213)</f>
        <v>0</v>
      </c>
    </row>
    <row r="214" spans="1:18" ht="19.95" customHeight="1" x14ac:dyDescent="0.25">
      <c r="A214" s="379" t="s">
        <v>595</v>
      </c>
      <c r="B214" s="378">
        <v>2812</v>
      </c>
      <c r="C214" s="377" t="s">
        <v>501</v>
      </c>
      <c r="D214" s="381" t="s">
        <v>112</v>
      </c>
      <c r="E214" s="326"/>
      <c r="F214" s="324"/>
      <c r="G214" s="324"/>
      <c r="H214" s="324"/>
      <c r="I214" s="324"/>
      <c r="J214" s="324"/>
      <c r="K214" s="324"/>
      <c r="L214" s="324"/>
      <c r="M214" s="324"/>
      <c r="N214" s="297">
        <f>SUM(G214:M214)</f>
        <v>0</v>
      </c>
      <c r="O214" s="326"/>
      <c r="P214" s="324"/>
      <c r="Q214" s="324"/>
      <c r="R214" s="297">
        <f>SUM(E214+F214+N214+O214+P214+Q214)</f>
        <v>0</v>
      </c>
    </row>
    <row r="215" spans="1:18" ht="19.95" customHeight="1" x14ac:dyDescent="0.25">
      <c r="A215" s="379" t="s">
        <v>284</v>
      </c>
      <c r="B215" s="378">
        <v>2820</v>
      </c>
      <c r="C215" s="377" t="s">
        <v>501</v>
      </c>
      <c r="D215" s="380" t="s">
        <v>112</v>
      </c>
      <c r="E215" s="326"/>
      <c r="F215" s="324"/>
      <c r="G215" s="324"/>
      <c r="H215" s="324"/>
      <c r="I215" s="324"/>
      <c r="J215" s="324"/>
      <c r="K215" s="324"/>
      <c r="L215" s="324"/>
      <c r="M215" s="324"/>
      <c r="N215" s="297">
        <f>SUM(G215:M215)</f>
        <v>0</v>
      </c>
      <c r="O215" s="326"/>
      <c r="P215" s="324"/>
      <c r="Q215" s="324"/>
      <c r="R215" s="297">
        <f>SUM(E215+F215+N215+O215+P215+Q215)</f>
        <v>0</v>
      </c>
    </row>
    <row r="216" spans="1:18" ht="19.95" customHeight="1" x14ac:dyDescent="0.25">
      <c r="A216" s="379" t="s">
        <v>404</v>
      </c>
      <c r="B216" s="378">
        <v>1524</v>
      </c>
      <c r="C216" s="377" t="s">
        <v>501</v>
      </c>
      <c r="D216" s="376" t="s">
        <v>112</v>
      </c>
      <c r="E216" s="326"/>
      <c r="F216" s="324"/>
      <c r="G216" s="324"/>
      <c r="H216" s="324"/>
      <c r="I216" s="324"/>
      <c r="J216" s="324"/>
      <c r="K216" s="324"/>
      <c r="L216" s="324"/>
      <c r="M216" s="324"/>
      <c r="N216" s="297">
        <f>SUM(G216:M216)</f>
        <v>0</v>
      </c>
      <c r="O216" s="326"/>
      <c r="P216" s="324"/>
      <c r="Q216" s="324"/>
      <c r="R216" s="297">
        <f>SUM(E216+F216+N216+O216+P216+Q216)</f>
        <v>0</v>
      </c>
    </row>
    <row r="217" spans="1:18" ht="19.95" customHeight="1" x14ac:dyDescent="0.25">
      <c r="A217" s="379" t="s">
        <v>551</v>
      </c>
      <c r="B217" s="378">
        <v>2420</v>
      </c>
      <c r="C217" s="377" t="s">
        <v>501</v>
      </c>
      <c r="D217" s="376"/>
      <c r="E217" s="326"/>
      <c r="F217" s="324"/>
      <c r="G217" s="324"/>
      <c r="H217" s="324"/>
      <c r="I217" s="324"/>
      <c r="J217" s="324"/>
      <c r="K217" s="324"/>
      <c r="L217" s="324"/>
      <c r="M217" s="324"/>
      <c r="N217" s="297">
        <f>SUM(G217:M217)</f>
        <v>0</v>
      </c>
      <c r="O217" s="326"/>
      <c r="P217" s="324"/>
      <c r="Q217" s="324"/>
      <c r="R217" s="297">
        <f>SUM(E217+F217+N217+O217+P217+Q217)</f>
        <v>0</v>
      </c>
    </row>
    <row r="218" spans="1:18" ht="19.95" customHeight="1" x14ac:dyDescent="0.25">
      <c r="A218" s="379" t="s">
        <v>285</v>
      </c>
      <c r="B218" s="378">
        <v>2389</v>
      </c>
      <c r="C218" s="377" t="s">
        <v>501</v>
      </c>
      <c r="D218" s="380" t="s">
        <v>103</v>
      </c>
      <c r="E218" s="326"/>
      <c r="F218" s="324"/>
      <c r="G218" s="324"/>
      <c r="H218" s="324"/>
      <c r="I218" s="324"/>
      <c r="J218" s="324"/>
      <c r="K218" s="324"/>
      <c r="L218" s="324"/>
      <c r="M218" s="324"/>
      <c r="N218" s="297">
        <f>SUM(G218:M218)</f>
        <v>0</v>
      </c>
      <c r="O218" s="326"/>
      <c r="P218" s="326"/>
      <c r="Q218" s="326"/>
      <c r="R218" s="297">
        <f>SUM(E218+F218+N218+O218+P218+Q218)</f>
        <v>0</v>
      </c>
    </row>
    <row r="219" spans="1:18" ht="19.95" customHeight="1" x14ac:dyDescent="0.25">
      <c r="A219" s="379" t="s">
        <v>286</v>
      </c>
      <c r="B219" s="378">
        <v>2443</v>
      </c>
      <c r="C219" s="377" t="s">
        <v>501</v>
      </c>
      <c r="D219" s="381" t="s">
        <v>87</v>
      </c>
      <c r="E219" s="326"/>
      <c r="F219" s="324"/>
      <c r="G219" s="324"/>
      <c r="H219" s="324"/>
      <c r="I219" s="324"/>
      <c r="J219" s="324"/>
      <c r="K219" s="324"/>
      <c r="L219" s="324"/>
      <c r="M219" s="324"/>
      <c r="N219" s="297">
        <f>SUM(G219:M219)</f>
        <v>0</v>
      </c>
      <c r="O219" s="326"/>
      <c r="P219" s="326"/>
      <c r="Q219" s="326"/>
      <c r="R219" s="297">
        <f>SUM(E219+F219+N219+O219+P219+Q219)</f>
        <v>0</v>
      </c>
    </row>
    <row r="220" spans="1:18" ht="19.95" customHeight="1" x14ac:dyDescent="0.25">
      <c r="A220" s="379" t="s">
        <v>287</v>
      </c>
      <c r="B220" s="378">
        <v>2721</v>
      </c>
      <c r="C220" s="377" t="s">
        <v>501</v>
      </c>
      <c r="D220" s="376" t="s">
        <v>352</v>
      </c>
      <c r="E220" s="326"/>
      <c r="F220" s="324"/>
      <c r="G220" s="324"/>
      <c r="H220" s="324"/>
      <c r="I220" s="324"/>
      <c r="J220" s="324"/>
      <c r="K220" s="324"/>
      <c r="L220" s="324"/>
      <c r="M220" s="324"/>
      <c r="N220" s="297">
        <f>SUM(G220:M220)</f>
        <v>0</v>
      </c>
      <c r="O220" s="326"/>
      <c r="P220" s="326"/>
      <c r="Q220" s="326"/>
      <c r="R220" s="297">
        <f>SUM(E220+F220+N220+O220+P220+Q220)</f>
        <v>0</v>
      </c>
    </row>
    <row r="221" spans="1:18" ht="19.95" customHeight="1" x14ac:dyDescent="0.25">
      <c r="A221" s="379" t="s">
        <v>288</v>
      </c>
      <c r="B221" s="378">
        <v>2826</v>
      </c>
      <c r="C221" s="377" t="s">
        <v>501</v>
      </c>
      <c r="D221" s="376" t="s">
        <v>112</v>
      </c>
      <c r="E221" s="326"/>
      <c r="F221" s="324"/>
      <c r="G221" s="324"/>
      <c r="H221" s="324"/>
      <c r="I221" s="324"/>
      <c r="J221" s="324"/>
      <c r="K221" s="324"/>
      <c r="L221" s="324"/>
      <c r="M221" s="324"/>
      <c r="N221" s="297">
        <f>SUM(G221:M221)</f>
        <v>0</v>
      </c>
      <c r="O221" s="326"/>
      <c r="P221" s="326"/>
      <c r="Q221" s="326"/>
      <c r="R221" s="297">
        <f>SUM(E221+F221+N221+O221+P221+Q221)</f>
        <v>0</v>
      </c>
    </row>
    <row r="222" spans="1:18" ht="19.95" customHeight="1" x14ac:dyDescent="0.25">
      <c r="A222" s="379" t="s">
        <v>405</v>
      </c>
      <c r="B222" s="378">
        <v>2818</v>
      </c>
      <c r="C222" s="377" t="s">
        <v>501</v>
      </c>
      <c r="D222" s="381" t="s">
        <v>93</v>
      </c>
      <c r="E222" s="326"/>
      <c r="F222" s="324"/>
      <c r="G222" s="324"/>
      <c r="H222" s="324"/>
      <c r="I222" s="324"/>
      <c r="J222" s="324"/>
      <c r="K222" s="324"/>
      <c r="L222" s="324"/>
      <c r="M222" s="324"/>
      <c r="N222" s="297">
        <f>SUM(G222:M222)</f>
        <v>0</v>
      </c>
      <c r="O222" s="326"/>
      <c r="P222" s="326"/>
      <c r="Q222" s="326"/>
      <c r="R222" s="297">
        <f>SUM(E222+F222+N222+O222+P222+Q222)</f>
        <v>0</v>
      </c>
    </row>
    <row r="223" spans="1:18" ht="19.95" customHeight="1" x14ac:dyDescent="0.25">
      <c r="A223" s="379" t="s">
        <v>406</v>
      </c>
      <c r="B223" s="378">
        <v>2342</v>
      </c>
      <c r="C223" s="377" t="s">
        <v>501</v>
      </c>
      <c r="D223" s="381" t="s">
        <v>352</v>
      </c>
      <c r="E223" s="326"/>
      <c r="F223" s="324"/>
      <c r="G223" s="324"/>
      <c r="H223" s="324"/>
      <c r="I223" s="324"/>
      <c r="J223" s="324"/>
      <c r="K223" s="324"/>
      <c r="L223" s="324"/>
      <c r="M223" s="324"/>
      <c r="N223" s="297">
        <f>SUM(G223:M223)</f>
        <v>0</v>
      </c>
      <c r="O223" s="326"/>
      <c r="P223" s="326"/>
      <c r="Q223" s="326"/>
      <c r="R223" s="297">
        <f>SUM(E223+F223+N223+O223+P223+Q223)</f>
        <v>0</v>
      </c>
    </row>
    <row r="224" spans="1:18" ht="19.95" customHeight="1" x14ac:dyDescent="0.25">
      <c r="A224" s="379" t="s">
        <v>552</v>
      </c>
      <c r="B224" s="378">
        <v>2741</v>
      </c>
      <c r="C224" s="377" t="s">
        <v>501</v>
      </c>
      <c r="D224" s="381"/>
      <c r="E224" s="326"/>
      <c r="F224" s="324"/>
      <c r="G224" s="324"/>
      <c r="H224" s="324"/>
      <c r="I224" s="324"/>
      <c r="J224" s="324"/>
      <c r="K224" s="324"/>
      <c r="L224" s="324"/>
      <c r="M224" s="324"/>
      <c r="N224" s="297">
        <f>SUM(G224:M224)</f>
        <v>0</v>
      </c>
      <c r="O224" s="326"/>
      <c r="P224" s="326"/>
      <c r="Q224" s="326"/>
      <c r="R224" s="297">
        <f>SUM(E224+F224+N224+O224+P224+Q224)</f>
        <v>0</v>
      </c>
    </row>
    <row r="225" spans="1:18" ht="19.95" customHeight="1" x14ac:dyDescent="0.25">
      <c r="A225" s="379" t="s">
        <v>407</v>
      </c>
      <c r="B225" s="378">
        <v>2723</v>
      </c>
      <c r="C225" s="377" t="s">
        <v>501</v>
      </c>
      <c r="D225" s="380"/>
      <c r="E225" s="326"/>
      <c r="F225" s="324"/>
      <c r="G225" s="324"/>
      <c r="H225" s="324"/>
      <c r="I225" s="324"/>
      <c r="J225" s="324"/>
      <c r="K225" s="324"/>
      <c r="L225" s="324"/>
      <c r="M225" s="324"/>
      <c r="N225" s="297">
        <f>SUM(G225:M225)</f>
        <v>0</v>
      </c>
      <c r="O225" s="326"/>
      <c r="P225" s="326"/>
      <c r="Q225" s="326"/>
      <c r="R225" s="297">
        <f>SUM(E225+F225+N225+O225+P225+Q225)</f>
        <v>0</v>
      </c>
    </row>
    <row r="226" spans="1:18" ht="19.95" customHeight="1" x14ac:dyDescent="0.25">
      <c r="A226" s="379" t="s">
        <v>289</v>
      </c>
      <c r="B226" s="378">
        <v>2586</v>
      </c>
      <c r="C226" s="377" t="s">
        <v>501</v>
      </c>
      <c r="D226" s="376" t="s">
        <v>93</v>
      </c>
      <c r="E226" s="326"/>
      <c r="F226" s="324"/>
      <c r="G226" s="324"/>
      <c r="H226" s="324"/>
      <c r="I226" s="324"/>
      <c r="J226" s="324"/>
      <c r="K226" s="324"/>
      <c r="L226" s="324"/>
      <c r="M226" s="324"/>
      <c r="N226" s="297">
        <f>SUM(G226:M226)</f>
        <v>0</v>
      </c>
      <c r="O226" s="326"/>
      <c r="P226" s="326"/>
      <c r="Q226" s="326"/>
      <c r="R226" s="297">
        <f>SUM(E226+F226+N226+O226+P226+Q226)</f>
        <v>0</v>
      </c>
    </row>
    <row r="227" spans="1:18" ht="19.95" customHeight="1" x14ac:dyDescent="0.25">
      <c r="A227" s="379" t="s">
        <v>290</v>
      </c>
      <c r="B227" s="378">
        <v>2694</v>
      </c>
      <c r="C227" s="377" t="s">
        <v>501</v>
      </c>
      <c r="D227" s="376" t="s">
        <v>103</v>
      </c>
      <c r="E227" s="326"/>
      <c r="F227" s="324"/>
      <c r="G227" s="324"/>
      <c r="H227" s="324"/>
      <c r="I227" s="324"/>
      <c r="J227" s="324"/>
      <c r="K227" s="324"/>
      <c r="L227" s="324"/>
      <c r="M227" s="324"/>
      <c r="N227" s="297">
        <f>SUM(G227:M227)</f>
        <v>0</v>
      </c>
      <c r="O227" s="326"/>
      <c r="P227" s="326"/>
      <c r="Q227" s="326"/>
      <c r="R227" s="297">
        <f>SUM(E227+F227+N227+O227+P227+Q227)</f>
        <v>0</v>
      </c>
    </row>
    <row r="228" spans="1:18" ht="19.95" customHeight="1" x14ac:dyDescent="0.25">
      <c r="A228" s="379" t="s">
        <v>553</v>
      </c>
      <c r="B228" s="378">
        <v>2709</v>
      </c>
      <c r="C228" s="377" t="s">
        <v>501</v>
      </c>
      <c r="D228" s="376"/>
      <c r="E228" s="326"/>
      <c r="F228" s="324"/>
      <c r="G228" s="324"/>
      <c r="H228" s="324"/>
      <c r="I228" s="324"/>
      <c r="J228" s="324"/>
      <c r="K228" s="324"/>
      <c r="L228" s="324"/>
      <c r="M228" s="324"/>
      <c r="N228" s="297">
        <f>SUM(G228:M228)</f>
        <v>0</v>
      </c>
      <c r="O228" s="326"/>
      <c r="P228" s="326"/>
      <c r="Q228" s="326"/>
      <c r="R228" s="297">
        <f>SUM(E228+F228+N228+O228+P228+Q228)</f>
        <v>0</v>
      </c>
    </row>
    <row r="229" spans="1:18" ht="19.95" customHeight="1" x14ac:dyDescent="0.25">
      <c r="A229" s="379" t="s">
        <v>408</v>
      </c>
      <c r="B229" s="378">
        <v>2746</v>
      </c>
      <c r="C229" s="377" t="s">
        <v>501</v>
      </c>
      <c r="D229" s="380" t="s">
        <v>112</v>
      </c>
      <c r="E229" s="326"/>
      <c r="F229" s="324"/>
      <c r="G229" s="324"/>
      <c r="H229" s="324"/>
      <c r="I229" s="324"/>
      <c r="J229" s="324"/>
      <c r="K229" s="324"/>
      <c r="L229" s="324"/>
      <c r="M229" s="324"/>
      <c r="N229" s="297">
        <f>SUM(G229:M229)</f>
        <v>0</v>
      </c>
      <c r="O229" s="326"/>
      <c r="P229" s="326"/>
      <c r="Q229" s="326"/>
      <c r="R229" s="297">
        <f>SUM(E229+F229+N229+O229+P229+Q229)</f>
        <v>0</v>
      </c>
    </row>
    <row r="230" spans="1:18" ht="19.95" customHeight="1" x14ac:dyDescent="0.25">
      <c r="A230" s="379" t="s">
        <v>596</v>
      </c>
      <c r="B230" s="378">
        <v>2878</v>
      </c>
      <c r="C230" s="377" t="s">
        <v>501</v>
      </c>
      <c r="D230" s="380" t="s">
        <v>103</v>
      </c>
      <c r="E230" s="326"/>
      <c r="F230" s="324"/>
      <c r="G230" s="324"/>
      <c r="H230" s="324"/>
      <c r="I230" s="324"/>
      <c r="J230" s="324"/>
      <c r="K230" s="324"/>
      <c r="L230" s="324"/>
      <c r="M230" s="324"/>
      <c r="N230" s="297">
        <f>SUM(G230:M230)</f>
        <v>0</v>
      </c>
      <c r="O230" s="326"/>
      <c r="P230" s="326"/>
      <c r="Q230" s="326"/>
      <c r="R230" s="297">
        <f>SUM(E230+F230+N230+O230+P230+Q230)</f>
        <v>0</v>
      </c>
    </row>
    <row r="231" spans="1:18" ht="19.95" customHeight="1" x14ac:dyDescent="0.25">
      <c r="A231" s="379" t="s">
        <v>254</v>
      </c>
      <c r="B231" s="378">
        <v>641</v>
      </c>
      <c r="C231" s="377" t="s">
        <v>501</v>
      </c>
      <c r="D231" s="376" t="s">
        <v>250</v>
      </c>
      <c r="E231" s="326"/>
      <c r="F231" s="324"/>
      <c r="G231" s="324"/>
      <c r="H231" s="324"/>
      <c r="I231" s="324"/>
      <c r="J231" s="324"/>
      <c r="K231" s="324"/>
      <c r="L231" s="324"/>
      <c r="M231" s="324"/>
      <c r="N231" s="297">
        <f>SUM(G231:M231)</f>
        <v>0</v>
      </c>
      <c r="O231" s="326"/>
      <c r="P231" s="326"/>
      <c r="Q231" s="326"/>
      <c r="R231" s="297">
        <f>SUM(E231+F231+N231+O231+P231+Q231)</f>
        <v>0</v>
      </c>
    </row>
    <row r="232" spans="1:18" ht="19.95" customHeight="1" x14ac:dyDescent="0.25">
      <c r="A232" s="379" t="s">
        <v>292</v>
      </c>
      <c r="B232" s="378">
        <v>1505</v>
      </c>
      <c r="C232" s="377" t="s">
        <v>501</v>
      </c>
      <c r="D232" s="376" t="s">
        <v>95</v>
      </c>
      <c r="E232" s="326"/>
      <c r="F232" s="324"/>
      <c r="G232" s="324"/>
      <c r="H232" s="324"/>
      <c r="I232" s="324"/>
      <c r="J232" s="324"/>
      <c r="K232" s="324"/>
      <c r="L232" s="324"/>
      <c r="M232" s="324"/>
      <c r="N232" s="297">
        <f>SUM(G232:M232)</f>
        <v>0</v>
      </c>
      <c r="O232" s="326"/>
      <c r="P232" s="326"/>
      <c r="Q232" s="326"/>
      <c r="R232" s="297">
        <f>SUM(E232+F232+N232+O232+P232+Q232)</f>
        <v>0</v>
      </c>
    </row>
    <row r="233" spans="1:18" ht="19.95" customHeight="1" x14ac:dyDescent="0.25">
      <c r="A233" s="379" t="s">
        <v>293</v>
      </c>
      <c r="B233" s="378">
        <v>391</v>
      </c>
      <c r="C233" s="377" t="s">
        <v>501</v>
      </c>
      <c r="D233" s="376" t="s">
        <v>93</v>
      </c>
      <c r="E233" s="326"/>
      <c r="F233" s="324"/>
      <c r="G233" s="324"/>
      <c r="H233" s="324"/>
      <c r="I233" s="324"/>
      <c r="J233" s="324"/>
      <c r="K233" s="324"/>
      <c r="L233" s="324"/>
      <c r="M233" s="324"/>
      <c r="N233" s="297">
        <f>SUM(G233:M233)</f>
        <v>0</v>
      </c>
      <c r="O233" s="326"/>
      <c r="P233" s="326"/>
      <c r="Q233" s="326"/>
      <c r="R233" s="297">
        <f>SUM(E233+F233+N233+O233+P233+Q233)</f>
        <v>0</v>
      </c>
    </row>
    <row r="234" spans="1:18" ht="19.95" customHeight="1" x14ac:dyDescent="0.25">
      <c r="A234" s="379" t="s">
        <v>409</v>
      </c>
      <c r="B234" s="378">
        <v>2810</v>
      </c>
      <c r="C234" s="377" t="s">
        <v>501</v>
      </c>
      <c r="D234" s="381" t="s">
        <v>87</v>
      </c>
      <c r="E234" s="326"/>
      <c r="F234" s="324"/>
      <c r="G234" s="324"/>
      <c r="H234" s="324"/>
      <c r="I234" s="324"/>
      <c r="J234" s="324"/>
      <c r="K234" s="324"/>
      <c r="L234" s="324"/>
      <c r="M234" s="324"/>
      <c r="N234" s="297">
        <f>SUM(G234:M234)</f>
        <v>0</v>
      </c>
      <c r="O234" s="326"/>
      <c r="P234" s="326"/>
      <c r="Q234" s="326"/>
      <c r="R234" s="297">
        <f>SUM(E234+F234+N234+O234+P234+Q234)</f>
        <v>0</v>
      </c>
    </row>
    <row r="235" spans="1:18" ht="19.95" customHeight="1" x14ac:dyDescent="0.25">
      <c r="A235" s="379" t="s">
        <v>295</v>
      </c>
      <c r="B235" s="378">
        <v>2183</v>
      </c>
      <c r="C235" s="377" t="s">
        <v>501</v>
      </c>
      <c r="D235" s="380" t="s">
        <v>95</v>
      </c>
      <c r="E235" s="326"/>
      <c r="F235" s="324"/>
      <c r="G235" s="324"/>
      <c r="H235" s="324"/>
      <c r="I235" s="324"/>
      <c r="J235" s="324"/>
      <c r="K235" s="324"/>
      <c r="L235" s="324"/>
      <c r="M235" s="324"/>
      <c r="N235" s="297">
        <f>SUM(G235:M235)</f>
        <v>0</v>
      </c>
      <c r="O235" s="326"/>
      <c r="P235" s="326"/>
      <c r="Q235" s="326"/>
      <c r="R235" s="297">
        <f>SUM(E235+F235+N235+O235+P235+Q235)</f>
        <v>0</v>
      </c>
    </row>
    <row r="236" spans="1:18" ht="19.95" customHeight="1" x14ac:dyDescent="0.25">
      <c r="A236" s="379" t="s">
        <v>297</v>
      </c>
      <c r="B236" s="378">
        <v>2700</v>
      </c>
      <c r="C236" s="377" t="s">
        <v>501</v>
      </c>
      <c r="D236" s="380"/>
      <c r="E236" s="326"/>
      <c r="F236" s="324"/>
      <c r="G236" s="324"/>
      <c r="H236" s="324"/>
      <c r="I236" s="324"/>
      <c r="J236" s="324"/>
      <c r="K236" s="324"/>
      <c r="L236" s="324"/>
      <c r="M236" s="324"/>
      <c r="N236" s="297">
        <f>SUM(G236:M236)</f>
        <v>0</v>
      </c>
      <c r="O236" s="326"/>
      <c r="P236" s="326"/>
      <c r="Q236" s="326"/>
      <c r="R236" s="297">
        <f>SUM(E236+F236+N236+O236+P236+Q236)</f>
        <v>0</v>
      </c>
    </row>
    <row r="237" spans="1:18" ht="19.95" customHeight="1" x14ac:dyDescent="0.25">
      <c r="A237" s="379" t="s">
        <v>298</v>
      </c>
      <c r="B237" s="378">
        <v>2605</v>
      </c>
      <c r="C237" s="377" t="s">
        <v>501</v>
      </c>
      <c r="D237" s="380" t="s">
        <v>103</v>
      </c>
      <c r="E237" s="326"/>
      <c r="F237" s="324"/>
      <c r="G237" s="324"/>
      <c r="H237" s="324"/>
      <c r="I237" s="324"/>
      <c r="J237" s="324"/>
      <c r="K237" s="324"/>
      <c r="L237" s="324"/>
      <c r="M237" s="324"/>
      <c r="N237" s="297">
        <f>SUM(G237:M237)</f>
        <v>0</v>
      </c>
      <c r="O237" s="326"/>
      <c r="P237" s="326"/>
      <c r="Q237" s="326"/>
      <c r="R237" s="297">
        <f>SUM(E237+F237+N237+O237+P237+Q237)</f>
        <v>0</v>
      </c>
    </row>
    <row r="238" spans="1:18" ht="19.95" customHeight="1" x14ac:dyDescent="0.25">
      <c r="A238" s="379" t="s">
        <v>410</v>
      </c>
      <c r="B238" s="378">
        <v>2692</v>
      </c>
      <c r="C238" s="377" t="s">
        <v>501</v>
      </c>
      <c r="D238" s="380" t="s">
        <v>93</v>
      </c>
      <c r="E238" s="326"/>
      <c r="F238" s="324"/>
      <c r="G238" s="324"/>
      <c r="H238" s="324"/>
      <c r="I238" s="324"/>
      <c r="J238" s="324"/>
      <c r="K238" s="324"/>
      <c r="L238" s="324"/>
      <c r="M238" s="324"/>
      <c r="N238" s="297">
        <f>SUM(G238:M238)</f>
        <v>0</v>
      </c>
      <c r="O238" s="326"/>
      <c r="P238" s="326"/>
      <c r="Q238" s="326"/>
      <c r="R238" s="297">
        <f>SUM(E238+F238+N238+O238+P238+Q238)</f>
        <v>0</v>
      </c>
    </row>
    <row r="239" spans="1:18" ht="19.95" customHeight="1" x14ac:dyDescent="0.25">
      <c r="A239" s="379" t="s">
        <v>554</v>
      </c>
      <c r="B239" s="378">
        <v>2498</v>
      </c>
      <c r="C239" s="377" t="s">
        <v>501</v>
      </c>
      <c r="D239" s="380" t="s">
        <v>95</v>
      </c>
      <c r="E239" s="326"/>
      <c r="F239" s="324"/>
      <c r="G239" s="324"/>
      <c r="H239" s="324"/>
      <c r="I239" s="324"/>
      <c r="J239" s="324"/>
      <c r="K239" s="324"/>
      <c r="L239" s="324"/>
      <c r="M239" s="324"/>
      <c r="N239" s="297">
        <f>SUM(G239:M239)</f>
        <v>0</v>
      </c>
      <c r="O239" s="326"/>
      <c r="P239" s="326"/>
      <c r="Q239" s="326"/>
      <c r="R239" s="297">
        <f>SUM(E239+F239+N239+O239+P239+Q239)</f>
        <v>0</v>
      </c>
    </row>
    <row r="240" spans="1:18" ht="19.95" customHeight="1" x14ac:dyDescent="0.25">
      <c r="A240" s="379" t="s">
        <v>411</v>
      </c>
      <c r="B240" s="378">
        <v>2683</v>
      </c>
      <c r="C240" s="377" t="s">
        <v>501</v>
      </c>
      <c r="D240" s="380"/>
      <c r="E240" s="326"/>
      <c r="F240" s="324"/>
      <c r="G240" s="324"/>
      <c r="H240" s="324"/>
      <c r="I240" s="324"/>
      <c r="J240" s="324"/>
      <c r="K240" s="324"/>
      <c r="L240" s="324"/>
      <c r="M240" s="324"/>
      <c r="N240" s="297">
        <f>SUM(G240:M240)</f>
        <v>0</v>
      </c>
      <c r="O240" s="326"/>
      <c r="P240" s="326"/>
      <c r="Q240" s="326"/>
      <c r="R240" s="297">
        <f>SUM(E240+F240+N240+O240+P240+Q240)</f>
        <v>0</v>
      </c>
    </row>
    <row r="241" spans="1:18" ht="19.95" customHeight="1" x14ac:dyDescent="0.25">
      <c r="A241" s="379" t="s">
        <v>412</v>
      </c>
      <c r="B241" s="378">
        <v>2778</v>
      </c>
      <c r="C241" s="377" t="s">
        <v>501</v>
      </c>
      <c r="D241" s="380" t="s">
        <v>87</v>
      </c>
      <c r="E241" s="326"/>
      <c r="F241" s="324"/>
      <c r="G241" s="324"/>
      <c r="H241" s="324"/>
      <c r="I241" s="324"/>
      <c r="J241" s="324"/>
      <c r="K241" s="324"/>
      <c r="L241" s="324"/>
      <c r="M241" s="324"/>
      <c r="N241" s="297">
        <f>SUM(G241:M241)</f>
        <v>0</v>
      </c>
      <c r="O241" s="326"/>
      <c r="P241" s="326"/>
      <c r="Q241" s="326"/>
      <c r="R241" s="297">
        <f>SUM(E241+F241+N241+O241+P241+Q241)</f>
        <v>0</v>
      </c>
    </row>
    <row r="242" spans="1:18" ht="19.95" customHeight="1" x14ac:dyDescent="0.25">
      <c r="A242" s="379" t="s">
        <v>413</v>
      </c>
      <c r="B242" s="378">
        <v>2594</v>
      </c>
      <c r="C242" s="377" t="s">
        <v>501</v>
      </c>
      <c r="D242" s="376" t="s">
        <v>250</v>
      </c>
      <c r="E242" s="326"/>
      <c r="F242" s="324"/>
      <c r="G242" s="324"/>
      <c r="H242" s="324"/>
      <c r="I242" s="324"/>
      <c r="J242" s="324"/>
      <c r="K242" s="324"/>
      <c r="L242" s="324"/>
      <c r="M242" s="324"/>
      <c r="N242" s="297">
        <f>SUM(G242:M242)</f>
        <v>0</v>
      </c>
      <c r="O242" s="326"/>
      <c r="P242" s="326"/>
      <c r="Q242" s="326"/>
      <c r="R242" s="297">
        <f>SUM(E242+F242+N242+O242+P242+Q242)</f>
        <v>0</v>
      </c>
    </row>
    <row r="243" spans="1:18" ht="19.95" customHeight="1" x14ac:dyDescent="0.25">
      <c r="A243" s="379" t="s">
        <v>414</v>
      </c>
      <c r="B243" s="378">
        <v>2640</v>
      </c>
      <c r="C243" s="377" t="s">
        <v>501</v>
      </c>
      <c r="D243" s="376" t="s">
        <v>87</v>
      </c>
      <c r="E243" s="326"/>
      <c r="F243" s="324"/>
      <c r="G243" s="324"/>
      <c r="H243" s="324"/>
      <c r="I243" s="324"/>
      <c r="J243" s="324"/>
      <c r="K243" s="324"/>
      <c r="L243" s="324"/>
      <c r="M243" s="324"/>
      <c r="N243" s="297">
        <f>SUM(G243:M243)</f>
        <v>0</v>
      </c>
      <c r="O243" s="326"/>
      <c r="P243" s="326"/>
      <c r="Q243" s="326"/>
      <c r="R243" s="297">
        <f>SUM(E243+F243+N243+O243+P243+Q243)</f>
        <v>0</v>
      </c>
    </row>
    <row r="244" spans="1:18" ht="19.95" customHeight="1" x14ac:dyDescent="0.25">
      <c r="A244" s="379" t="s">
        <v>415</v>
      </c>
      <c r="B244" s="378">
        <v>2413</v>
      </c>
      <c r="C244" s="377" t="s">
        <v>501</v>
      </c>
      <c r="D244" s="381" t="s">
        <v>95</v>
      </c>
      <c r="E244" s="326"/>
      <c r="F244" s="324"/>
      <c r="G244" s="324"/>
      <c r="H244" s="324"/>
      <c r="I244" s="324"/>
      <c r="J244" s="324"/>
      <c r="K244" s="324"/>
      <c r="L244" s="324"/>
      <c r="M244" s="324"/>
      <c r="N244" s="297">
        <f>SUM(G244:M244)</f>
        <v>0</v>
      </c>
      <c r="O244" s="326"/>
      <c r="P244" s="326"/>
      <c r="Q244" s="326"/>
      <c r="R244" s="297">
        <f>SUM(E244+F244+N244+O244+P244+Q244)</f>
        <v>0</v>
      </c>
    </row>
    <row r="245" spans="1:18" ht="19.95" customHeight="1" x14ac:dyDescent="0.25">
      <c r="A245" s="379" t="s">
        <v>416</v>
      </c>
      <c r="B245" s="378">
        <v>2596</v>
      </c>
      <c r="C245" s="377" t="s">
        <v>501</v>
      </c>
      <c r="D245" s="376" t="s">
        <v>103</v>
      </c>
      <c r="E245" s="326"/>
      <c r="F245" s="324"/>
      <c r="G245" s="324"/>
      <c r="H245" s="324"/>
      <c r="I245" s="324"/>
      <c r="J245" s="324"/>
      <c r="K245" s="324"/>
      <c r="L245" s="324"/>
      <c r="M245" s="324"/>
      <c r="N245" s="297">
        <f>SUM(G245:M245)</f>
        <v>0</v>
      </c>
      <c r="O245" s="326"/>
      <c r="P245" s="326"/>
      <c r="Q245" s="326"/>
      <c r="R245" s="297">
        <f>SUM(E245+F245+N245+O245+P245+Q245)</f>
        <v>0</v>
      </c>
    </row>
    <row r="246" spans="1:18" ht="19.95" customHeight="1" x14ac:dyDescent="0.25">
      <c r="A246" s="379" t="s">
        <v>417</v>
      </c>
      <c r="B246" s="378">
        <v>1202</v>
      </c>
      <c r="C246" s="377" t="s">
        <v>501</v>
      </c>
      <c r="D246" s="376" t="s">
        <v>95</v>
      </c>
      <c r="E246" s="326"/>
      <c r="F246" s="324"/>
      <c r="G246" s="324"/>
      <c r="H246" s="324"/>
      <c r="I246" s="324"/>
      <c r="J246" s="324"/>
      <c r="K246" s="324"/>
      <c r="L246" s="324"/>
      <c r="M246" s="324"/>
      <c r="N246" s="297">
        <f>SUM(G246:M246)</f>
        <v>0</v>
      </c>
      <c r="O246" s="326"/>
      <c r="P246" s="326"/>
      <c r="Q246" s="326"/>
      <c r="R246" s="297">
        <f>SUM(E246+F246+N246+O246+P246+Q246)</f>
        <v>0</v>
      </c>
    </row>
    <row r="247" spans="1:18" ht="19.95" customHeight="1" x14ac:dyDescent="0.25">
      <c r="A247" s="379" t="s">
        <v>418</v>
      </c>
      <c r="B247" s="378">
        <v>2660</v>
      </c>
      <c r="C247" s="377" t="s">
        <v>501</v>
      </c>
      <c r="D247" s="376" t="s">
        <v>103</v>
      </c>
      <c r="E247" s="326"/>
      <c r="F247" s="324"/>
      <c r="G247" s="324"/>
      <c r="H247" s="324"/>
      <c r="I247" s="324"/>
      <c r="J247" s="324"/>
      <c r="K247" s="324"/>
      <c r="L247" s="324"/>
      <c r="M247" s="324"/>
      <c r="N247" s="297">
        <f>SUM(G247:M247)</f>
        <v>0</v>
      </c>
      <c r="O247" s="326"/>
      <c r="P247" s="326"/>
      <c r="Q247" s="326"/>
      <c r="R247" s="297">
        <f>SUM(E247+F247+N247+O247+P247+Q247)</f>
        <v>0</v>
      </c>
    </row>
    <row r="248" spans="1:18" ht="19.95" customHeight="1" x14ac:dyDescent="0.25">
      <c r="A248" s="379" t="s">
        <v>303</v>
      </c>
      <c r="B248" s="378">
        <v>963</v>
      </c>
      <c r="C248" s="377" t="s">
        <v>501</v>
      </c>
      <c r="D248" s="381"/>
      <c r="E248" s="326"/>
      <c r="F248" s="324"/>
      <c r="G248" s="324"/>
      <c r="H248" s="324"/>
      <c r="I248" s="324"/>
      <c r="J248" s="324"/>
      <c r="K248" s="324"/>
      <c r="L248" s="324"/>
      <c r="M248" s="324"/>
      <c r="N248" s="297">
        <f>SUM(G248:M248)</f>
        <v>0</v>
      </c>
      <c r="O248" s="326"/>
      <c r="P248" s="326"/>
      <c r="Q248" s="326"/>
      <c r="R248" s="297">
        <f>SUM(E248+F248+N248+O248+P248+Q248)</f>
        <v>0</v>
      </c>
    </row>
    <row r="249" spans="1:18" ht="19.95" customHeight="1" x14ac:dyDescent="0.25">
      <c r="A249" s="379" t="s">
        <v>555</v>
      </c>
      <c r="B249" s="378">
        <v>2532</v>
      </c>
      <c r="C249" s="377" t="s">
        <v>501</v>
      </c>
      <c r="D249" s="381" t="s">
        <v>112</v>
      </c>
      <c r="E249" s="326"/>
      <c r="F249" s="324"/>
      <c r="G249" s="324"/>
      <c r="H249" s="324"/>
      <c r="I249" s="324"/>
      <c r="J249" s="324"/>
      <c r="K249" s="324"/>
      <c r="L249" s="324"/>
      <c r="M249" s="324"/>
      <c r="N249" s="297">
        <f>SUM(G249:M249)</f>
        <v>0</v>
      </c>
      <c r="O249" s="326"/>
      <c r="P249" s="326"/>
      <c r="Q249" s="326"/>
      <c r="R249" s="297">
        <f>SUM(E249+F249+N249+O249+P249+Q249)</f>
        <v>0</v>
      </c>
    </row>
    <row r="250" spans="1:18" ht="19.95" customHeight="1" x14ac:dyDescent="0.25">
      <c r="A250" s="379" t="s">
        <v>306</v>
      </c>
      <c r="B250" s="378">
        <v>439</v>
      </c>
      <c r="C250" s="377" t="s">
        <v>501</v>
      </c>
      <c r="D250" s="380"/>
      <c r="E250" s="326"/>
      <c r="F250" s="324"/>
      <c r="G250" s="324"/>
      <c r="H250" s="324"/>
      <c r="I250" s="324"/>
      <c r="J250" s="324"/>
      <c r="K250" s="324"/>
      <c r="L250" s="324"/>
      <c r="M250" s="324"/>
      <c r="N250" s="297">
        <f>SUM(G250:M250)</f>
        <v>0</v>
      </c>
      <c r="O250" s="326"/>
      <c r="P250" s="326"/>
      <c r="Q250" s="326"/>
      <c r="R250" s="297">
        <f>SUM(E250+F250+N250+O250+P250+Q250)</f>
        <v>0</v>
      </c>
    </row>
    <row r="251" spans="1:18" ht="19.95" customHeight="1" x14ac:dyDescent="0.25">
      <c r="A251" s="379" t="s">
        <v>307</v>
      </c>
      <c r="B251" s="378">
        <v>1555</v>
      </c>
      <c r="C251" s="377" t="s">
        <v>501</v>
      </c>
      <c r="D251" s="380"/>
      <c r="E251" s="326"/>
      <c r="F251" s="324"/>
      <c r="G251" s="324"/>
      <c r="H251" s="324"/>
      <c r="I251" s="324"/>
      <c r="J251" s="324"/>
      <c r="K251" s="324"/>
      <c r="L251" s="324"/>
      <c r="M251" s="324"/>
      <c r="N251" s="297">
        <f>SUM(G251:M251)</f>
        <v>0</v>
      </c>
      <c r="O251" s="326"/>
      <c r="P251" s="326"/>
      <c r="Q251" s="326"/>
      <c r="R251" s="297">
        <f>SUM(E251+F251+N251+O251+P251+Q251)</f>
        <v>0</v>
      </c>
    </row>
    <row r="252" spans="1:18" ht="19.95" customHeight="1" x14ac:dyDescent="0.25">
      <c r="A252" s="379" t="s">
        <v>420</v>
      </c>
      <c r="B252" s="378">
        <v>2842</v>
      </c>
      <c r="C252" s="377" t="s">
        <v>501</v>
      </c>
      <c r="D252" s="380" t="s">
        <v>93</v>
      </c>
      <c r="E252" s="326"/>
      <c r="F252" s="324"/>
      <c r="G252" s="324"/>
      <c r="H252" s="324"/>
      <c r="I252" s="324"/>
      <c r="J252" s="324"/>
      <c r="K252" s="324"/>
      <c r="L252" s="324"/>
      <c r="M252" s="324"/>
      <c r="N252" s="297">
        <f>SUM(G252:M252)</f>
        <v>0</v>
      </c>
      <c r="O252" s="326"/>
      <c r="P252" s="326"/>
      <c r="Q252" s="326"/>
      <c r="R252" s="297">
        <f>SUM(E252+F252+N252+O252+P252+Q252)</f>
        <v>0</v>
      </c>
    </row>
    <row r="253" spans="1:18" ht="19.95" customHeight="1" x14ac:dyDescent="0.25">
      <c r="A253" s="379" t="s">
        <v>597</v>
      </c>
      <c r="B253" s="378">
        <v>2847</v>
      </c>
      <c r="C253" s="377" t="s">
        <v>501</v>
      </c>
      <c r="D253" s="376" t="s">
        <v>112</v>
      </c>
      <c r="E253" s="326"/>
      <c r="F253" s="324"/>
      <c r="G253" s="324"/>
      <c r="H253" s="324"/>
      <c r="I253" s="324"/>
      <c r="J253" s="324"/>
      <c r="K253" s="324"/>
      <c r="L253" s="324"/>
      <c r="M253" s="324"/>
      <c r="N253" s="297">
        <f>SUM(G253:M253)</f>
        <v>0</v>
      </c>
      <c r="O253" s="326"/>
      <c r="P253" s="326"/>
      <c r="Q253" s="326"/>
      <c r="R253" s="297">
        <f>SUM(E253+F253+N253+O253+P253+Q253)</f>
        <v>0</v>
      </c>
    </row>
    <row r="254" spans="1:18" ht="19.95" customHeight="1" x14ac:dyDescent="0.25">
      <c r="A254" s="379" t="s">
        <v>422</v>
      </c>
      <c r="B254" s="378">
        <v>1901</v>
      </c>
      <c r="C254" s="377" t="s">
        <v>501</v>
      </c>
      <c r="D254" s="380"/>
      <c r="E254" s="326"/>
      <c r="F254" s="324"/>
      <c r="G254" s="324"/>
      <c r="H254" s="324"/>
      <c r="I254" s="324"/>
      <c r="J254" s="324"/>
      <c r="K254" s="324"/>
      <c r="L254" s="324"/>
      <c r="M254" s="324"/>
      <c r="N254" s="297">
        <f>SUM(G254:M254)</f>
        <v>0</v>
      </c>
      <c r="O254" s="326"/>
      <c r="P254" s="326"/>
      <c r="Q254" s="326"/>
      <c r="R254" s="297">
        <f>SUM(E254+F254+N254+O254+P254+Q254)</f>
        <v>0</v>
      </c>
    </row>
    <row r="255" spans="1:18" ht="19.95" customHeight="1" x14ac:dyDescent="0.25">
      <c r="A255" s="379" t="s">
        <v>556</v>
      </c>
      <c r="B255" s="378">
        <v>2708</v>
      </c>
      <c r="C255" s="377" t="s">
        <v>501</v>
      </c>
      <c r="D255" s="380" t="s">
        <v>93</v>
      </c>
      <c r="E255" s="326"/>
      <c r="F255" s="324"/>
      <c r="G255" s="324"/>
      <c r="H255" s="324"/>
      <c r="I255" s="324"/>
      <c r="J255" s="324"/>
      <c r="K255" s="324"/>
      <c r="L255" s="324"/>
      <c r="M255" s="324"/>
      <c r="N255" s="297">
        <f>SUM(G255:M255)</f>
        <v>0</v>
      </c>
      <c r="O255" s="326"/>
      <c r="P255" s="326"/>
      <c r="Q255" s="326"/>
      <c r="R255" s="297">
        <f>SUM(E255+F255+N255+O255+P255+Q255)</f>
        <v>0</v>
      </c>
    </row>
    <row r="256" spans="1:18" ht="19.95" customHeight="1" x14ac:dyDescent="0.25">
      <c r="A256" s="379" t="s">
        <v>423</v>
      </c>
      <c r="B256" s="378">
        <v>2601</v>
      </c>
      <c r="C256" s="377" t="s">
        <v>501</v>
      </c>
      <c r="D256" s="376" t="s">
        <v>112</v>
      </c>
      <c r="E256" s="326"/>
      <c r="F256" s="324"/>
      <c r="G256" s="324"/>
      <c r="H256" s="324"/>
      <c r="I256" s="324"/>
      <c r="J256" s="324"/>
      <c r="K256" s="324"/>
      <c r="L256" s="324"/>
      <c r="M256" s="324"/>
      <c r="N256" s="297">
        <f>SUM(G256:M256)</f>
        <v>0</v>
      </c>
      <c r="O256" s="326"/>
      <c r="P256" s="326"/>
      <c r="Q256" s="326"/>
      <c r="R256" s="297">
        <f>SUM(E256+F256+N256+O256+P256+Q256)</f>
        <v>0</v>
      </c>
    </row>
    <row r="257" spans="1:18" ht="19.95" customHeight="1" x14ac:dyDescent="0.25">
      <c r="A257" s="379" t="s">
        <v>310</v>
      </c>
      <c r="B257" s="378">
        <v>2490</v>
      </c>
      <c r="C257" s="377" t="s">
        <v>501</v>
      </c>
      <c r="D257" s="381" t="s">
        <v>93</v>
      </c>
      <c r="E257" s="326"/>
      <c r="F257" s="324"/>
      <c r="G257" s="324"/>
      <c r="H257" s="324"/>
      <c r="I257" s="324"/>
      <c r="J257" s="324"/>
      <c r="K257" s="324"/>
      <c r="L257" s="324"/>
      <c r="M257" s="324"/>
      <c r="N257" s="297">
        <f>SUM(G257:M257)</f>
        <v>0</v>
      </c>
      <c r="O257" s="326"/>
      <c r="P257" s="326"/>
      <c r="Q257" s="326"/>
      <c r="R257" s="297">
        <f>SUM(E257+F257+N257+O257+P257+Q257)</f>
        <v>0</v>
      </c>
    </row>
    <row r="258" spans="1:18" ht="19.95" customHeight="1" x14ac:dyDescent="0.25">
      <c r="A258" s="379" t="s">
        <v>311</v>
      </c>
      <c r="B258" s="378">
        <v>1286</v>
      </c>
      <c r="C258" s="377" t="s">
        <v>501</v>
      </c>
      <c r="D258" s="376" t="s">
        <v>103</v>
      </c>
      <c r="E258" s="326"/>
      <c r="F258" s="324"/>
      <c r="G258" s="324"/>
      <c r="H258" s="324"/>
      <c r="I258" s="324"/>
      <c r="J258" s="324"/>
      <c r="K258" s="324"/>
      <c r="L258" s="324"/>
      <c r="M258" s="324"/>
      <c r="N258" s="297">
        <f>SUM(G258:M258)</f>
        <v>0</v>
      </c>
      <c r="O258" s="326"/>
      <c r="P258" s="326"/>
      <c r="Q258" s="326"/>
      <c r="R258" s="297">
        <f>SUM(E258+F258+N258+O258+P258+Q258)</f>
        <v>0</v>
      </c>
    </row>
    <row r="259" spans="1:18" ht="19.95" customHeight="1" x14ac:dyDescent="0.25">
      <c r="A259" s="379" t="s">
        <v>557</v>
      </c>
      <c r="B259" s="378">
        <v>2585</v>
      </c>
      <c r="C259" s="377" t="s">
        <v>501</v>
      </c>
      <c r="D259" s="376" t="s">
        <v>103</v>
      </c>
      <c r="E259" s="326"/>
      <c r="F259" s="324"/>
      <c r="G259" s="324"/>
      <c r="H259" s="324"/>
      <c r="I259" s="324"/>
      <c r="J259" s="324"/>
      <c r="K259" s="324"/>
      <c r="L259" s="324"/>
      <c r="M259" s="324"/>
      <c r="N259" s="297">
        <f>SUM(G259:M259)</f>
        <v>0</v>
      </c>
      <c r="O259" s="326"/>
      <c r="P259" s="326"/>
      <c r="Q259" s="326"/>
      <c r="R259" s="297">
        <f>SUM(E259+F259+N259+O259+P259+Q259)</f>
        <v>0</v>
      </c>
    </row>
    <row r="260" spans="1:18" ht="19.95" customHeight="1" x14ac:dyDescent="0.25">
      <c r="A260" s="379" t="s">
        <v>598</v>
      </c>
      <c r="B260" s="378">
        <v>2860</v>
      </c>
      <c r="C260" s="377" t="s">
        <v>501</v>
      </c>
      <c r="D260" s="376"/>
      <c r="E260" s="326"/>
      <c r="F260" s="324"/>
      <c r="G260" s="324"/>
      <c r="H260" s="324"/>
      <c r="I260" s="324"/>
      <c r="J260" s="324"/>
      <c r="K260" s="324"/>
      <c r="L260" s="324"/>
      <c r="M260" s="324"/>
      <c r="N260" s="297">
        <f>SUM(G260:M260)</f>
        <v>0</v>
      </c>
      <c r="O260" s="326"/>
      <c r="P260" s="326"/>
      <c r="Q260" s="326"/>
      <c r="R260" s="297">
        <f>SUM(E260+F260+N260+O260+P260+Q260)</f>
        <v>0</v>
      </c>
    </row>
    <row r="261" spans="1:18" ht="19.95" customHeight="1" x14ac:dyDescent="0.25">
      <c r="A261" s="379" t="s">
        <v>424</v>
      </c>
      <c r="B261" s="378">
        <v>2174</v>
      </c>
      <c r="C261" s="377" t="s">
        <v>501</v>
      </c>
      <c r="D261" s="376" t="s">
        <v>95</v>
      </c>
      <c r="E261" s="326"/>
      <c r="F261" s="324"/>
      <c r="G261" s="324"/>
      <c r="H261" s="324"/>
      <c r="I261" s="324"/>
      <c r="J261" s="324"/>
      <c r="K261" s="324"/>
      <c r="L261" s="324"/>
      <c r="M261" s="324"/>
      <c r="N261" s="297">
        <f>SUM(G261:M261)</f>
        <v>0</v>
      </c>
      <c r="O261" s="326"/>
      <c r="P261" s="326"/>
      <c r="Q261" s="326"/>
      <c r="R261" s="297">
        <f>SUM(E261+F261+N261+O261+P261+Q261)</f>
        <v>0</v>
      </c>
    </row>
    <row r="262" spans="1:18" ht="19.95" customHeight="1" x14ac:dyDescent="0.25">
      <c r="A262" s="379" t="s">
        <v>425</v>
      </c>
      <c r="B262" s="378">
        <v>1571</v>
      </c>
      <c r="C262" s="377" t="s">
        <v>501</v>
      </c>
      <c r="D262" s="381" t="s">
        <v>91</v>
      </c>
      <c r="E262" s="326"/>
      <c r="F262" s="324"/>
      <c r="G262" s="324"/>
      <c r="H262" s="324"/>
      <c r="I262" s="324"/>
      <c r="J262" s="324"/>
      <c r="K262" s="324"/>
      <c r="L262" s="324"/>
      <c r="M262" s="324"/>
      <c r="N262" s="297">
        <f>SUM(G262:M262)</f>
        <v>0</v>
      </c>
      <c r="O262" s="326"/>
      <c r="P262" s="326"/>
      <c r="Q262" s="326"/>
      <c r="R262" s="297">
        <f>SUM(E262+F262+N262+O262+P262+Q262)</f>
        <v>0</v>
      </c>
    </row>
    <row r="263" spans="1:18" ht="19.95" customHeight="1" x14ac:dyDescent="0.25">
      <c r="A263" s="379" t="s">
        <v>426</v>
      </c>
      <c r="B263" s="378">
        <v>2719</v>
      </c>
      <c r="C263" s="377" t="s">
        <v>501</v>
      </c>
      <c r="D263" s="381" t="s">
        <v>87</v>
      </c>
      <c r="E263" s="326"/>
      <c r="F263" s="324"/>
      <c r="G263" s="324"/>
      <c r="H263" s="324"/>
      <c r="I263" s="324"/>
      <c r="J263" s="324"/>
      <c r="K263" s="324"/>
      <c r="L263" s="324"/>
      <c r="M263" s="324"/>
      <c r="N263" s="297">
        <f>SUM(G263:M263)</f>
        <v>0</v>
      </c>
      <c r="O263" s="326"/>
      <c r="P263" s="326"/>
      <c r="Q263" s="326"/>
      <c r="R263" s="297">
        <f>SUM(E263+F263+N263+O263+P263+Q263)</f>
        <v>0</v>
      </c>
    </row>
    <row r="264" spans="1:18" ht="19.95" customHeight="1" x14ac:dyDescent="0.25">
      <c r="A264" s="379" t="s">
        <v>316</v>
      </c>
      <c r="B264" s="378">
        <v>2305</v>
      </c>
      <c r="C264" s="377" t="s">
        <v>501</v>
      </c>
      <c r="D264" s="376" t="s">
        <v>95</v>
      </c>
      <c r="E264" s="326"/>
      <c r="F264" s="324"/>
      <c r="G264" s="324"/>
      <c r="H264" s="324"/>
      <c r="I264" s="324"/>
      <c r="J264" s="324"/>
      <c r="K264" s="324"/>
      <c r="L264" s="324"/>
      <c r="M264" s="324"/>
      <c r="N264" s="297">
        <f>SUM(G264:M264)</f>
        <v>0</v>
      </c>
      <c r="O264" s="326"/>
      <c r="P264" s="326"/>
      <c r="Q264" s="326"/>
      <c r="R264" s="297">
        <f>SUM(E264+F264+N264+O264+P264+Q264)</f>
        <v>0</v>
      </c>
    </row>
    <row r="265" spans="1:18" ht="19.95" customHeight="1" x14ac:dyDescent="0.25">
      <c r="A265" s="379" t="s">
        <v>427</v>
      </c>
      <c r="B265" s="378">
        <v>2355</v>
      </c>
      <c r="C265" s="377" t="s">
        <v>501</v>
      </c>
      <c r="D265" s="376" t="s">
        <v>95</v>
      </c>
      <c r="E265" s="326"/>
      <c r="F265" s="324"/>
      <c r="G265" s="324"/>
      <c r="H265" s="324"/>
      <c r="I265" s="324"/>
      <c r="J265" s="324"/>
      <c r="K265" s="324"/>
      <c r="L265" s="324"/>
      <c r="M265" s="324"/>
      <c r="N265" s="297">
        <f>SUM(G265:M265)</f>
        <v>0</v>
      </c>
      <c r="O265" s="326"/>
      <c r="P265" s="326"/>
      <c r="Q265" s="326"/>
      <c r="R265" s="297">
        <f>SUM(E265+F265+N265+O265+P265+Q265)</f>
        <v>0</v>
      </c>
    </row>
    <row r="266" spans="1:18" ht="19.95" customHeight="1" x14ac:dyDescent="0.25">
      <c r="A266" s="379" t="s">
        <v>318</v>
      </c>
      <c r="B266" s="378">
        <v>1517</v>
      </c>
      <c r="C266" s="377" t="s">
        <v>501</v>
      </c>
      <c r="D266" s="381"/>
      <c r="E266" s="324"/>
      <c r="F266" s="324"/>
      <c r="G266" s="324"/>
      <c r="H266" s="324"/>
      <c r="I266" s="324"/>
      <c r="J266" s="324"/>
      <c r="K266" s="324"/>
      <c r="L266" s="324"/>
      <c r="M266" s="324"/>
      <c r="N266" s="297">
        <f>SUM(G266:M266)</f>
        <v>0</v>
      </c>
      <c r="O266" s="326"/>
      <c r="P266" s="326"/>
      <c r="Q266" s="326"/>
      <c r="R266" s="297">
        <f>SUM(E266+F266+N266+O266+P266+Q266)</f>
        <v>0</v>
      </c>
    </row>
    <row r="267" spans="1:18" ht="19.95" customHeight="1" x14ac:dyDescent="0.25">
      <c r="A267" s="379" t="s">
        <v>599</v>
      </c>
      <c r="B267" s="378">
        <v>2390</v>
      </c>
      <c r="C267" s="377" t="s">
        <v>501</v>
      </c>
      <c r="D267" s="381" t="s">
        <v>95</v>
      </c>
      <c r="E267" s="324"/>
      <c r="F267" s="324"/>
      <c r="G267" s="324"/>
      <c r="H267" s="324"/>
      <c r="I267" s="324"/>
      <c r="J267" s="324"/>
      <c r="K267" s="324"/>
      <c r="L267" s="324"/>
      <c r="M267" s="324"/>
      <c r="N267" s="297">
        <f>SUM(G267:M267)</f>
        <v>0</v>
      </c>
      <c r="O267" s="326"/>
      <c r="P267" s="326"/>
      <c r="Q267" s="326"/>
      <c r="R267" s="297">
        <f>SUM(E267+F267+N267+O267+P267+Q267)</f>
        <v>0</v>
      </c>
    </row>
    <row r="268" spans="1:18" ht="19.95" customHeight="1" x14ac:dyDescent="0.25">
      <c r="A268" s="379" t="s">
        <v>600</v>
      </c>
      <c r="B268" s="378">
        <v>2872</v>
      </c>
      <c r="C268" s="377" t="s">
        <v>501</v>
      </c>
      <c r="D268" s="381" t="s">
        <v>87</v>
      </c>
      <c r="E268" s="324"/>
      <c r="F268" s="324"/>
      <c r="G268" s="324"/>
      <c r="H268" s="324"/>
      <c r="I268" s="324"/>
      <c r="J268" s="324"/>
      <c r="K268" s="324"/>
      <c r="L268" s="324"/>
      <c r="M268" s="324"/>
      <c r="N268" s="297">
        <f>SUM(G268:M268)</f>
        <v>0</v>
      </c>
      <c r="O268" s="326"/>
      <c r="P268" s="326"/>
      <c r="Q268" s="326"/>
      <c r="R268" s="297">
        <f>SUM(E268+F268+N268+O268+P268+Q268)</f>
        <v>0</v>
      </c>
    </row>
    <row r="269" spans="1:18" ht="19.95" customHeight="1" x14ac:dyDescent="0.25">
      <c r="A269" s="379" t="s">
        <v>428</v>
      </c>
      <c r="B269" s="378">
        <v>2521</v>
      </c>
      <c r="C269" s="377" t="s">
        <v>501</v>
      </c>
      <c r="D269" s="380" t="s">
        <v>112</v>
      </c>
      <c r="E269" s="324"/>
      <c r="F269" s="324"/>
      <c r="G269" s="324"/>
      <c r="H269" s="324"/>
      <c r="I269" s="324"/>
      <c r="J269" s="324"/>
      <c r="K269" s="324"/>
      <c r="L269" s="324"/>
      <c r="M269" s="324"/>
      <c r="N269" s="297">
        <f>SUM(G269:M269)</f>
        <v>0</v>
      </c>
      <c r="O269" s="326"/>
      <c r="P269" s="326"/>
      <c r="Q269" s="326"/>
      <c r="R269" s="297">
        <f>SUM(E269+F269+N269+O269+P269+Q269)</f>
        <v>0</v>
      </c>
    </row>
    <row r="270" spans="1:18" ht="19.95" customHeight="1" x14ac:dyDescent="0.25">
      <c r="A270" s="379" t="s">
        <v>601</v>
      </c>
      <c r="B270" s="378">
        <v>1925</v>
      </c>
      <c r="C270" s="377" t="s">
        <v>501</v>
      </c>
      <c r="D270" s="381"/>
      <c r="E270" s="324"/>
      <c r="F270" s="324"/>
      <c r="G270" s="324"/>
      <c r="H270" s="324"/>
      <c r="I270" s="324"/>
      <c r="J270" s="324"/>
      <c r="K270" s="324"/>
      <c r="L270" s="324"/>
      <c r="M270" s="324"/>
      <c r="N270" s="297">
        <f>SUM(G270:M270)</f>
        <v>0</v>
      </c>
      <c r="O270" s="326"/>
      <c r="P270" s="326"/>
      <c r="Q270" s="326"/>
      <c r="R270" s="297">
        <f>SUM(E270+F270+N270+O270+P270+Q270)</f>
        <v>0</v>
      </c>
    </row>
    <row r="271" spans="1:18" ht="19.95" customHeight="1" x14ac:dyDescent="0.25">
      <c r="A271" s="379" t="s">
        <v>430</v>
      </c>
      <c r="B271" s="378">
        <v>1726</v>
      </c>
      <c r="C271" s="377" t="s">
        <v>501</v>
      </c>
      <c r="D271" s="376" t="s">
        <v>95</v>
      </c>
      <c r="E271" s="324"/>
      <c r="F271" s="324"/>
      <c r="G271" s="324"/>
      <c r="H271" s="324"/>
      <c r="I271" s="324"/>
      <c r="J271" s="324"/>
      <c r="K271" s="324"/>
      <c r="L271" s="324"/>
      <c r="M271" s="324"/>
      <c r="N271" s="297">
        <f>SUM(G271:M271)</f>
        <v>0</v>
      </c>
      <c r="O271" s="326"/>
      <c r="P271" s="326"/>
      <c r="Q271" s="326"/>
      <c r="R271" s="297">
        <f>SUM(E271+F271+N271+O271+P271+Q271)</f>
        <v>0</v>
      </c>
    </row>
    <row r="272" spans="1:18" ht="19.95" customHeight="1" x14ac:dyDescent="0.25">
      <c r="A272" s="379" t="s">
        <v>478</v>
      </c>
      <c r="B272" s="378">
        <v>1081</v>
      </c>
      <c r="C272" s="377" t="s">
        <v>501</v>
      </c>
      <c r="D272" s="376"/>
      <c r="E272" s="326"/>
      <c r="F272" s="324"/>
      <c r="G272" s="324"/>
      <c r="H272" s="324"/>
      <c r="I272" s="324"/>
      <c r="J272" s="324"/>
      <c r="K272" s="324"/>
      <c r="L272" s="324"/>
      <c r="M272" s="324"/>
      <c r="N272" s="297">
        <f>SUM(G272:M272)</f>
        <v>0</v>
      </c>
      <c r="O272" s="326"/>
      <c r="P272" s="326"/>
      <c r="Q272" s="326"/>
      <c r="R272" s="297">
        <f>SUM(E272+F272+N272+O272+P272+Q272)</f>
        <v>0</v>
      </c>
    </row>
    <row r="273" spans="1:18" ht="19.95" customHeight="1" x14ac:dyDescent="0.25">
      <c r="A273" s="379" t="s">
        <v>431</v>
      </c>
      <c r="B273" s="378">
        <v>1158</v>
      </c>
      <c r="C273" s="377" t="s">
        <v>501</v>
      </c>
      <c r="D273" s="376" t="s">
        <v>91</v>
      </c>
      <c r="E273" s="326"/>
      <c r="F273" s="324"/>
      <c r="G273" s="324"/>
      <c r="H273" s="324"/>
      <c r="I273" s="324"/>
      <c r="J273" s="324"/>
      <c r="K273" s="324"/>
      <c r="L273" s="324"/>
      <c r="M273" s="324"/>
      <c r="N273" s="297">
        <f>SUM(G273:M273)</f>
        <v>0</v>
      </c>
      <c r="O273" s="326"/>
      <c r="P273" s="326"/>
      <c r="Q273" s="326"/>
      <c r="R273" s="297">
        <f>SUM(E273+F273+N273+O273+P273+Q273)</f>
        <v>0</v>
      </c>
    </row>
    <row r="274" spans="1:18" ht="19.95" customHeight="1" x14ac:dyDescent="0.25">
      <c r="A274" s="379" t="s">
        <v>432</v>
      </c>
      <c r="B274" s="378">
        <v>978</v>
      </c>
      <c r="C274" s="377" t="s">
        <v>501</v>
      </c>
      <c r="D274" s="376"/>
      <c r="E274" s="326"/>
      <c r="F274" s="324"/>
      <c r="G274" s="324"/>
      <c r="H274" s="324"/>
      <c r="I274" s="324"/>
      <c r="J274" s="324"/>
      <c r="K274" s="324"/>
      <c r="L274" s="324"/>
      <c r="M274" s="324"/>
      <c r="N274" s="297">
        <f>SUM(G274:M274)</f>
        <v>0</v>
      </c>
      <c r="O274" s="326"/>
      <c r="P274" s="326"/>
      <c r="Q274" s="326"/>
      <c r="R274" s="297">
        <f>SUM(E274+F274+N274+O274+P274+Q274)</f>
        <v>0</v>
      </c>
    </row>
    <row r="275" spans="1:18" ht="19.95" customHeight="1" x14ac:dyDescent="0.25">
      <c r="A275" s="379" t="s">
        <v>433</v>
      </c>
      <c r="B275" s="378">
        <v>325</v>
      </c>
      <c r="C275" s="377" t="s">
        <v>501</v>
      </c>
      <c r="D275" s="376"/>
      <c r="E275" s="326"/>
      <c r="F275" s="324"/>
      <c r="G275" s="324"/>
      <c r="H275" s="324"/>
      <c r="I275" s="324"/>
      <c r="J275" s="324"/>
      <c r="K275" s="324"/>
      <c r="L275" s="324"/>
      <c r="M275" s="324"/>
      <c r="N275" s="297">
        <f>SUM(G275:M275)</f>
        <v>0</v>
      </c>
      <c r="O275" s="326"/>
      <c r="P275" s="326"/>
      <c r="Q275" s="326"/>
      <c r="R275" s="297">
        <f>SUM(E275+F275+N275+O275+P275+Q275)</f>
        <v>0</v>
      </c>
    </row>
    <row r="276" spans="1:18" ht="19.95" customHeight="1" x14ac:dyDescent="0.25">
      <c r="A276" s="379" t="s">
        <v>434</v>
      </c>
      <c r="B276" s="378">
        <v>1421</v>
      </c>
      <c r="C276" s="377" t="s">
        <v>501</v>
      </c>
      <c r="D276" s="381" t="s">
        <v>352</v>
      </c>
      <c r="E276" s="326"/>
      <c r="F276" s="324"/>
      <c r="G276" s="324"/>
      <c r="H276" s="324"/>
      <c r="I276" s="324"/>
      <c r="J276" s="324"/>
      <c r="K276" s="324"/>
      <c r="L276" s="324"/>
      <c r="M276" s="324"/>
      <c r="N276" s="297">
        <f>SUM(G276:M276)</f>
        <v>0</v>
      </c>
      <c r="O276" s="326"/>
      <c r="P276" s="326"/>
      <c r="Q276" s="326"/>
      <c r="R276" s="297">
        <f>SUM(E276+F276+N276+O276+P276+Q276)</f>
        <v>0</v>
      </c>
    </row>
    <row r="277" spans="1:18" ht="19.95" customHeight="1" x14ac:dyDescent="0.25">
      <c r="A277" s="379" t="s">
        <v>559</v>
      </c>
      <c r="B277" s="378">
        <v>1897</v>
      </c>
      <c r="C277" s="377" t="s">
        <v>501</v>
      </c>
      <c r="D277" s="381"/>
      <c r="E277" s="326"/>
      <c r="F277" s="324"/>
      <c r="G277" s="324"/>
      <c r="H277" s="324"/>
      <c r="I277" s="324"/>
      <c r="J277" s="324"/>
      <c r="K277" s="324"/>
      <c r="L277" s="324"/>
      <c r="M277" s="324"/>
      <c r="N277" s="297">
        <f>SUM(G277:M277)</f>
        <v>0</v>
      </c>
      <c r="O277" s="326"/>
      <c r="P277" s="326"/>
      <c r="Q277" s="326"/>
      <c r="R277" s="297">
        <f>SUM(E277+F277+N277+O277+P277+Q277)</f>
        <v>0</v>
      </c>
    </row>
    <row r="278" spans="1:18" ht="19.95" customHeight="1" x14ac:dyDescent="0.25">
      <c r="A278" s="379" t="s">
        <v>560</v>
      </c>
      <c r="B278" s="378">
        <v>1843</v>
      </c>
      <c r="C278" s="377" t="s">
        <v>501</v>
      </c>
      <c r="D278" s="381" t="s">
        <v>112</v>
      </c>
      <c r="E278" s="326"/>
      <c r="F278" s="324"/>
      <c r="G278" s="324"/>
      <c r="H278" s="324"/>
      <c r="I278" s="324"/>
      <c r="J278" s="324"/>
      <c r="K278" s="324"/>
      <c r="L278" s="324"/>
      <c r="M278" s="324"/>
      <c r="N278" s="297">
        <f>SUM(G278:M278)</f>
        <v>0</v>
      </c>
      <c r="O278" s="326"/>
      <c r="P278" s="326"/>
      <c r="Q278" s="326"/>
      <c r="R278" s="297">
        <f>SUM(E278+F278+N278+O278+P278+Q278)</f>
        <v>0</v>
      </c>
    </row>
    <row r="279" spans="1:18" ht="19.95" customHeight="1" x14ac:dyDescent="0.25">
      <c r="A279" s="379" t="s">
        <v>561</v>
      </c>
      <c r="B279" s="378">
        <v>2835</v>
      </c>
      <c r="C279" s="377" t="s">
        <v>501</v>
      </c>
      <c r="D279" s="381" t="s">
        <v>93</v>
      </c>
      <c r="E279" s="326"/>
      <c r="F279" s="324"/>
      <c r="G279" s="324"/>
      <c r="H279" s="324"/>
      <c r="I279" s="324"/>
      <c r="J279" s="324"/>
      <c r="K279" s="324"/>
      <c r="L279" s="324"/>
      <c r="M279" s="324"/>
      <c r="N279" s="297">
        <f>SUM(G279:M279)</f>
        <v>0</v>
      </c>
      <c r="O279" s="326"/>
      <c r="P279" s="326"/>
      <c r="Q279" s="326"/>
      <c r="R279" s="297">
        <f>SUM(E279+F279+N279+O279+P279+Q279)</f>
        <v>0</v>
      </c>
    </row>
    <row r="280" spans="1:18" ht="19.95" customHeight="1" x14ac:dyDescent="0.25">
      <c r="A280" s="379" t="s">
        <v>325</v>
      </c>
      <c r="B280" s="378">
        <v>2177</v>
      </c>
      <c r="C280" s="377" t="s">
        <v>501</v>
      </c>
      <c r="D280" s="376" t="s">
        <v>95</v>
      </c>
      <c r="E280" s="326"/>
      <c r="F280" s="324"/>
      <c r="G280" s="324"/>
      <c r="H280" s="324"/>
      <c r="I280" s="324"/>
      <c r="J280" s="324"/>
      <c r="K280" s="324"/>
      <c r="L280" s="324"/>
      <c r="M280" s="324"/>
      <c r="N280" s="297">
        <f>SUM(G280:M280)</f>
        <v>0</v>
      </c>
      <c r="O280" s="326"/>
      <c r="P280" s="326"/>
      <c r="Q280" s="326"/>
      <c r="R280" s="297">
        <f>SUM(E280+F280+N280+O280+P280+Q280)</f>
        <v>0</v>
      </c>
    </row>
    <row r="281" spans="1:18" ht="19.95" customHeight="1" x14ac:dyDescent="0.25">
      <c r="A281" s="379" t="s">
        <v>209</v>
      </c>
      <c r="B281" s="378">
        <v>2518</v>
      </c>
      <c r="C281" s="377" t="s">
        <v>501</v>
      </c>
      <c r="D281" s="380" t="s">
        <v>91</v>
      </c>
      <c r="E281" s="326"/>
      <c r="F281" s="324"/>
      <c r="G281" s="324"/>
      <c r="H281" s="324"/>
      <c r="I281" s="324"/>
      <c r="J281" s="324"/>
      <c r="K281" s="324"/>
      <c r="L281" s="324"/>
      <c r="M281" s="324"/>
      <c r="N281" s="297">
        <f>SUM(G281:M281)</f>
        <v>0</v>
      </c>
      <c r="O281" s="326"/>
      <c r="P281" s="326"/>
      <c r="Q281" s="326"/>
      <c r="R281" s="297">
        <f>SUM(E281+F281+N281+O281+P281+Q281)</f>
        <v>0</v>
      </c>
    </row>
    <row r="282" spans="1:18" ht="19.95" customHeight="1" x14ac:dyDescent="0.25">
      <c r="A282" s="379" t="s">
        <v>562</v>
      </c>
      <c r="B282" s="378">
        <v>2090</v>
      </c>
      <c r="C282" s="377" t="s">
        <v>501</v>
      </c>
      <c r="D282" s="380" t="s">
        <v>103</v>
      </c>
      <c r="E282" s="326"/>
      <c r="F282" s="324"/>
      <c r="G282" s="324"/>
      <c r="H282" s="324"/>
      <c r="I282" s="324"/>
      <c r="J282" s="324"/>
      <c r="K282" s="324"/>
      <c r="L282" s="324"/>
      <c r="M282" s="324"/>
      <c r="N282" s="297">
        <f>SUM(G282:M282)</f>
        <v>0</v>
      </c>
      <c r="O282" s="326"/>
      <c r="P282" s="326"/>
      <c r="Q282" s="326"/>
      <c r="R282" s="297">
        <f>SUM(E282+F282+N282+O282+P282+Q282)</f>
        <v>0</v>
      </c>
    </row>
    <row r="283" spans="1:18" ht="19.95" customHeight="1" x14ac:dyDescent="0.25">
      <c r="A283" s="379" t="s">
        <v>326</v>
      </c>
      <c r="B283" s="378">
        <v>2534</v>
      </c>
      <c r="C283" s="377" t="s">
        <v>501</v>
      </c>
      <c r="D283" s="376" t="s">
        <v>87</v>
      </c>
      <c r="E283" s="326"/>
      <c r="F283" s="324"/>
      <c r="G283" s="324"/>
      <c r="H283" s="324"/>
      <c r="I283" s="324"/>
      <c r="J283" s="324"/>
      <c r="K283" s="324"/>
      <c r="L283" s="324"/>
      <c r="M283" s="324"/>
      <c r="N283" s="297">
        <f>SUM(G283:M283)</f>
        <v>0</v>
      </c>
      <c r="O283" s="326"/>
      <c r="P283" s="326"/>
      <c r="Q283" s="326"/>
      <c r="R283" s="297">
        <f>SUM(E283+F283+N283+O283+P283+Q283)</f>
        <v>0</v>
      </c>
    </row>
    <row r="284" spans="1:18" ht="19.95" customHeight="1" x14ac:dyDescent="0.25">
      <c r="A284" s="379" t="s">
        <v>435</v>
      </c>
      <c r="B284" s="378">
        <v>2832</v>
      </c>
      <c r="C284" s="377" t="s">
        <v>501</v>
      </c>
      <c r="D284" s="381" t="s">
        <v>95</v>
      </c>
      <c r="E284" s="326"/>
      <c r="F284" s="324"/>
      <c r="G284" s="324"/>
      <c r="H284" s="324"/>
      <c r="I284" s="324"/>
      <c r="J284" s="324"/>
      <c r="K284" s="324"/>
      <c r="L284" s="324"/>
      <c r="M284" s="324"/>
      <c r="N284" s="297">
        <f>SUM(G284:M284)</f>
        <v>0</v>
      </c>
      <c r="O284" s="326"/>
      <c r="P284" s="326"/>
      <c r="Q284" s="326"/>
      <c r="R284" s="297">
        <f>SUM(E284+F284+N284+O284+P284+Q284)</f>
        <v>0</v>
      </c>
    </row>
    <row r="285" spans="1:18" ht="19.95" customHeight="1" x14ac:dyDescent="0.25">
      <c r="A285" s="379" t="s">
        <v>563</v>
      </c>
      <c r="B285" s="378">
        <v>2873</v>
      </c>
      <c r="C285" s="377" t="s">
        <v>501</v>
      </c>
      <c r="D285" s="381" t="s">
        <v>103</v>
      </c>
      <c r="E285" s="326"/>
      <c r="F285" s="324"/>
      <c r="G285" s="324"/>
      <c r="H285" s="324"/>
      <c r="I285" s="324"/>
      <c r="J285" s="324"/>
      <c r="K285" s="324"/>
      <c r="L285" s="324"/>
      <c r="M285" s="324"/>
      <c r="N285" s="297">
        <f>SUM(G285:M285)</f>
        <v>0</v>
      </c>
      <c r="O285" s="326"/>
      <c r="P285" s="326"/>
      <c r="Q285" s="326"/>
      <c r="R285" s="297">
        <f>SUM(E285+F285+N285+O285+P285+Q285)</f>
        <v>0</v>
      </c>
    </row>
    <row r="286" spans="1:18" ht="19.95" customHeight="1" x14ac:dyDescent="0.25">
      <c r="A286" s="379" t="s">
        <v>327</v>
      </c>
      <c r="B286" s="378">
        <v>2717</v>
      </c>
      <c r="C286" s="377" t="s">
        <v>501</v>
      </c>
      <c r="D286" s="381" t="s">
        <v>112</v>
      </c>
      <c r="E286" s="326"/>
      <c r="F286" s="324"/>
      <c r="G286" s="324"/>
      <c r="H286" s="324"/>
      <c r="I286" s="324"/>
      <c r="J286" s="324"/>
      <c r="K286" s="324"/>
      <c r="L286" s="324"/>
      <c r="M286" s="324"/>
      <c r="N286" s="297">
        <f>SUM(G286:M286)</f>
        <v>0</v>
      </c>
      <c r="O286" s="326"/>
      <c r="P286" s="326"/>
      <c r="Q286" s="326"/>
      <c r="R286" s="297">
        <f>SUM(E286+F286+N286+O286+P286+Q286)</f>
        <v>0</v>
      </c>
    </row>
    <row r="287" spans="1:18" ht="19.95" customHeight="1" x14ac:dyDescent="0.25">
      <c r="A287" s="379" t="s">
        <v>328</v>
      </c>
      <c r="B287" s="378">
        <v>1714</v>
      </c>
      <c r="C287" s="377" t="s">
        <v>501</v>
      </c>
      <c r="D287" s="376" t="s">
        <v>112</v>
      </c>
      <c r="E287" s="326"/>
      <c r="F287" s="324"/>
      <c r="G287" s="324"/>
      <c r="H287" s="324"/>
      <c r="I287" s="324"/>
      <c r="J287" s="324"/>
      <c r="K287" s="324"/>
      <c r="L287" s="324"/>
      <c r="M287" s="324"/>
      <c r="N287" s="297">
        <f>SUM(G287:M287)</f>
        <v>0</v>
      </c>
      <c r="O287" s="326"/>
      <c r="P287" s="326"/>
      <c r="Q287" s="326"/>
      <c r="R287" s="297">
        <f>SUM(E287+F287+N287+O287+P287+Q287)</f>
        <v>0</v>
      </c>
    </row>
    <row r="288" spans="1:18" ht="19.95" customHeight="1" x14ac:dyDescent="0.25">
      <c r="A288" s="379" t="s">
        <v>436</v>
      </c>
      <c r="B288" s="378">
        <v>2732</v>
      </c>
      <c r="C288" s="377" t="s">
        <v>501</v>
      </c>
      <c r="D288" s="376"/>
      <c r="E288" s="326"/>
      <c r="F288" s="324"/>
      <c r="G288" s="324"/>
      <c r="H288" s="324"/>
      <c r="I288" s="324"/>
      <c r="J288" s="324"/>
      <c r="K288" s="324"/>
      <c r="L288" s="324"/>
      <c r="M288" s="324"/>
      <c r="N288" s="297">
        <f>SUM(G288:M288)</f>
        <v>0</v>
      </c>
      <c r="O288" s="326"/>
      <c r="P288" s="326"/>
      <c r="Q288" s="326"/>
      <c r="R288" s="297">
        <f>SUM(E288+F288+N288+O288+P288+Q288)</f>
        <v>0</v>
      </c>
    </row>
    <row r="289" spans="1:18" ht="19.95" customHeight="1" x14ac:dyDescent="0.25">
      <c r="A289" s="379" t="s">
        <v>564</v>
      </c>
      <c r="B289" s="378">
        <v>2273</v>
      </c>
      <c r="C289" s="377" t="s">
        <v>501</v>
      </c>
      <c r="D289" s="376"/>
      <c r="E289" s="326"/>
      <c r="F289" s="324"/>
      <c r="G289" s="324"/>
      <c r="H289" s="324"/>
      <c r="I289" s="324"/>
      <c r="J289" s="324"/>
      <c r="K289" s="324"/>
      <c r="L289" s="324"/>
      <c r="M289" s="324"/>
      <c r="N289" s="297">
        <f>SUM(G289:M289)</f>
        <v>0</v>
      </c>
      <c r="O289" s="326"/>
      <c r="P289" s="326"/>
      <c r="Q289" s="326"/>
      <c r="R289" s="297">
        <f>SUM(E289+F289+N289+O289+P289+Q289)</f>
        <v>0</v>
      </c>
    </row>
    <row r="290" spans="1:18" ht="19.95" customHeight="1" x14ac:dyDescent="0.25">
      <c r="A290" s="379" t="s">
        <v>437</v>
      </c>
      <c r="B290" s="378">
        <v>2786</v>
      </c>
      <c r="C290" s="377" t="s">
        <v>501</v>
      </c>
      <c r="D290" s="376" t="s">
        <v>87</v>
      </c>
      <c r="E290" s="326"/>
      <c r="F290" s="324"/>
      <c r="G290" s="324"/>
      <c r="H290" s="324"/>
      <c r="I290" s="324"/>
      <c r="J290" s="324"/>
      <c r="K290" s="324"/>
      <c r="L290" s="324"/>
      <c r="M290" s="324"/>
      <c r="N290" s="297">
        <f>SUM(G290:M290)</f>
        <v>0</v>
      </c>
      <c r="O290" s="326"/>
      <c r="P290" s="326"/>
      <c r="Q290" s="326"/>
      <c r="R290" s="297">
        <f>SUM(E290+F290+N290+O290+P290+Q290)</f>
        <v>0</v>
      </c>
    </row>
    <row r="291" spans="1:18" ht="19.95" customHeight="1" x14ac:dyDescent="0.25">
      <c r="A291" s="379" t="s">
        <v>438</v>
      </c>
      <c r="B291" s="378">
        <v>2259</v>
      </c>
      <c r="C291" s="377" t="s">
        <v>501</v>
      </c>
      <c r="D291" s="376" t="s">
        <v>103</v>
      </c>
      <c r="E291" s="326"/>
      <c r="F291" s="324"/>
      <c r="G291" s="324"/>
      <c r="H291" s="324"/>
      <c r="I291" s="324"/>
      <c r="J291" s="324"/>
      <c r="K291" s="324"/>
      <c r="L291" s="324"/>
      <c r="M291" s="324"/>
      <c r="N291" s="297">
        <f>SUM(G291:M291)</f>
        <v>0</v>
      </c>
      <c r="O291" s="326"/>
      <c r="P291" s="326"/>
      <c r="Q291" s="326"/>
      <c r="R291" s="297">
        <f>SUM(E291+F291+N291+O291+P291+Q291)</f>
        <v>0</v>
      </c>
    </row>
    <row r="292" spans="1:18" ht="19.95" customHeight="1" x14ac:dyDescent="0.25">
      <c r="A292" s="379" t="s">
        <v>439</v>
      </c>
      <c r="B292" s="378">
        <v>1238</v>
      </c>
      <c r="C292" s="377" t="s">
        <v>501</v>
      </c>
      <c r="D292" s="376" t="s">
        <v>95</v>
      </c>
      <c r="E292" s="326"/>
      <c r="F292" s="324"/>
      <c r="G292" s="324"/>
      <c r="H292" s="324"/>
      <c r="I292" s="324"/>
      <c r="J292" s="324"/>
      <c r="K292" s="324"/>
      <c r="L292" s="324"/>
      <c r="M292" s="324"/>
      <c r="N292" s="297">
        <f>SUM(G292:M292)</f>
        <v>0</v>
      </c>
      <c r="O292" s="326"/>
      <c r="P292" s="326"/>
      <c r="Q292" s="326"/>
      <c r="R292" s="297">
        <f>SUM(E292+F292+N292+O292+P292+Q292)</f>
        <v>0</v>
      </c>
    </row>
    <row r="293" spans="1:18" ht="19.95" customHeight="1" x14ac:dyDescent="0.25">
      <c r="A293" s="379" t="s">
        <v>440</v>
      </c>
      <c r="B293" s="378">
        <v>2469</v>
      </c>
      <c r="C293" s="377" t="s">
        <v>501</v>
      </c>
      <c r="D293" s="380" t="s">
        <v>95</v>
      </c>
      <c r="E293" s="326"/>
      <c r="F293" s="324"/>
      <c r="G293" s="324"/>
      <c r="H293" s="324"/>
      <c r="I293" s="324"/>
      <c r="J293" s="324"/>
      <c r="K293" s="324"/>
      <c r="L293" s="324"/>
      <c r="M293" s="324"/>
      <c r="N293" s="297">
        <f>SUM(G293:M293)</f>
        <v>0</v>
      </c>
      <c r="O293" s="326"/>
      <c r="P293" s="326"/>
      <c r="Q293" s="326"/>
      <c r="R293" s="297">
        <f>SUM(E293+F293+N293+O293+P293+Q293)</f>
        <v>0</v>
      </c>
    </row>
    <row r="294" spans="1:18" ht="19.95" customHeight="1" x14ac:dyDescent="0.25">
      <c r="A294" s="379" t="s">
        <v>441</v>
      </c>
      <c r="B294" s="378">
        <v>2011</v>
      </c>
      <c r="C294" s="377" t="s">
        <v>501</v>
      </c>
      <c r="D294" s="376"/>
      <c r="E294" s="326"/>
      <c r="F294" s="324"/>
      <c r="G294" s="324"/>
      <c r="H294" s="324"/>
      <c r="I294" s="324"/>
      <c r="J294" s="324"/>
      <c r="K294" s="324"/>
      <c r="L294" s="324"/>
      <c r="M294" s="324"/>
      <c r="N294" s="297">
        <f>SUM(G294:M294)</f>
        <v>0</v>
      </c>
      <c r="O294" s="326"/>
      <c r="P294" s="326"/>
      <c r="Q294" s="326"/>
      <c r="R294" s="297">
        <f>SUM(E294+F294+N294+O294+P294+Q294)</f>
        <v>0</v>
      </c>
    </row>
    <row r="295" spans="1:18" ht="19.95" customHeight="1" x14ac:dyDescent="0.25">
      <c r="A295" s="379" t="s">
        <v>442</v>
      </c>
      <c r="B295" s="378">
        <v>2593</v>
      </c>
      <c r="C295" s="377" t="s">
        <v>501</v>
      </c>
      <c r="D295" s="381" t="s">
        <v>95</v>
      </c>
      <c r="E295" s="326"/>
      <c r="F295" s="324"/>
      <c r="G295" s="324"/>
      <c r="H295" s="324"/>
      <c r="I295" s="324"/>
      <c r="J295" s="324"/>
      <c r="K295" s="324"/>
      <c r="L295" s="324"/>
      <c r="M295" s="324"/>
      <c r="N295" s="297">
        <f>SUM(G295:M295)</f>
        <v>0</v>
      </c>
      <c r="O295" s="326"/>
      <c r="P295" s="326"/>
      <c r="Q295" s="326"/>
      <c r="R295" s="297">
        <f>SUM(E295+F295+N295+O295+P295+Q295)</f>
        <v>0</v>
      </c>
    </row>
    <row r="296" spans="1:18" ht="19.95" customHeight="1" x14ac:dyDescent="0.25">
      <c r="A296" s="379" t="s">
        <v>443</v>
      </c>
      <c r="B296" s="378">
        <v>2597</v>
      </c>
      <c r="C296" s="377" t="s">
        <v>501</v>
      </c>
      <c r="D296" s="376" t="s">
        <v>112</v>
      </c>
      <c r="E296" s="326"/>
      <c r="F296" s="324"/>
      <c r="G296" s="324"/>
      <c r="H296" s="324"/>
      <c r="I296" s="324"/>
      <c r="J296" s="324"/>
      <c r="K296" s="324"/>
      <c r="L296" s="324"/>
      <c r="M296" s="324"/>
      <c r="N296" s="297">
        <f>SUM(G296:M296)</f>
        <v>0</v>
      </c>
      <c r="O296" s="326"/>
      <c r="P296" s="326"/>
      <c r="Q296" s="326"/>
      <c r="R296" s="297">
        <f>SUM(E296+F296+N296+O296+P296+Q296)</f>
        <v>0</v>
      </c>
    </row>
    <row r="297" spans="1:18" ht="19.95" customHeight="1" x14ac:dyDescent="0.25">
      <c r="A297" s="379" t="s">
        <v>581</v>
      </c>
      <c r="B297" s="378">
        <v>2597</v>
      </c>
      <c r="C297" s="377" t="s">
        <v>501</v>
      </c>
      <c r="D297" s="376" t="s">
        <v>95</v>
      </c>
      <c r="E297" s="326"/>
      <c r="F297" s="324"/>
      <c r="G297" s="324"/>
      <c r="H297" s="324"/>
      <c r="I297" s="324"/>
      <c r="J297" s="324"/>
      <c r="K297" s="324"/>
      <c r="L297" s="324"/>
      <c r="M297" s="324"/>
      <c r="N297" s="297">
        <f>SUM(G297:M297)</f>
        <v>0</v>
      </c>
      <c r="O297" s="326"/>
      <c r="P297" s="326"/>
      <c r="Q297" s="326"/>
      <c r="R297" s="297">
        <f>SUM(E297+F297+N297+O297+P297+Q297)</f>
        <v>0</v>
      </c>
    </row>
    <row r="298" spans="1:18" ht="19.95" customHeight="1" x14ac:dyDescent="0.25">
      <c r="A298" s="379" t="s">
        <v>334</v>
      </c>
      <c r="B298" s="378">
        <v>2606</v>
      </c>
      <c r="C298" s="377" t="s">
        <v>501</v>
      </c>
      <c r="D298" s="376" t="s">
        <v>93</v>
      </c>
      <c r="E298" s="326"/>
      <c r="F298" s="324"/>
      <c r="G298" s="324"/>
      <c r="H298" s="324"/>
      <c r="I298" s="324"/>
      <c r="J298" s="324"/>
      <c r="K298" s="324"/>
      <c r="L298" s="324"/>
      <c r="M298" s="324"/>
      <c r="N298" s="297">
        <f>SUM(G298:M298)</f>
        <v>0</v>
      </c>
      <c r="O298" s="326"/>
      <c r="P298" s="326"/>
      <c r="Q298" s="326"/>
      <c r="R298" s="297">
        <f>SUM(E298+F298+N298+O298+P298+Q298)</f>
        <v>0</v>
      </c>
    </row>
    <row r="299" spans="1:18" ht="19.95" customHeight="1" x14ac:dyDescent="0.25">
      <c r="A299" s="379" t="s">
        <v>335</v>
      </c>
      <c r="B299" s="378">
        <v>1908</v>
      </c>
      <c r="C299" s="377" t="s">
        <v>501</v>
      </c>
      <c r="D299" s="381" t="s">
        <v>87</v>
      </c>
      <c r="E299" s="326"/>
      <c r="F299" s="324"/>
      <c r="G299" s="324"/>
      <c r="H299" s="324"/>
      <c r="I299" s="324"/>
      <c r="J299" s="324"/>
      <c r="K299" s="324"/>
      <c r="L299" s="324"/>
      <c r="M299" s="324"/>
      <c r="N299" s="297">
        <f>SUM(G299:M299)</f>
        <v>0</v>
      </c>
      <c r="O299" s="326"/>
      <c r="P299" s="326"/>
      <c r="Q299" s="326"/>
      <c r="R299" s="297">
        <f>SUM(E299+F299+N299+O299+P299+Q299)</f>
        <v>0</v>
      </c>
    </row>
    <row r="300" spans="1:18" ht="19.95" customHeight="1" x14ac:dyDescent="0.25">
      <c r="A300" s="379" t="s">
        <v>336</v>
      </c>
      <c r="B300" s="378">
        <v>2032</v>
      </c>
      <c r="C300" s="377" t="s">
        <v>501</v>
      </c>
      <c r="D300" s="376" t="s">
        <v>103</v>
      </c>
      <c r="E300" s="326"/>
      <c r="F300" s="324"/>
      <c r="G300" s="324"/>
      <c r="H300" s="324"/>
      <c r="I300" s="324"/>
      <c r="J300" s="324"/>
      <c r="K300" s="324"/>
      <c r="L300" s="324"/>
      <c r="M300" s="324"/>
      <c r="N300" s="297">
        <f>SUM(G300:M300)</f>
        <v>0</v>
      </c>
      <c r="O300" s="326"/>
      <c r="P300" s="326"/>
      <c r="Q300" s="326"/>
      <c r="R300" s="297">
        <f>SUM(E300+F300+N300+O300+P300+Q300)</f>
        <v>0</v>
      </c>
    </row>
    <row r="301" spans="1:18" ht="19.95" customHeight="1" x14ac:dyDescent="0.25">
      <c r="A301" s="379" t="s">
        <v>444</v>
      </c>
      <c r="B301" s="378">
        <v>2744</v>
      </c>
      <c r="C301" s="377" t="s">
        <v>501</v>
      </c>
      <c r="D301" s="380" t="s">
        <v>352</v>
      </c>
      <c r="E301" s="326"/>
      <c r="F301" s="324"/>
      <c r="G301" s="324"/>
      <c r="H301" s="324"/>
      <c r="I301" s="324"/>
      <c r="J301" s="324"/>
      <c r="K301" s="324"/>
      <c r="L301" s="324"/>
      <c r="M301" s="324"/>
      <c r="N301" s="297">
        <f>SUM(G301:M301)</f>
        <v>0</v>
      </c>
      <c r="O301" s="326"/>
      <c r="P301" s="326"/>
      <c r="Q301" s="326"/>
      <c r="R301" s="297">
        <f>SUM(E301+F301+N301+O301+P301+Q301)</f>
        <v>0</v>
      </c>
    </row>
    <row r="302" spans="1:18" ht="19.95" customHeight="1" x14ac:dyDescent="0.25">
      <c r="A302" s="379" t="s">
        <v>445</v>
      </c>
      <c r="B302" s="378">
        <v>2169</v>
      </c>
      <c r="C302" s="377" t="s">
        <v>501</v>
      </c>
      <c r="D302" s="376" t="s">
        <v>95</v>
      </c>
      <c r="E302" s="326"/>
      <c r="F302" s="324"/>
      <c r="G302" s="324"/>
      <c r="H302" s="324"/>
      <c r="I302" s="324"/>
      <c r="J302" s="324"/>
      <c r="K302" s="324"/>
      <c r="L302" s="324"/>
      <c r="M302" s="324"/>
      <c r="N302" s="297">
        <f>SUM(G302:M302)</f>
        <v>0</v>
      </c>
      <c r="O302" s="326"/>
      <c r="P302" s="326"/>
      <c r="Q302" s="326"/>
      <c r="R302" s="297">
        <f>SUM(E302+F302+N302+O302+P302+Q302)</f>
        <v>0</v>
      </c>
    </row>
    <row r="303" spans="1:18" ht="19.95" customHeight="1" x14ac:dyDescent="0.25">
      <c r="A303" s="379" t="s">
        <v>446</v>
      </c>
      <c r="B303" s="378">
        <v>2421</v>
      </c>
      <c r="C303" s="377" t="s">
        <v>501</v>
      </c>
      <c r="D303" s="376" t="s">
        <v>91</v>
      </c>
      <c r="E303" s="326"/>
      <c r="F303" s="324"/>
      <c r="G303" s="324"/>
      <c r="H303" s="324"/>
      <c r="I303" s="324"/>
      <c r="J303" s="324"/>
      <c r="K303" s="324"/>
      <c r="L303" s="324"/>
      <c r="M303" s="324"/>
      <c r="N303" s="297">
        <f>SUM(G303:M303)</f>
        <v>0</v>
      </c>
      <c r="O303" s="326"/>
      <c r="P303" s="326"/>
      <c r="Q303" s="326"/>
      <c r="R303" s="297">
        <f>SUM(E303+F303+N303+O303+P303+Q303)</f>
        <v>0</v>
      </c>
    </row>
    <row r="304" spans="1:18" ht="19.95" customHeight="1" x14ac:dyDescent="0.25">
      <c r="A304" s="379" t="s">
        <v>339</v>
      </c>
      <c r="B304" s="378">
        <v>2406</v>
      </c>
      <c r="C304" s="377" t="s">
        <v>501</v>
      </c>
      <c r="D304" s="381" t="s">
        <v>93</v>
      </c>
      <c r="E304" s="326"/>
      <c r="F304" s="324"/>
      <c r="G304" s="324"/>
      <c r="H304" s="324"/>
      <c r="I304" s="324"/>
      <c r="J304" s="324"/>
      <c r="K304" s="324"/>
      <c r="L304" s="324"/>
      <c r="M304" s="324"/>
      <c r="N304" s="297">
        <f>SUM(G304:M304)</f>
        <v>0</v>
      </c>
      <c r="O304" s="326"/>
      <c r="P304" s="326"/>
      <c r="Q304" s="326"/>
      <c r="R304" s="297">
        <f>SUM(E304+F304+N304+O304+P304+Q304)</f>
        <v>0</v>
      </c>
    </row>
    <row r="305" spans="1:18" ht="19.95" customHeight="1" x14ac:dyDescent="0.25">
      <c r="A305" s="379" t="s">
        <v>565</v>
      </c>
      <c r="B305" s="378">
        <v>2875</v>
      </c>
      <c r="C305" s="377" t="s">
        <v>501</v>
      </c>
      <c r="D305" s="381" t="s">
        <v>112</v>
      </c>
      <c r="E305" s="326"/>
      <c r="F305" s="324"/>
      <c r="G305" s="324"/>
      <c r="H305" s="324"/>
      <c r="I305" s="324"/>
      <c r="J305" s="324"/>
      <c r="K305" s="324"/>
      <c r="L305" s="324"/>
      <c r="M305" s="324"/>
      <c r="N305" s="297">
        <f>SUM(G305:M305)</f>
        <v>0</v>
      </c>
      <c r="O305" s="326"/>
      <c r="P305" s="326"/>
      <c r="Q305" s="326"/>
      <c r="R305" s="297">
        <f>SUM(E305+F305+N305+O305+P305+Q305)</f>
        <v>0</v>
      </c>
    </row>
    <row r="306" spans="1:18" ht="19.95" customHeight="1" x14ac:dyDescent="0.25">
      <c r="A306" s="379" t="s">
        <v>340</v>
      </c>
      <c r="B306" s="378">
        <v>2033</v>
      </c>
      <c r="C306" s="377" t="s">
        <v>501</v>
      </c>
      <c r="D306" s="376" t="s">
        <v>112</v>
      </c>
      <c r="E306" s="326"/>
      <c r="F306" s="324"/>
      <c r="G306" s="324"/>
      <c r="H306" s="324"/>
      <c r="I306" s="324"/>
      <c r="J306" s="324"/>
      <c r="K306" s="324"/>
      <c r="L306" s="324"/>
      <c r="M306" s="324"/>
      <c r="N306" s="297">
        <f>SUM(G306:M306)</f>
        <v>0</v>
      </c>
      <c r="O306" s="326"/>
      <c r="P306" s="326"/>
      <c r="Q306" s="326"/>
      <c r="R306" s="297">
        <f>SUM(E306+F306+N306+O306+P306+Q306)</f>
        <v>0</v>
      </c>
    </row>
    <row r="307" spans="1:18" ht="19.95" customHeight="1" x14ac:dyDescent="0.25">
      <c r="A307" s="379" t="s">
        <v>566</v>
      </c>
      <c r="B307" s="378">
        <v>2649</v>
      </c>
      <c r="C307" s="377" t="s">
        <v>501</v>
      </c>
      <c r="D307" s="376"/>
      <c r="E307" s="326"/>
      <c r="F307" s="324"/>
      <c r="G307" s="324"/>
      <c r="H307" s="324"/>
      <c r="I307" s="324"/>
      <c r="J307" s="324"/>
      <c r="K307" s="324"/>
      <c r="L307" s="324"/>
      <c r="M307" s="324"/>
      <c r="N307" s="297">
        <f>SUM(G307:M307)</f>
        <v>0</v>
      </c>
      <c r="O307" s="326"/>
      <c r="P307" s="326"/>
      <c r="Q307" s="326"/>
      <c r="R307" s="297">
        <f>SUM(E307+F307+N307+O307+P307+Q307)</f>
        <v>0</v>
      </c>
    </row>
    <row r="308" spans="1:18" ht="19.95" customHeight="1" x14ac:dyDescent="0.25">
      <c r="A308" s="379" t="s">
        <v>341</v>
      </c>
      <c r="B308" s="378">
        <v>2187</v>
      </c>
      <c r="C308" s="377" t="s">
        <v>501</v>
      </c>
      <c r="D308" s="381" t="s">
        <v>93</v>
      </c>
      <c r="E308" s="326"/>
      <c r="F308" s="324"/>
      <c r="G308" s="324"/>
      <c r="H308" s="324"/>
      <c r="I308" s="324"/>
      <c r="J308" s="324"/>
      <c r="K308" s="324"/>
      <c r="L308" s="324"/>
      <c r="M308" s="324"/>
      <c r="N308" s="297">
        <f>SUM(G308:M308)</f>
        <v>0</v>
      </c>
      <c r="O308" s="326"/>
      <c r="P308" s="326"/>
      <c r="Q308" s="326"/>
      <c r="R308" s="297">
        <f>SUM(E308+F308+N308+O308+P308+Q308)</f>
        <v>0</v>
      </c>
    </row>
    <row r="309" spans="1:18" ht="19.95" customHeight="1" x14ac:dyDescent="0.25">
      <c r="A309" s="379" t="s">
        <v>447</v>
      </c>
      <c r="B309" s="378">
        <v>2326</v>
      </c>
      <c r="C309" s="377" t="s">
        <v>501</v>
      </c>
      <c r="D309" s="376"/>
      <c r="E309" s="326"/>
      <c r="F309" s="324"/>
      <c r="G309" s="324"/>
      <c r="H309" s="324"/>
      <c r="I309" s="324"/>
      <c r="J309" s="324"/>
      <c r="K309" s="324"/>
      <c r="L309" s="324"/>
      <c r="M309" s="324"/>
      <c r="N309" s="297">
        <f>SUM(G309:M309)</f>
        <v>0</v>
      </c>
      <c r="O309" s="326"/>
      <c r="P309" s="326"/>
      <c r="Q309" s="326"/>
      <c r="R309" s="297">
        <f>SUM(E309+F309+N309+O309+P309+Q309)</f>
        <v>0</v>
      </c>
    </row>
    <row r="310" spans="1:18" ht="19.95" customHeight="1" x14ac:dyDescent="0.25">
      <c r="A310" s="379" t="s">
        <v>342</v>
      </c>
      <c r="B310" s="378">
        <v>2811</v>
      </c>
      <c r="C310" s="377" t="s">
        <v>501</v>
      </c>
      <c r="D310" s="380" t="s">
        <v>87</v>
      </c>
      <c r="E310" s="324"/>
      <c r="F310" s="324"/>
      <c r="G310" s="324"/>
      <c r="H310" s="324"/>
      <c r="I310" s="324"/>
      <c r="J310" s="324"/>
      <c r="K310" s="324"/>
      <c r="L310" s="324"/>
      <c r="M310" s="324"/>
      <c r="N310" s="297">
        <f>SUM(G310:M310)</f>
        <v>0</v>
      </c>
      <c r="O310" s="326"/>
      <c r="P310" s="326"/>
      <c r="Q310" s="326"/>
      <c r="R310" s="297">
        <f>SUM(E310+F310+N310+O310+P310+Q310)</f>
        <v>0</v>
      </c>
    </row>
    <row r="311" spans="1:18" ht="19.95" customHeight="1" x14ac:dyDescent="0.25">
      <c r="A311" s="379" t="s">
        <v>448</v>
      </c>
      <c r="B311" s="378">
        <v>2627</v>
      </c>
      <c r="C311" s="377" t="s">
        <v>501</v>
      </c>
      <c r="D311" s="381"/>
      <c r="E311" s="326"/>
      <c r="F311" s="324"/>
      <c r="G311" s="324"/>
      <c r="H311" s="324"/>
      <c r="I311" s="324"/>
      <c r="J311" s="324"/>
      <c r="K311" s="324"/>
      <c r="L311" s="324"/>
      <c r="M311" s="324"/>
      <c r="N311" s="297">
        <f>SUM(G311:M311)</f>
        <v>0</v>
      </c>
      <c r="O311" s="326"/>
      <c r="P311" s="326"/>
      <c r="Q311" s="326"/>
      <c r="R311" s="297">
        <f>SUM(E311+F311+N311+O311+P311+Q311)</f>
        <v>0</v>
      </c>
    </row>
    <row r="312" spans="1:18" ht="19.95" customHeight="1" x14ac:dyDescent="0.25">
      <c r="A312" s="379" t="s">
        <v>567</v>
      </c>
      <c r="B312" s="378">
        <v>2419</v>
      </c>
      <c r="C312" s="377" t="s">
        <v>501</v>
      </c>
      <c r="D312" s="381"/>
      <c r="E312" s="326"/>
      <c r="F312" s="324"/>
      <c r="G312" s="324"/>
      <c r="H312" s="324"/>
      <c r="I312" s="324"/>
      <c r="J312" s="324"/>
      <c r="K312" s="324"/>
      <c r="L312" s="324"/>
      <c r="M312" s="324"/>
      <c r="N312" s="297">
        <f>SUM(G312:M312)</f>
        <v>0</v>
      </c>
      <c r="O312" s="326"/>
      <c r="P312" s="326"/>
      <c r="Q312" s="326"/>
      <c r="R312" s="297">
        <f>SUM(E312+F312+N312+O312+P312+Q312)</f>
        <v>0</v>
      </c>
    </row>
    <row r="313" spans="1:18" ht="19.95" customHeight="1" x14ac:dyDescent="0.25">
      <c r="A313" s="379" t="s">
        <v>345</v>
      </c>
      <c r="B313" s="378">
        <v>2768</v>
      </c>
      <c r="C313" s="377" t="s">
        <v>501</v>
      </c>
      <c r="D313" s="376" t="s">
        <v>87</v>
      </c>
      <c r="E313" s="326"/>
      <c r="F313" s="324"/>
      <c r="G313" s="324"/>
      <c r="H313" s="324"/>
      <c r="I313" s="324"/>
      <c r="J313" s="324"/>
      <c r="K313" s="324"/>
      <c r="L313" s="324"/>
      <c r="M313" s="324"/>
      <c r="N313" s="297">
        <f>SUM(G313:M313)</f>
        <v>0</v>
      </c>
      <c r="O313" s="326"/>
      <c r="P313" s="326"/>
      <c r="Q313" s="326"/>
      <c r="R313" s="297">
        <f>SUM(E313+F313+N313+O313+P313+Q313)</f>
        <v>0</v>
      </c>
    </row>
    <row r="314" spans="1:18" ht="19.95" customHeight="1" x14ac:dyDescent="0.25">
      <c r="A314" s="379" t="s">
        <v>567</v>
      </c>
      <c r="B314" s="378">
        <v>2419</v>
      </c>
      <c r="C314" s="377" t="s">
        <v>501</v>
      </c>
      <c r="D314" s="376"/>
      <c r="E314" s="326"/>
      <c r="F314" s="324"/>
      <c r="G314" s="324"/>
      <c r="H314" s="324"/>
      <c r="I314" s="324"/>
      <c r="J314" s="324"/>
      <c r="K314" s="324"/>
      <c r="L314" s="324"/>
      <c r="M314" s="324"/>
      <c r="N314" s="297">
        <f>SUM(G314:M314)</f>
        <v>0</v>
      </c>
      <c r="O314" s="326"/>
      <c r="P314" s="326"/>
      <c r="Q314" s="326"/>
      <c r="R314" s="297">
        <f>SUM(E314+F314+N314+O314+P314+Q314)</f>
        <v>0</v>
      </c>
    </row>
    <row r="315" spans="1:18" ht="19.95" customHeight="1" x14ac:dyDescent="0.25">
      <c r="A315" s="379" t="s">
        <v>346</v>
      </c>
      <c r="B315" s="378">
        <v>2570</v>
      </c>
      <c r="C315" s="377" t="s">
        <v>501</v>
      </c>
      <c r="D315" s="376" t="s">
        <v>95</v>
      </c>
      <c r="E315" s="326"/>
      <c r="F315" s="324"/>
      <c r="G315" s="324"/>
      <c r="H315" s="324"/>
      <c r="I315" s="324"/>
      <c r="J315" s="324"/>
      <c r="K315" s="324"/>
      <c r="L315" s="324"/>
      <c r="M315" s="324"/>
      <c r="N315" s="297">
        <f>SUM(G315:M315)</f>
        <v>0</v>
      </c>
      <c r="O315" s="326"/>
      <c r="P315" s="326"/>
      <c r="Q315" s="326"/>
      <c r="R315" s="297">
        <f>SUM(E315+F315+N315+O315+P315+Q315)</f>
        <v>0</v>
      </c>
    </row>
    <row r="316" spans="1:18" ht="19.95" customHeight="1" x14ac:dyDescent="0.25">
      <c r="A316" s="379" t="s">
        <v>347</v>
      </c>
      <c r="B316" s="378">
        <v>1983</v>
      </c>
      <c r="C316" s="377" t="s">
        <v>501</v>
      </c>
      <c r="D316" s="380" t="s">
        <v>103</v>
      </c>
      <c r="E316" s="326"/>
      <c r="F316" s="324"/>
      <c r="G316" s="324"/>
      <c r="H316" s="324"/>
      <c r="I316" s="324"/>
      <c r="J316" s="324"/>
      <c r="K316" s="324"/>
      <c r="L316" s="324"/>
      <c r="M316" s="324"/>
      <c r="N316" s="297">
        <f>SUM(G316:M316)</f>
        <v>0</v>
      </c>
      <c r="O316" s="326"/>
      <c r="P316" s="326"/>
      <c r="Q316" s="326"/>
      <c r="R316" s="297">
        <f>SUM(E316+F316+N316+O316+P316+Q316)</f>
        <v>0</v>
      </c>
    </row>
    <row r="317" spans="1:18" ht="19.95" customHeight="1" x14ac:dyDescent="0.25">
      <c r="A317" s="379" t="s">
        <v>348</v>
      </c>
      <c r="B317" s="378">
        <v>2712</v>
      </c>
      <c r="C317" s="377" t="s">
        <v>501</v>
      </c>
      <c r="D317" s="376" t="s">
        <v>112</v>
      </c>
      <c r="E317" s="326"/>
      <c r="F317" s="324"/>
      <c r="G317" s="324"/>
      <c r="H317" s="324"/>
      <c r="I317" s="324"/>
      <c r="J317" s="324"/>
      <c r="K317" s="324"/>
      <c r="L317" s="324"/>
      <c r="M317" s="324"/>
      <c r="N317" s="297">
        <f>SUM(G317:M317)</f>
        <v>0</v>
      </c>
      <c r="O317" s="326"/>
      <c r="P317" s="326"/>
      <c r="Q317" s="326"/>
      <c r="R317" s="297">
        <f>SUM(E317+F317+N317+O317+P317+Q317)</f>
        <v>0</v>
      </c>
    </row>
    <row r="318" spans="1:18" ht="19.95" customHeight="1" x14ac:dyDescent="0.25">
      <c r="A318" s="379" t="s">
        <v>449</v>
      </c>
      <c r="B318" s="378">
        <v>1902</v>
      </c>
      <c r="C318" s="377" t="s">
        <v>501</v>
      </c>
      <c r="D318" s="376"/>
      <c r="E318" s="324"/>
      <c r="F318" s="324"/>
      <c r="G318" s="324"/>
      <c r="H318" s="324"/>
      <c r="I318" s="324"/>
      <c r="J318" s="324"/>
      <c r="K318" s="324"/>
      <c r="L318" s="324"/>
      <c r="M318" s="324"/>
      <c r="N318" s="297">
        <f>SUM(G318:M318)</f>
        <v>0</v>
      </c>
      <c r="O318" s="326"/>
      <c r="P318" s="326"/>
      <c r="Q318" s="326"/>
      <c r="R318" s="297">
        <f>SUM(E318+F318+N318+O318+P318+Q318)</f>
        <v>0</v>
      </c>
    </row>
    <row r="319" spans="1:18" ht="19.95" customHeight="1" x14ac:dyDescent="0.25">
      <c r="A319" s="379" t="s">
        <v>568</v>
      </c>
      <c r="B319" s="378">
        <v>2857</v>
      </c>
      <c r="C319" s="377" t="s">
        <v>501</v>
      </c>
      <c r="D319" s="376" t="s">
        <v>112</v>
      </c>
      <c r="E319" s="324"/>
      <c r="F319" s="324"/>
      <c r="G319" s="324"/>
      <c r="H319" s="324"/>
      <c r="I319" s="324"/>
      <c r="J319" s="324"/>
      <c r="K319" s="324"/>
      <c r="L319" s="324"/>
      <c r="M319" s="324"/>
      <c r="N319" s="297">
        <f>SUM(G319:M319)</f>
        <v>0</v>
      </c>
      <c r="O319" s="326"/>
      <c r="P319" s="326"/>
      <c r="Q319" s="326"/>
      <c r="R319" s="297">
        <f>SUM(E319+F319+N319+O319+P319+Q319)</f>
        <v>0</v>
      </c>
    </row>
    <row r="320" spans="1:18" ht="19.95" customHeight="1" x14ac:dyDescent="0.25">
      <c r="A320" s="379" t="s">
        <v>450</v>
      </c>
      <c r="B320" s="378">
        <v>2294</v>
      </c>
      <c r="C320" s="377" t="s">
        <v>501</v>
      </c>
      <c r="D320" s="376" t="s">
        <v>112</v>
      </c>
      <c r="E320" s="316"/>
      <c r="F320" s="316"/>
      <c r="G320" s="316"/>
      <c r="H320" s="316"/>
      <c r="I320" s="316"/>
      <c r="J320" s="316"/>
      <c r="K320" s="316"/>
      <c r="L320" s="316"/>
      <c r="M320" s="316"/>
      <c r="N320" s="297">
        <f>SUM(G320:M320)</f>
        <v>0</v>
      </c>
      <c r="O320" s="327"/>
      <c r="P320" s="327"/>
      <c r="Q320" s="327"/>
      <c r="R320" s="297">
        <f>SUM(E320+F320+N320+O320+P320+Q320)</f>
        <v>0</v>
      </c>
    </row>
    <row r="321" spans="1:18" ht="19.95" customHeight="1" x14ac:dyDescent="0.25">
      <c r="A321" s="379" t="s">
        <v>451</v>
      </c>
      <c r="B321" s="378">
        <v>2783</v>
      </c>
      <c r="C321" s="377" t="s">
        <v>501</v>
      </c>
      <c r="D321" s="376" t="s">
        <v>112</v>
      </c>
      <c r="E321" s="316"/>
      <c r="F321" s="316"/>
      <c r="G321" s="316"/>
      <c r="H321" s="316"/>
      <c r="I321" s="316"/>
      <c r="J321" s="316"/>
      <c r="K321" s="316"/>
      <c r="L321" s="316"/>
      <c r="M321" s="316"/>
      <c r="N321" s="297">
        <f>SUM(G321:M321)</f>
        <v>0</v>
      </c>
      <c r="O321" s="327"/>
      <c r="P321" s="327"/>
      <c r="Q321" s="327"/>
      <c r="R321" s="297">
        <f>SUM(E321+F321+N321+O321+P321+Q321)</f>
        <v>0</v>
      </c>
    </row>
    <row r="322" spans="1:18" ht="19.95" customHeight="1" x14ac:dyDescent="0.25">
      <c r="A322" s="375" t="s">
        <v>85</v>
      </c>
      <c r="B322" s="225"/>
      <c r="C322" s="374"/>
      <c r="D322" s="374"/>
      <c r="E322" s="328">
        <f>SUM(E184:E321)</f>
        <v>0</v>
      </c>
      <c r="F322" s="328">
        <f>SUM(F184:F321)</f>
        <v>0</v>
      </c>
      <c r="G322" s="328"/>
      <c r="H322" s="328"/>
      <c r="I322" s="328"/>
      <c r="J322" s="328"/>
      <c r="K322" s="328"/>
      <c r="L322" s="328"/>
      <c r="M322" s="328"/>
      <c r="N322" s="328">
        <f>SUM(N184:N321)</f>
        <v>0</v>
      </c>
      <c r="O322" s="328">
        <f>SUM(O184:O321)</f>
        <v>0</v>
      </c>
      <c r="P322" s="328">
        <f>SUM(P184:P321)</f>
        <v>0</v>
      </c>
      <c r="Q322" s="328">
        <f>SUM(Q184:Q321)</f>
        <v>0</v>
      </c>
      <c r="R322" s="328">
        <f>SUM(R184:R321)</f>
        <v>0</v>
      </c>
    </row>
    <row r="323" spans="1:18" ht="42" customHeight="1" x14ac:dyDescent="0.25">
      <c r="A323" s="373" t="s">
        <v>62</v>
      </c>
      <c r="B323" s="372"/>
      <c r="C323" s="372"/>
      <c r="D323" s="372"/>
      <c r="E323" s="331">
        <f>E77+E183+E322</f>
        <v>954971.3400000002</v>
      </c>
      <c r="F323" s="331">
        <f>F77+F183+F322</f>
        <v>22761.06</v>
      </c>
      <c r="G323" s="331">
        <f>G77+G183+G322</f>
        <v>0</v>
      </c>
      <c r="H323" s="331">
        <f>H77+H183+H322</f>
        <v>0</v>
      </c>
      <c r="I323" s="331">
        <f>I77+I183+I322</f>
        <v>92333.040000000008</v>
      </c>
      <c r="J323" s="331">
        <f>J77+J183+J322</f>
        <v>0</v>
      </c>
      <c r="K323" s="331">
        <f>K77+K183+K322</f>
        <v>0</v>
      </c>
      <c r="L323" s="331">
        <f>L77+L183+L322</f>
        <v>0</v>
      </c>
      <c r="M323" s="331">
        <f>M77+M183+M322</f>
        <v>0</v>
      </c>
      <c r="N323" s="371">
        <f>N77+N183+N322</f>
        <v>242949.16000000003</v>
      </c>
      <c r="O323" s="331">
        <f>O77+O183+O322</f>
        <v>66962.299999999988</v>
      </c>
      <c r="P323" s="331">
        <f>P77+P183+P322</f>
        <v>145000</v>
      </c>
      <c r="Q323" s="331">
        <f>Q77+Q183+Q322</f>
        <v>305000.01</v>
      </c>
      <c r="R323" s="333">
        <f>E323+F323+N323+O323+P323+Q323</f>
        <v>1737643.8700000003</v>
      </c>
    </row>
    <row r="324" spans="1:18" ht="15" customHeight="1" x14ac:dyDescent="0.25">
      <c r="R324" s="370">
        <f>(R323-L323)+L322</f>
        <v>1737643.8700000003</v>
      </c>
    </row>
  </sheetData>
  <autoFilter ref="A2:R324" xr:uid="{613F25F0-B4F9-4433-906A-4EA9B25785AE}"/>
  <pageMargins left="0.7" right="0.7" top="0.75" bottom="0.75" header="0.3" footer="0.3"/>
  <pageSetup paperSize="9" scale="14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BA41-A1A9-4032-AB43-42B7C8849DFF}">
  <dimension ref="A1:A11"/>
  <sheetViews>
    <sheetView workbookViewId="0">
      <selection activeCell="A8" sqref="A8"/>
    </sheetView>
  </sheetViews>
  <sheetFormatPr defaultColWidth="8.88671875" defaultRowHeight="13.8" x14ac:dyDescent="0.25"/>
  <cols>
    <col min="1" max="1" width="18.44140625" style="142" customWidth="1"/>
    <col min="2" max="16384" width="8.88671875" style="142"/>
  </cols>
  <sheetData>
    <row r="1" spans="1:1" x14ac:dyDescent="0.25">
      <c r="A1" s="142" t="s">
        <v>110</v>
      </c>
    </row>
    <row r="2" spans="1:1" x14ac:dyDescent="0.25">
      <c r="A2" s="142" t="s">
        <v>103</v>
      </c>
    </row>
    <row r="3" spans="1:1" x14ac:dyDescent="0.25">
      <c r="A3" s="142" t="s">
        <v>112</v>
      </c>
    </row>
    <row r="4" spans="1:1" x14ac:dyDescent="0.25">
      <c r="A4" s="142" t="s">
        <v>352</v>
      </c>
    </row>
    <row r="5" spans="1:1" x14ac:dyDescent="0.25">
      <c r="A5" s="142" t="s">
        <v>105</v>
      </c>
    </row>
    <row r="6" spans="1:1" x14ac:dyDescent="0.25">
      <c r="A6" s="142" t="s">
        <v>93</v>
      </c>
    </row>
    <row r="7" spans="1:1" x14ac:dyDescent="0.25">
      <c r="A7" s="142" t="s">
        <v>87</v>
      </c>
    </row>
    <row r="8" spans="1:1" x14ac:dyDescent="0.25">
      <c r="A8" s="142" t="s">
        <v>95</v>
      </c>
    </row>
    <row r="9" spans="1:1" x14ac:dyDescent="0.25">
      <c r="A9" s="142" t="s">
        <v>351</v>
      </c>
    </row>
    <row r="10" spans="1:1" x14ac:dyDescent="0.25">
      <c r="A10" s="142" t="s">
        <v>250</v>
      </c>
    </row>
    <row r="11" spans="1:1" x14ac:dyDescent="0.25">
      <c r="A11" s="142" t="s">
        <v>91</v>
      </c>
    </row>
  </sheetData>
  <sheetProtection algorithmName="SHA-512" hashValue="Bm9r/poNK14e8DDopW7i0yt3PRnOVVKrm7lnePvY6m5Rjrz+nsyvzky/EIFadEMz2wquSrWZMjvktk1KvjA/Sw==" saltValue="aeq5FPWc+eBVB+lDpze4w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7"/>
  <sheetViews>
    <sheetView showGridLines="0" workbookViewId="0">
      <selection activeCell="I1" sqref="I1"/>
    </sheetView>
  </sheetViews>
  <sheetFormatPr defaultColWidth="12.6640625" defaultRowHeight="15.75" customHeight="1" x14ac:dyDescent="0.25"/>
  <cols>
    <col min="1" max="1" width="25.6640625" customWidth="1"/>
    <col min="2" max="2" width="55.6640625" style="116" customWidth="1"/>
    <col min="3" max="9" width="16.33203125" customWidth="1"/>
    <col min="10" max="10" width="3.33203125" customWidth="1"/>
  </cols>
  <sheetData>
    <row r="1" spans="1:10" ht="30" customHeight="1" x14ac:dyDescent="0.25">
      <c r="A1" s="190" t="s">
        <v>11</v>
      </c>
      <c r="B1" s="194"/>
      <c r="C1" s="194"/>
      <c r="D1" s="174" t="s">
        <v>504</v>
      </c>
      <c r="E1" s="174" t="s">
        <v>505</v>
      </c>
      <c r="F1" s="174" t="s">
        <v>506</v>
      </c>
      <c r="G1" s="174" t="s">
        <v>570</v>
      </c>
      <c r="H1" s="174" t="s">
        <v>584</v>
      </c>
      <c r="I1" s="174" t="s">
        <v>602</v>
      </c>
      <c r="J1" s="10"/>
    </row>
    <row r="2" spans="1:10" ht="30" customHeight="1" x14ac:dyDescent="0.25">
      <c r="A2" s="2" t="s">
        <v>12</v>
      </c>
      <c r="B2" s="114" t="s">
        <v>140</v>
      </c>
      <c r="C2" s="11" t="s">
        <v>502</v>
      </c>
      <c r="D2" s="196" t="s">
        <v>62</v>
      </c>
      <c r="E2" s="196" t="s">
        <v>62</v>
      </c>
      <c r="F2" s="196" t="s">
        <v>62</v>
      </c>
      <c r="G2" s="196" t="s">
        <v>62</v>
      </c>
      <c r="H2" s="196" t="s">
        <v>62</v>
      </c>
      <c r="I2" s="196" t="s">
        <v>62</v>
      </c>
      <c r="J2" s="10"/>
    </row>
    <row r="3" spans="1:10" ht="18.75" customHeight="1" x14ac:dyDescent="0.25">
      <c r="A3" s="12" t="s">
        <v>13</v>
      </c>
      <c r="B3" s="158" t="s">
        <v>458</v>
      </c>
      <c r="C3" s="19">
        <v>25000</v>
      </c>
      <c r="D3" s="117">
        <f>RepasseJaneiro25!G24</f>
        <v>25000</v>
      </c>
      <c r="E3" s="118">
        <v>25000</v>
      </c>
      <c r="F3" s="118">
        <v>25000</v>
      </c>
      <c r="G3" s="118"/>
      <c r="H3" s="118"/>
      <c r="I3" s="118"/>
      <c r="J3" s="10"/>
    </row>
    <row r="4" spans="1:10" ht="18.75" customHeight="1" x14ac:dyDescent="0.25">
      <c r="A4" s="12" t="s">
        <v>14</v>
      </c>
      <c r="B4" s="115" t="s">
        <v>357</v>
      </c>
      <c r="C4" s="19">
        <v>2500</v>
      </c>
      <c r="D4" s="117">
        <f>RepasseJaneiro25!G25-Bloco01!C7</f>
        <v>2500</v>
      </c>
      <c r="E4" s="118">
        <v>2500</v>
      </c>
      <c r="F4" s="118">
        <v>2500</v>
      </c>
      <c r="G4" s="118"/>
      <c r="H4" s="118"/>
      <c r="I4" s="118"/>
      <c r="J4" s="10"/>
    </row>
    <row r="5" spans="1:10" ht="18.75" customHeight="1" x14ac:dyDescent="0.25">
      <c r="A5" s="12" t="s">
        <v>15</v>
      </c>
      <c r="B5" s="115" t="s">
        <v>359</v>
      </c>
      <c r="C5" s="19">
        <v>0</v>
      </c>
      <c r="D5" s="117">
        <f>C5</f>
        <v>0</v>
      </c>
      <c r="E5" s="118">
        <v>0</v>
      </c>
      <c r="F5" s="118">
        <v>0</v>
      </c>
      <c r="G5" s="118"/>
      <c r="H5" s="118"/>
      <c r="I5" s="118"/>
      <c r="J5" s="10"/>
    </row>
    <row r="6" spans="1:10" ht="18.75" customHeight="1" x14ac:dyDescent="0.25">
      <c r="A6" s="12" t="s">
        <v>16</v>
      </c>
      <c r="B6" s="115" t="s">
        <v>460</v>
      </c>
      <c r="C6" s="19">
        <v>20000</v>
      </c>
      <c r="D6" s="117">
        <f>RepasseJaneiro25!G14</f>
        <v>20000</v>
      </c>
      <c r="E6" s="118">
        <v>20000</v>
      </c>
      <c r="F6" s="118">
        <v>20000</v>
      </c>
      <c r="G6" s="118"/>
      <c r="H6" s="118"/>
      <c r="I6" s="118"/>
      <c r="J6" s="10"/>
    </row>
    <row r="7" spans="1:10" ht="18.75" customHeight="1" x14ac:dyDescent="0.25">
      <c r="A7" s="12" t="s">
        <v>17</v>
      </c>
      <c r="B7" s="115" t="s">
        <v>357</v>
      </c>
      <c r="C7" s="19">
        <v>20000</v>
      </c>
      <c r="D7" s="117">
        <f>RepasseJaneiro25!G25-C4</f>
        <v>20000</v>
      </c>
      <c r="E7" s="118">
        <v>20000</v>
      </c>
      <c r="F7" s="118">
        <v>20000</v>
      </c>
      <c r="G7" s="118"/>
      <c r="H7" s="118"/>
      <c r="I7" s="118"/>
      <c r="J7" s="10"/>
    </row>
    <row r="8" spans="1:10" ht="18.75" customHeight="1" x14ac:dyDescent="0.25">
      <c r="A8" s="12" t="s">
        <v>18</v>
      </c>
      <c r="B8" s="115" t="s">
        <v>355</v>
      </c>
      <c r="C8" s="19">
        <v>5000</v>
      </c>
      <c r="D8" s="117">
        <f>RepasseJaneiro25!G32</f>
        <v>5000</v>
      </c>
      <c r="E8" s="118">
        <v>5000</v>
      </c>
      <c r="F8" s="118">
        <v>5000</v>
      </c>
      <c r="G8" s="118"/>
      <c r="H8" s="118"/>
      <c r="I8" s="118"/>
      <c r="J8" s="10"/>
    </row>
    <row r="9" spans="1:10" ht="18.75" customHeight="1" x14ac:dyDescent="0.25">
      <c r="A9" s="12" t="s">
        <v>19</v>
      </c>
      <c r="B9" s="115" t="s">
        <v>473</v>
      </c>
      <c r="C9" s="19">
        <v>5000</v>
      </c>
      <c r="D9" s="117">
        <f>RepasseJaneiro25!G8</f>
        <v>5000</v>
      </c>
      <c r="E9" s="118">
        <v>5000</v>
      </c>
      <c r="F9" s="118">
        <v>5000</v>
      </c>
      <c r="G9" s="118"/>
      <c r="H9" s="118"/>
      <c r="I9" s="118"/>
      <c r="J9" s="10"/>
    </row>
    <row r="10" spans="1:10" ht="18.75" customHeight="1" x14ac:dyDescent="0.25">
      <c r="A10" s="12" t="s">
        <v>20</v>
      </c>
      <c r="B10" s="115" t="s">
        <v>360</v>
      </c>
      <c r="C10" s="19">
        <v>5000</v>
      </c>
      <c r="D10" s="117">
        <f>RepasseJaneiro25!G39</f>
        <v>5000</v>
      </c>
      <c r="E10" s="118">
        <v>5000</v>
      </c>
      <c r="F10" s="118">
        <v>5000</v>
      </c>
      <c r="G10" s="118"/>
      <c r="H10" s="118"/>
      <c r="I10" s="118"/>
      <c r="J10" s="10"/>
    </row>
    <row r="11" spans="1:10" ht="18.75" customHeight="1" x14ac:dyDescent="0.25">
      <c r="A11" s="12" t="s">
        <v>21</v>
      </c>
      <c r="B11" s="115" t="s">
        <v>177</v>
      </c>
      <c r="C11" s="19">
        <v>5000</v>
      </c>
      <c r="D11" s="117">
        <f>RepasseJaneiro25!G26</f>
        <v>5000</v>
      </c>
      <c r="E11" s="118">
        <v>5000</v>
      </c>
      <c r="F11" s="118">
        <v>5000</v>
      </c>
      <c r="G11" s="118"/>
      <c r="H11" s="118"/>
      <c r="I11" s="118"/>
      <c r="J11" s="10"/>
    </row>
    <row r="12" spans="1:10" ht="18.75" customHeight="1" x14ac:dyDescent="0.25">
      <c r="A12" s="12" t="s">
        <v>22</v>
      </c>
      <c r="B12" s="115" t="s">
        <v>359</v>
      </c>
      <c r="C12" s="19">
        <v>5000</v>
      </c>
      <c r="D12" s="117">
        <f>RepasseJaneiro25!G20</f>
        <v>5000</v>
      </c>
      <c r="E12" s="118">
        <v>5000</v>
      </c>
      <c r="F12" s="118">
        <v>5000</v>
      </c>
      <c r="G12" s="118"/>
      <c r="H12" s="118"/>
      <c r="I12" s="118"/>
      <c r="J12" s="10"/>
    </row>
    <row r="13" spans="1:10" ht="18.75" customHeight="1" x14ac:dyDescent="0.25">
      <c r="A13" s="12" t="s">
        <v>23</v>
      </c>
      <c r="B13" s="115" t="s">
        <v>361</v>
      </c>
      <c r="C13" s="19">
        <v>15000</v>
      </c>
      <c r="D13" s="117">
        <f>RepasseJaneiro25!G38-C17</f>
        <v>15000</v>
      </c>
      <c r="E13" s="118">
        <v>15000</v>
      </c>
      <c r="F13" s="118">
        <v>15000</v>
      </c>
      <c r="G13" s="118"/>
      <c r="H13" s="118"/>
      <c r="I13" s="118"/>
      <c r="J13" s="10"/>
    </row>
    <row r="14" spans="1:10" ht="18.75" customHeight="1" x14ac:dyDescent="0.25">
      <c r="A14" s="12" t="s">
        <v>24</v>
      </c>
      <c r="B14" s="166" t="s">
        <v>461</v>
      </c>
      <c r="C14" s="19">
        <v>12500</v>
      </c>
      <c r="D14" s="117">
        <f>RepasseJaneiro25!G5-C15</f>
        <v>12500</v>
      </c>
      <c r="E14" s="118">
        <v>12500</v>
      </c>
      <c r="F14" s="118">
        <v>12500</v>
      </c>
      <c r="G14" s="118"/>
      <c r="H14" s="118"/>
      <c r="I14" s="118"/>
      <c r="J14" s="10"/>
    </row>
    <row r="15" spans="1:10" ht="18.75" customHeight="1" x14ac:dyDescent="0.25">
      <c r="A15" s="12" t="s">
        <v>25</v>
      </c>
      <c r="B15" s="166" t="s">
        <v>461</v>
      </c>
      <c r="C15" s="19">
        <v>2500</v>
      </c>
      <c r="D15" s="117">
        <f>RepasseJaneiro25!G5-C14</f>
        <v>2500</v>
      </c>
      <c r="E15" s="118">
        <v>2500</v>
      </c>
      <c r="F15" s="118">
        <v>2500</v>
      </c>
      <c r="G15" s="118"/>
      <c r="H15" s="118"/>
      <c r="I15" s="118"/>
      <c r="J15" s="10"/>
    </row>
    <row r="16" spans="1:10" ht="18.75" customHeight="1" x14ac:dyDescent="0.25">
      <c r="A16" s="12" t="s">
        <v>26</v>
      </c>
      <c r="B16" s="115" t="s">
        <v>474</v>
      </c>
      <c r="C16" s="19">
        <v>2500</v>
      </c>
      <c r="D16" s="117">
        <f>RepasseJaneiro25!G17</f>
        <v>2500</v>
      </c>
      <c r="E16" s="118">
        <v>2500</v>
      </c>
      <c r="F16" s="118">
        <v>2500</v>
      </c>
      <c r="G16" s="118"/>
      <c r="H16" s="118"/>
      <c r="I16" s="118"/>
      <c r="J16" s="10"/>
    </row>
    <row r="17" spans="1:10" ht="18.75" customHeight="1" x14ac:dyDescent="0.25">
      <c r="A17" s="12" t="s">
        <v>27</v>
      </c>
      <c r="B17" s="115" t="s">
        <v>361</v>
      </c>
      <c r="C17" s="19">
        <v>2500</v>
      </c>
      <c r="D17" s="117">
        <f>RepasseJaneiro25!G38-C13</f>
        <v>2500</v>
      </c>
      <c r="E17" s="118">
        <v>2500</v>
      </c>
      <c r="F17" s="118">
        <v>2500</v>
      </c>
      <c r="G17" s="118"/>
      <c r="H17" s="118"/>
      <c r="I17" s="118"/>
      <c r="J17" s="10"/>
    </row>
    <row r="18" spans="1:10" ht="18.75" customHeight="1" x14ac:dyDescent="0.25">
      <c r="A18" s="12" t="s">
        <v>28</v>
      </c>
      <c r="B18" s="115" t="s">
        <v>179</v>
      </c>
      <c r="C18" s="19">
        <v>2500</v>
      </c>
      <c r="D18" s="117">
        <f>RepasseJaneiro25!G27</f>
        <v>2500</v>
      </c>
      <c r="E18" s="118">
        <v>2500</v>
      </c>
      <c r="F18" s="118">
        <v>2500</v>
      </c>
      <c r="G18" s="118"/>
      <c r="H18" s="118"/>
      <c r="I18" s="118"/>
      <c r="J18" s="10"/>
    </row>
    <row r="19" spans="1:10" ht="18.75" customHeight="1" x14ac:dyDescent="0.25">
      <c r="A19" s="12" t="s">
        <v>29</v>
      </c>
      <c r="B19" s="115" t="s">
        <v>193</v>
      </c>
      <c r="C19" s="19">
        <v>2500</v>
      </c>
      <c r="D19" s="117">
        <v>0</v>
      </c>
      <c r="E19" s="118">
        <v>5000</v>
      </c>
      <c r="F19" s="118">
        <v>2500</v>
      </c>
      <c r="G19" s="118"/>
      <c r="H19" s="118"/>
      <c r="I19" s="118"/>
      <c r="J19" s="10"/>
    </row>
    <row r="20" spans="1:10" ht="18.75" customHeight="1" x14ac:dyDescent="0.25">
      <c r="A20" s="12" t="s">
        <v>30</v>
      </c>
      <c r="B20" s="115" t="s">
        <v>362</v>
      </c>
      <c r="C20" s="19">
        <v>2500</v>
      </c>
      <c r="D20" s="117">
        <f>RepasseJaneiro25!G11</f>
        <v>2500</v>
      </c>
      <c r="E20" s="118">
        <v>2500</v>
      </c>
      <c r="F20" s="118">
        <v>2500</v>
      </c>
      <c r="G20" s="118"/>
      <c r="H20" s="118"/>
      <c r="I20" s="118"/>
      <c r="J20" s="10"/>
    </row>
    <row r="21" spans="1:10" ht="18.75" customHeight="1" x14ac:dyDescent="0.25">
      <c r="A21" s="12" t="s">
        <v>31</v>
      </c>
      <c r="B21" s="115" t="s">
        <v>366</v>
      </c>
      <c r="C21" s="19">
        <v>2500</v>
      </c>
      <c r="D21" s="117">
        <v>0</v>
      </c>
      <c r="E21" s="118">
        <v>0</v>
      </c>
      <c r="F21" s="118">
        <v>0</v>
      </c>
      <c r="G21" s="118"/>
      <c r="H21" s="118"/>
      <c r="I21" s="118"/>
      <c r="J21" s="10"/>
    </row>
    <row r="22" spans="1:10" ht="18.75" customHeight="1" x14ac:dyDescent="0.25">
      <c r="A22" s="12" t="s">
        <v>32</v>
      </c>
      <c r="B22" s="115" t="s">
        <v>214</v>
      </c>
      <c r="C22" s="19">
        <v>2500</v>
      </c>
      <c r="D22" s="117">
        <v>0</v>
      </c>
      <c r="E22" s="118">
        <v>0</v>
      </c>
      <c r="F22" s="118">
        <v>0</v>
      </c>
      <c r="G22" s="118"/>
      <c r="H22" s="118"/>
      <c r="I22" s="118"/>
      <c r="J22" s="10"/>
    </row>
    <row r="23" spans="1:10" ht="18.75" customHeight="1" x14ac:dyDescent="0.25">
      <c r="A23" s="12" t="s">
        <v>33</v>
      </c>
      <c r="B23" s="115" t="s">
        <v>225</v>
      </c>
      <c r="C23" s="19">
        <v>2500</v>
      </c>
      <c r="D23" s="117">
        <v>0</v>
      </c>
      <c r="E23" s="118">
        <v>5000</v>
      </c>
      <c r="F23" s="118">
        <v>2500</v>
      </c>
      <c r="G23" s="118"/>
      <c r="H23" s="118"/>
      <c r="I23" s="118"/>
      <c r="J23" s="10"/>
    </row>
    <row r="24" spans="1:10" ht="18.75" customHeight="1" x14ac:dyDescent="0.25">
      <c r="A24" s="12" t="s">
        <v>34</v>
      </c>
      <c r="B24" s="115" t="s">
        <v>152</v>
      </c>
      <c r="C24" s="19">
        <v>2500</v>
      </c>
      <c r="D24" s="117">
        <v>0</v>
      </c>
      <c r="E24" s="118">
        <v>5000</v>
      </c>
      <c r="F24" s="118">
        <v>0</v>
      </c>
      <c r="G24" s="118"/>
      <c r="H24" s="118"/>
      <c r="I24" s="118"/>
      <c r="J24" s="10"/>
    </row>
    <row r="25" spans="1:10" ht="33.75" customHeight="1" x14ac:dyDescent="0.25">
      <c r="A25" s="343" t="s">
        <v>35</v>
      </c>
      <c r="B25" s="344"/>
      <c r="C25" s="22">
        <f>SUM(C3:C24)</f>
        <v>145000</v>
      </c>
      <c r="D25" s="193">
        <f>SUM(D3:D24)</f>
        <v>132500</v>
      </c>
      <c r="E25" s="184">
        <f>SUM(E3:E24)</f>
        <v>147500</v>
      </c>
      <c r="F25" s="184">
        <f t="shared" ref="F25:I25" si="0">SUM(F3:F24)</f>
        <v>137500</v>
      </c>
      <c r="G25" s="184">
        <f t="shared" ref="G25:H25" si="1">SUM(G3:G24)</f>
        <v>0</v>
      </c>
      <c r="H25" s="184">
        <f t="shared" si="1"/>
        <v>0</v>
      </c>
      <c r="I25" s="184">
        <f t="shared" si="0"/>
        <v>0</v>
      </c>
      <c r="J25" s="10"/>
    </row>
    <row r="26" spans="1:10" ht="18.75" customHeight="1" x14ac:dyDescent="0.25">
      <c r="A26" s="10"/>
      <c r="B26" s="15"/>
      <c r="C26" s="13"/>
      <c r="D26" s="107"/>
      <c r="F26" s="107"/>
      <c r="G26" s="107"/>
      <c r="H26" s="107"/>
      <c r="I26" s="107"/>
      <c r="J26" s="10"/>
    </row>
    <row r="27" spans="1:10" ht="15.75" customHeight="1" x14ac:dyDescent="0.25">
      <c r="E27" s="107"/>
    </row>
  </sheetData>
  <mergeCells count="1">
    <mergeCell ref="A25:B25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46"/>
  <sheetViews>
    <sheetView showGridLines="0" workbookViewId="0">
      <selection activeCell="N11" sqref="N11"/>
    </sheetView>
  </sheetViews>
  <sheetFormatPr defaultColWidth="12.6640625" defaultRowHeight="15.75" customHeight="1" x14ac:dyDescent="0.25"/>
  <cols>
    <col min="1" max="1" width="30.88671875" customWidth="1"/>
    <col min="2" max="2" width="50.33203125" customWidth="1"/>
    <col min="3" max="3" width="16.33203125" customWidth="1"/>
    <col min="4" max="4" width="16.33203125" style="280" customWidth="1"/>
    <col min="5" max="10" width="16.33203125" customWidth="1"/>
    <col min="11" max="11" width="4.6640625" customWidth="1"/>
  </cols>
  <sheetData>
    <row r="1" spans="1:11" ht="30" customHeight="1" x14ac:dyDescent="0.25">
      <c r="A1" s="191" t="s">
        <v>472</v>
      </c>
      <c r="B1" s="190"/>
      <c r="C1" s="190"/>
      <c r="D1" s="277"/>
      <c r="E1" s="174" t="s">
        <v>504</v>
      </c>
      <c r="F1" s="174" t="s">
        <v>505</v>
      </c>
      <c r="G1" s="174" t="s">
        <v>506</v>
      </c>
      <c r="H1" s="174" t="s">
        <v>570</v>
      </c>
      <c r="I1" s="174" t="s">
        <v>584</v>
      </c>
      <c r="J1" s="174" t="s">
        <v>602</v>
      </c>
      <c r="K1" s="10"/>
    </row>
    <row r="2" spans="1:11" ht="30" customHeight="1" x14ac:dyDescent="0.25">
      <c r="A2" s="2" t="s">
        <v>12</v>
      </c>
      <c r="B2" s="2" t="s">
        <v>140</v>
      </c>
      <c r="C2" s="11" t="s">
        <v>502</v>
      </c>
      <c r="D2" s="278" t="s">
        <v>503</v>
      </c>
      <c r="E2" s="196" t="s">
        <v>62</v>
      </c>
      <c r="F2" s="196" t="s">
        <v>62</v>
      </c>
      <c r="G2" s="196" t="s">
        <v>62</v>
      </c>
      <c r="H2" s="196" t="s">
        <v>62</v>
      </c>
      <c r="I2" s="196" t="s">
        <v>62</v>
      </c>
      <c r="J2" s="196" t="s">
        <v>62</v>
      </c>
      <c r="K2" s="10"/>
    </row>
    <row r="3" spans="1:11" ht="19.95" customHeight="1" x14ac:dyDescent="0.25">
      <c r="A3" s="7" t="s">
        <v>571</v>
      </c>
      <c r="B3" s="115" t="s">
        <v>434</v>
      </c>
      <c r="C3" s="19">
        <v>6250</v>
      </c>
      <c r="D3" s="20">
        <v>1250</v>
      </c>
      <c r="E3" s="183">
        <v>7500</v>
      </c>
      <c r="F3" s="183">
        <v>7500</v>
      </c>
      <c r="G3" s="183">
        <v>7500</v>
      </c>
      <c r="H3" s="152"/>
      <c r="I3" s="152"/>
      <c r="J3" s="152"/>
      <c r="K3" s="10"/>
    </row>
    <row r="4" spans="1:11" ht="19.95" customHeight="1" x14ac:dyDescent="0.25">
      <c r="A4" s="17" t="s">
        <v>572</v>
      </c>
      <c r="B4" s="166" t="s">
        <v>406</v>
      </c>
      <c r="C4" s="19">
        <v>6250</v>
      </c>
      <c r="D4" s="20">
        <v>1250</v>
      </c>
      <c r="E4" s="183">
        <v>7500</v>
      </c>
      <c r="F4" s="183">
        <v>7500</v>
      </c>
      <c r="G4" s="183">
        <v>7500</v>
      </c>
      <c r="H4" s="152"/>
      <c r="I4" s="152"/>
      <c r="J4" s="152"/>
      <c r="K4" s="10"/>
    </row>
    <row r="5" spans="1:11" ht="19.95" customHeight="1" x14ac:dyDescent="0.25">
      <c r="A5" s="7" t="s">
        <v>36</v>
      </c>
      <c r="B5" s="115" t="s">
        <v>357</v>
      </c>
      <c r="C5" s="19">
        <v>12500</v>
      </c>
      <c r="D5" s="20">
        <v>2500</v>
      </c>
      <c r="E5" s="183">
        <f>RepasseJaneiro25!H25-C26-0.01</f>
        <v>14999.999999999998</v>
      </c>
      <c r="F5" s="152">
        <f>RepasseFevereiro25!I28-C26-0.01</f>
        <v>14999.999999999998</v>
      </c>
      <c r="G5" s="152">
        <v>15000</v>
      </c>
      <c r="H5" s="152"/>
      <c r="I5" s="152"/>
      <c r="J5" s="152"/>
      <c r="K5" s="10"/>
    </row>
    <row r="6" spans="1:11" ht="19.95" customHeight="1" x14ac:dyDescent="0.25">
      <c r="A6" s="7" t="s">
        <v>37</v>
      </c>
      <c r="B6" s="115" t="s">
        <v>340</v>
      </c>
      <c r="C6" s="19">
        <v>12500</v>
      </c>
      <c r="D6" s="20">
        <v>2500</v>
      </c>
      <c r="E6" s="183">
        <f>RepasseJaneiro25!H16</f>
        <v>15000</v>
      </c>
      <c r="F6" s="152">
        <v>15000</v>
      </c>
      <c r="G6" s="152">
        <v>15000</v>
      </c>
      <c r="H6" s="152"/>
      <c r="I6" s="152"/>
      <c r="J6" s="152"/>
      <c r="K6" s="10"/>
    </row>
    <row r="7" spans="1:11" ht="19.95" customHeight="1" x14ac:dyDescent="0.25">
      <c r="A7" s="188" t="s">
        <v>485</v>
      </c>
      <c r="B7" s="115" t="s">
        <v>460</v>
      </c>
      <c r="C7" s="19">
        <v>6250</v>
      </c>
      <c r="D7" s="20">
        <v>1250</v>
      </c>
      <c r="E7" s="183">
        <v>7500</v>
      </c>
      <c r="F7" s="152">
        <v>7500</v>
      </c>
      <c r="G7" s="152">
        <v>7500</v>
      </c>
      <c r="H7" s="152"/>
      <c r="I7" s="152"/>
      <c r="J7" s="152"/>
      <c r="K7" s="10"/>
    </row>
    <row r="8" spans="1:11" ht="19.95" customHeight="1" x14ac:dyDescent="0.25">
      <c r="A8" s="188" t="s">
        <v>486</v>
      </c>
      <c r="B8" s="166" t="s">
        <v>487</v>
      </c>
      <c r="C8" s="19">
        <v>6250</v>
      </c>
      <c r="D8" s="20">
        <v>1250</v>
      </c>
      <c r="E8" s="183">
        <v>7500</v>
      </c>
      <c r="F8" s="152">
        <v>7500</v>
      </c>
      <c r="G8" s="152">
        <v>7500</v>
      </c>
      <c r="H8" s="152"/>
      <c r="I8" s="152"/>
      <c r="J8" s="152"/>
      <c r="K8" s="10"/>
    </row>
    <row r="9" spans="1:11" ht="19.95" customHeight="1" x14ac:dyDescent="0.25">
      <c r="A9" s="7" t="s">
        <v>38</v>
      </c>
      <c r="B9" s="115" t="s">
        <v>209</v>
      </c>
      <c r="C9" s="19">
        <v>12500</v>
      </c>
      <c r="D9" s="20">
        <v>2500</v>
      </c>
      <c r="E9" s="183">
        <f>RepasseJaneiro25!H162</f>
        <v>15000</v>
      </c>
      <c r="F9" s="152">
        <v>15000</v>
      </c>
      <c r="G9" s="152">
        <v>15000</v>
      </c>
      <c r="H9" s="152"/>
      <c r="I9" s="152"/>
      <c r="J9" s="152"/>
      <c r="K9" s="10"/>
    </row>
    <row r="10" spans="1:11" ht="19.95" customHeight="1" x14ac:dyDescent="0.25">
      <c r="A10" s="7" t="s">
        <v>39</v>
      </c>
      <c r="B10" s="115" t="s">
        <v>143</v>
      </c>
      <c r="C10" s="19">
        <v>12500</v>
      </c>
      <c r="D10" s="20">
        <v>2500</v>
      </c>
      <c r="E10" s="183">
        <f>RepasseJaneiro25!H52</f>
        <v>15000</v>
      </c>
      <c r="F10" s="152">
        <v>15000</v>
      </c>
      <c r="G10" s="152">
        <v>15000</v>
      </c>
      <c r="H10" s="152"/>
      <c r="I10" s="152"/>
      <c r="J10" s="152"/>
      <c r="K10" s="10"/>
    </row>
    <row r="11" spans="1:11" ht="19.95" customHeight="1" x14ac:dyDescent="0.25">
      <c r="A11" s="7" t="s">
        <v>40</v>
      </c>
      <c r="B11" s="115" t="s">
        <v>355</v>
      </c>
      <c r="C11" s="19">
        <v>12500</v>
      </c>
      <c r="D11" s="20">
        <v>2500</v>
      </c>
      <c r="E11" s="183">
        <f>RepasseJaneiro25!H32</f>
        <v>15000</v>
      </c>
      <c r="F11" s="152">
        <v>15000</v>
      </c>
      <c r="G11" s="152">
        <v>15000</v>
      </c>
      <c r="H11" s="152"/>
      <c r="I11" s="152"/>
      <c r="J11" s="152"/>
      <c r="K11" s="10"/>
    </row>
    <row r="12" spans="1:11" ht="19.95" customHeight="1" x14ac:dyDescent="0.25">
      <c r="A12" s="7" t="s">
        <v>41</v>
      </c>
      <c r="B12" s="166" t="s">
        <v>232</v>
      </c>
      <c r="C12" s="19">
        <v>12500</v>
      </c>
      <c r="D12" s="20">
        <v>2500</v>
      </c>
      <c r="E12" s="183">
        <f>RepasseJaneiro25!H140</f>
        <v>15000</v>
      </c>
      <c r="F12" s="152">
        <v>15000</v>
      </c>
      <c r="G12" s="152">
        <v>15000</v>
      </c>
      <c r="H12" s="152"/>
      <c r="I12" s="152"/>
      <c r="J12" s="152"/>
      <c r="K12" s="10"/>
    </row>
    <row r="13" spans="1:11" ht="19.95" customHeight="1" x14ac:dyDescent="0.25">
      <c r="A13" s="7" t="s">
        <v>42</v>
      </c>
      <c r="B13" s="115" t="s">
        <v>475</v>
      </c>
      <c r="C13" s="19">
        <v>12500</v>
      </c>
      <c r="D13" s="20">
        <v>2500</v>
      </c>
      <c r="E13" s="183">
        <f>RepasseJaneiro25!H30</f>
        <v>15000</v>
      </c>
      <c r="F13" s="152">
        <v>15000</v>
      </c>
      <c r="G13" s="152">
        <v>15000</v>
      </c>
      <c r="H13" s="152"/>
      <c r="I13" s="152"/>
      <c r="J13" s="152"/>
      <c r="K13" s="10"/>
    </row>
    <row r="14" spans="1:11" ht="19.95" customHeight="1" x14ac:dyDescent="0.25">
      <c r="A14" s="7" t="s">
        <v>43</v>
      </c>
      <c r="B14" s="115" t="s">
        <v>474</v>
      </c>
      <c r="C14" s="19">
        <v>12500</v>
      </c>
      <c r="D14" s="20" t="s">
        <v>44</v>
      </c>
      <c r="E14" s="183">
        <f>RepasseJaneiro25!H17</f>
        <v>12500</v>
      </c>
      <c r="F14" s="152">
        <v>12500</v>
      </c>
      <c r="G14" s="152">
        <v>12500</v>
      </c>
      <c r="H14" s="152"/>
      <c r="I14" s="152"/>
      <c r="J14" s="152"/>
      <c r="K14" s="10"/>
    </row>
    <row r="15" spans="1:11" ht="19.95" customHeight="1" x14ac:dyDescent="0.25">
      <c r="A15" s="7" t="s">
        <v>45</v>
      </c>
      <c r="B15" s="115" t="s">
        <v>573</v>
      </c>
      <c r="C15" s="19">
        <v>12500</v>
      </c>
      <c r="D15" s="20" t="s">
        <v>44</v>
      </c>
      <c r="E15" s="183">
        <f>RepasseJaneiro25!H6</f>
        <v>12500</v>
      </c>
      <c r="F15" s="152">
        <v>12500</v>
      </c>
      <c r="G15" s="152">
        <v>12500</v>
      </c>
      <c r="H15" s="152"/>
      <c r="I15" s="152"/>
      <c r="J15" s="152"/>
      <c r="K15" s="10"/>
    </row>
    <row r="16" spans="1:11" ht="19.95" customHeight="1" x14ac:dyDescent="0.25">
      <c r="A16" s="7" t="s">
        <v>46</v>
      </c>
      <c r="B16" s="115" t="s">
        <v>377</v>
      </c>
      <c r="C16" s="19">
        <v>12500</v>
      </c>
      <c r="D16" s="20" t="s">
        <v>44</v>
      </c>
      <c r="E16" s="183">
        <f>RepasseJaneiro25!H35</f>
        <v>12500</v>
      </c>
      <c r="F16" s="152">
        <v>12500</v>
      </c>
      <c r="G16" s="152">
        <v>12500</v>
      </c>
      <c r="H16" s="152"/>
      <c r="I16" s="152"/>
      <c r="J16" s="152"/>
      <c r="K16" s="10"/>
    </row>
    <row r="17" spans="1:11" ht="19.95" customHeight="1" x14ac:dyDescent="0.25">
      <c r="A17" s="7" t="s">
        <v>47</v>
      </c>
      <c r="B17" s="166" t="s">
        <v>155</v>
      </c>
      <c r="C17" s="19">
        <v>12500</v>
      </c>
      <c r="D17" s="20" t="s">
        <v>44</v>
      </c>
      <c r="E17" s="183">
        <f>RepasseJaneiro25!H64-C27</f>
        <v>12499.999999999998</v>
      </c>
      <c r="F17" s="152">
        <v>12499.999999999998</v>
      </c>
      <c r="G17" s="152">
        <v>12499.999999999998</v>
      </c>
      <c r="H17" s="152"/>
      <c r="I17" s="152"/>
      <c r="J17" s="152"/>
      <c r="K17" s="10"/>
    </row>
    <row r="18" spans="1:11" ht="19.95" customHeight="1" x14ac:dyDescent="0.25">
      <c r="A18" s="8" t="s">
        <v>48</v>
      </c>
      <c r="B18" s="115" t="s">
        <v>440</v>
      </c>
      <c r="C18" s="19">
        <v>12500</v>
      </c>
      <c r="D18" s="20">
        <v>2500</v>
      </c>
      <c r="E18" s="183">
        <f>RepasseJaneiro25!H170</f>
        <v>12500</v>
      </c>
      <c r="F18" s="152">
        <v>12500</v>
      </c>
      <c r="G18" s="152">
        <v>12500</v>
      </c>
      <c r="H18" s="152"/>
      <c r="I18" s="152"/>
      <c r="J18" s="152"/>
      <c r="K18" s="10"/>
    </row>
    <row r="19" spans="1:11" ht="19.95" customHeight="1" x14ac:dyDescent="0.25">
      <c r="A19" s="8" t="s">
        <v>49</v>
      </c>
      <c r="B19" s="115" t="s">
        <v>241</v>
      </c>
      <c r="C19" s="19">
        <v>12500</v>
      </c>
      <c r="D19" s="20">
        <v>2500</v>
      </c>
      <c r="E19" s="183">
        <f>RepasseJaneiro25!H149</f>
        <v>12500</v>
      </c>
      <c r="F19" s="152">
        <v>12500</v>
      </c>
      <c r="G19" s="152">
        <v>12500</v>
      </c>
      <c r="H19" s="152"/>
      <c r="I19" s="152"/>
      <c r="J19" s="152"/>
      <c r="K19" s="10"/>
    </row>
    <row r="20" spans="1:11" ht="19.95" customHeight="1" x14ac:dyDescent="0.25">
      <c r="A20" s="8" t="s">
        <v>50</v>
      </c>
      <c r="B20" s="115" t="s">
        <v>476</v>
      </c>
      <c r="C20" s="19">
        <v>12500</v>
      </c>
      <c r="D20" s="20">
        <v>2500</v>
      </c>
      <c r="E20" s="183">
        <f>RepasseJaneiro25!H111</f>
        <v>12500</v>
      </c>
      <c r="F20" s="152">
        <v>12500</v>
      </c>
      <c r="G20" s="152">
        <v>12500</v>
      </c>
      <c r="H20" s="152"/>
      <c r="I20" s="152"/>
      <c r="J20" s="152"/>
      <c r="K20" s="10"/>
    </row>
    <row r="21" spans="1:11" ht="19.95" customHeight="1" x14ac:dyDescent="0.25">
      <c r="A21" s="187" t="s">
        <v>483</v>
      </c>
      <c r="B21" s="166" t="s">
        <v>362</v>
      </c>
      <c r="C21" s="19">
        <v>6250</v>
      </c>
      <c r="D21" s="20">
        <v>1250</v>
      </c>
      <c r="E21" s="183">
        <v>6250</v>
      </c>
      <c r="F21" s="152">
        <v>6250</v>
      </c>
      <c r="G21" s="152">
        <v>6250</v>
      </c>
      <c r="H21" s="152"/>
      <c r="I21" s="152"/>
      <c r="J21" s="152"/>
      <c r="K21" s="10"/>
    </row>
    <row r="22" spans="1:11" ht="19.95" customHeight="1" x14ac:dyDescent="0.25">
      <c r="A22" s="187" t="s">
        <v>484</v>
      </c>
      <c r="B22" s="166" t="s">
        <v>415</v>
      </c>
      <c r="C22" s="19">
        <v>6250</v>
      </c>
      <c r="D22" s="20">
        <v>1250</v>
      </c>
      <c r="E22" s="183">
        <v>6250</v>
      </c>
      <c r="F22" s="183">
        <v>6250</v>
      </c>
      <c r="G22" s="183">
        <v>6250</v>
      </c>
      <c r="H22" s="152"/>
      <c r="I22" s="152"/>
      <c r="J22" s="152"/>
      <c r="K22" s="10"/>
    </row>
    <row r="23" spans="1:11" ht="19.95" customHeight="1" x14ac:dyDescent="0.25">
      <c r="A23" s="8" t="s">
        <v>51</v>
      </c>
      <c r="B23" s="115" t="s">
        <v>477</v>
      </c>
      <c r="C23" s="19">
        <v>12500</v>
      </c>
      <c r="D23" s="20">
        <v>0</v>
      </c>
      <c r="E23" s="183">
        <f>RepasseJaneiro25!H134</f>
        <v>12500</v>
      </c>
      <c r="F23" s="152">
        <v>12500</v>
      </c>
      <c r="G23" s="152">
        <v>12500</v>
      </c>
      <c r="H23" s="152"/>
      <c r="I23" s="152"/>
      <c r="J23" s="152"/>
      <c r="K23" s="10"/>
    </row>
    <row r="24" spans="1:11" ht="19.95" customHeight="1" x14ac:dyDescent="0.25">
      <c r="A24" s="8" t="s">
        <v>52</v>
      </c>
      <c r="B24" s="115" t="s">
        <v>206</v>
      </c>
      <c r="C24" s="19">
        <v>12500</v>
      </c>
      <c r="D24" s="20">
        <v>0</v>
      </c>
      <c r="E24" s="183">
        <f>RepasseJaneiro25!H115</f>
        <v>12500</v>
      </c>
      <c r="F24" s="152">
        <v>12500</v>
      </c>
      <c r="G24" s="152">
        <v>12500</v>
      </c>
      <c r="H24" s="152"/>
      <c r="I24" s="152"/>
      <c r="J24" s="152"/>
      <c r="K24" s="10"/>
    </row>
    <row r="25" spans="1:11" ht="19.95" customHeight="1" x14ac:dyDescent="0.25">
      <c r="A25" s="8" t="s">
        <v>53</v>
      </c>
      <c r="B25" s="166" t="s">
        <v>362</v>
      </c>
      <c r="C25" s="19">
        <v>12500</v>
      </c>
      <c r="D25" s="20">
        <v>0</v>
      </c>
      <c r="E25" s="183">
        <v>12500</v>
      </c>
      <c r="F25" s="152">
        <v>12500</v>
      </c>
      <c r="G25" s="152">
        <v>12500</v>
      </c>
      <c r="H25" s="152"/>
      <c r="I25" s="152"/>
      <c r="J25" s="152"/>
      <c r="K25" s="10"/>
    </row>
    <row r="26" spans="1:11" ht="19.95" customHeight="1" x14ac:dyDescent="0.25">
      <c r="A26" s="12" t="s">
        <v>54</v>
      </c>
      <c r="B26" s="166" t="s">
        <v>357</v>
      </c>
      <c r="C26" s="20">
        <v>4166.66</v>
      </c>
      <c r="D26" s="20">
        <v>0</v>
      </c>
      <c r="E26" s="183">
        <f>RepasseJaneiro25!H25-(C5+D5)-0.01</f>
        <v>4166.659999999998</v>
      </c>
      <c r="F26" s="152">
        <v>4166.659999999998</v>
      </c>
      <c r="G26" s="152">
        <v>4166.659999999998</v>
      </c>
      <c r="H26" s="152"/>
      <c r="I26" s="152"/>
      <c r="J26" s="152"/>
      <c r="K26" s="10"/>
    </row>
    <row r="27" spans="1:11" ht="19.95" customHeight="1" x14ac:dyDescent="0.25">
      <c r="A27" s="12" t="s">
        <v>54</v>
      </c>
      <c r="B27" s="166" t="s">
        <v>155</v>
      </c>
      <c r="C27" s="20">
        <v>4166.67</v>
      </c>
      <c r="D27" s="20">
        <v>0</v>
      </c>
      <c r="E27" s="183">
        <f>RepasseJaneiro25!H64-C17</f>
        <v>4166.6699999999983</v>
      </c>
      <c r="F27" s="152">
        <v>4166.6699999999983</v>
      </c>
      <c r="G27" s="152">
        <v>4166.6699999999983</v>
      </c>
      <c r="H27" s="152"/>
      <c r="I27" s="152"/>
      <c r="J27" s="152"/>
      <c r="K27" s="10"/>
    </row>
    <row r="28" spans="1:11" ht="19.95" customHeight="1" x14ac:dyDescent="0.25">
      <c r="A28" s="12" t="s">
        <v>54</v>
      </c>
      <c r="B28" s="115" t="s">
        <v>195</v>
      </c>
      <c r="C28" s="20">
        <v>4166.67</v>
      </c>
      <c r="D28" s="20">
        <v>0</v>
      </c>
      <c r="E28" s="183">
        <f>RepasseJaneiro25!H104</f>
        <v>4166.67</v>
      </c>
      <c r="F28" s="152">
        <v>4166.67</v>
      </c>
      <c r="G28" s="152">
        <v>4166.67</v>
      </c>
      <c r="H28" s="152"/>
      <c r="I28" s="152"/>
      <c r="J28" s="152"/>
      <c r="K28" s="10"/>
    </row>
    <row r="29" spans="1:11" ht="19.95" customHeight="1" x14ac:dyDescent="0.25">
      <c r="A29" s="276" t="s">
        <v>574</v>
      </c>
      <c r="B29" s="115" t="s">
        <v>367</v>
      </c>
      <c r="C29" s="19">
        <v>12500</v>
      </c>
      <c r="D29" s="20">
        <v>0</v>
      </c>
      <c r="E29" s="183">
        <f>RepasseJaneiro25!H31</f>
        <v>12500</v>
      </c>
      <c r="F29" s="152">
        <v>12500</v>
      </c>
      <c r="G29" s="152">
        <v>12500</v>
      </c>
      <c r="H29" s="152"/>
      <c r="I29" s="152"/>
      <c r="J29" s="152"/>
      <c r="K29" s="10"/>
    </row>
    <row r="30" spans="1:11" ht="19.95" customHeight="1" x14ac:dyDescent="0.25">
      <c r="A30" s="276" t="s">
        <v>575</v>
      </c>
      <c r="B30" s="115" t="s">
        <v>361</v>
      </c>
      <c r="C30" s="19">
        <v>2500</v>
      </c>
      <c r="D30" s="20">
        <v>0</v>
      </c>
      <c r="E30" s="183">
        <v>2500</v>
      </c>
      <c r="F30" s="152">
        <v>2500</v>
      </c>
      <c r="G30" s="152">
        <v>2500</v>
      </c>
      <c r="H30" s="152"/>
      <c r="I30" s="152"/>
      <c r="J30" s="152"/>
      <c r="K30" s="10"/>
    </row>
    <row r="31" spans="1:11" ht="19.95" customHeight="1" x14ac:dyDescent="0.25">
      <c r="A31" s="12" t="s">
        <v>55</v>
      </c>
      <c r="B31" s="115" t="s">
        <v>97</v>
      </c>
      <c r="C31" s="19">
        <v>12500</v>
      </c>
      <c r="D31" s="20">
        <v>0</v>
      </c>
      <c r="E31" s="183">
        <f>RepasseJaneiro25!H10</f>
        <v>12500</v>
      </c>
      <c r="F31" s="152">
        <v>12500</v>
      </c>
      <c r="G31" s="152">
        <v>12500</v>
      </c>
      <c r="H31" s="152"/>
      <c r="I31" s="152"/>
      <c r="J31" s="152"/>
      <c r="K31" s="10"/>
    </row>
    <row r="32" spans="1:11" ht="19.95" customHeight="1" x14ac:dyDescent="0.25">
      <c r="A32" s="189" t="s">
        <v>488</v>
      </c>
      <c r="B32" s="166" t="s">
        <v>383</v>
      </c>
      <c r="C32" s="19">
        <v>6250</v>
      </c>
      <c r="D32" s="20">
        <v>0</v>
      </c>
      <c r="E32" s="183">
        <v>6250</v>
      </c>
      <c r="F32" s="152">
        <v>6250</v>
      </c>
      <c r="G32" s="152">
        <v>6250</v>
      </c>
      <c r="H32" s="152"/>
      <c r="I32" s="152"/>
      <c r="J32" s="152"/>
      <c r="K32" s="10"/>
    </row>
    <row r="33" spans="1:15" ht="19.95" customHeight="1" x14ac:dyDescent="0.25">
      <c r="A33" s="189" t="s">
        <v>488</v>
      </c>
      <c r="B33" s="166" t="s">
        <v>374</v>
      </c>
      <c r="C33" s="19">
        <v>6250</v>
      </c>
      <c r="D33" s="20">
        <v>0</v>
      </c>
      <c r="E33" s="183">
        <v>6250</v>
      </c>
      <c r="F33" s="152">
        <v>6250</v>
      </c>
      <c r="G33" s="152">
        <v>6250</v>
      </c>
      <c r="H33" s="152"/>
      <c r="I33" s="152"/>
      <c r="J33" s="152"/>
      <c r="K33" s="10"/>
    </row>
    <row r="34" spans="1:15" ht="19.95" customHeight="1" x14ac:dyDescent="0.25">
      <c r="A34" s="189" t="s">
        <v>488</v>
      </c>
      <c r="B34" s="166" t="s">
        <v>100</v>
      </c>
      <c r="C34" s="19">
        <v>6250</v>
      </c>
      <c r="D34" s="20">
        <v>0</v>
      </c>
      <c r="E34" s="183">
        <v>6250</v>
      </c>
      <c r="F34" s="152">
        <v>6250</v>
      </c>
      <c r="G34" s="152">
        <v>6250</v>
      </c>
      <c r="H34" s="152"/>
      <c r="I34" s="152"/>
      <c r="J34" s="152"/>
      <c r="K34" s="10"/>
    </row>
    <row r="35" spans="1:15" ht="19.95" customHeight="1" x14ac:dyDescent="0.25">
      <c r="A35" s="189" t="s">
        <v>488</v>
      </c>
      <c r="B35" s="166" t="s">
        <v>449</v>
      </c>
      <c r="C35" s="19">
        <v>6250</v>
      </c>
      <c r="D35" s="20">
        <v>0</v>
      </c>
      <c r="E35" s="183">
        <v>6250</v>
      </c>
      <c r="F35" s="152">
        <v>6250</v>
      </c>
      <c r="G35" s="152">
        <v>6250</v>
      </c>
      <c r="H35" s="152"/>
      <c r="I35" s="152"/>
      <c r="J35" s="152"/>
      <c r="K35" s="10"/>
    </row>
    <row r="36" spans="1:15" ht="19.95" customHeight="1" x14ac:dyDescent="0.25">
      <c r="A36" s="12" t="s">
        <v>56</v>
      </c>
      <c r="B36" s="115" t="s">
        <v>478</v>
      </c>
      <c r="C36" s="19">
        <v>10000</v>
      </c>
      <c r="D36" s="20">
        <v>0</v>
      </c>
      <c r="E36" s="183">
        <f>RepasseJaneiro25!H169</f>
        <v>10000</v>
      </c>
      <c r="F36" s="152">
        <v>10000</v>
      </c>
      <c r="G36" s="152">
        <v>10000</v>
      </c>
      <c r="H36" s="152"/>
      <c r="I36" s="152"/>
      <c r="J36" s="152"/>
      <c r="K36" s="10"/>
    </row>
    <row r="37" spans="1:15" ht="19.95" customHeight="1" x14ac:dyDescent="0.25">
      <c r="A37" s="12" t="s">
        <v>57</v>
      </c>
      <c r="B37" s="115" t="s">
        <v>479</v>
      </c>
      <c r="C37" s="19">
        <v>15000</v>
      </c>
      <c r="D37" s="20">
        <v>0</v>
      </c>
      <c r="E37" s="183">
        <f>RepasseJaneiro25!H18</f>
        <v>15000</v>
      </c>
      <c r="F37" s="152">
        <v>15000</v>
      </c>
      <c r="G37" s="152">
        <v>15000</v>
      </c>
      <c r="H37" s="152"/>
      <c r="I37" s="152"/>
      <c r="J37" s="152"/>
      <c r="K37" s="10"/>
    </row>
    <row r="38" spans="1:15" ht="19.95" customHeight="1" x14ac:dyDescent="0.25">
      <c r="A38" s="12" t="s">
        <v>58</v>
      </c>
      <c r="B38" s="115" t="s">
        <v>193</v>
      </c>
      <c r="C38" s="19">
        <v>6250</v>
      </c>
      <c r="D38" s="20">
        <v>0</v>
      </c>
      <c r="E38" s="183">
        <v>0</v>
      </c>
      <c r="F38" s="152">
        <f>RepasseFevereiro25!I42</f>
        <v>6500</v>
      </c>
      <c r="G38" s="152">
        <v>6250</v>
      </c>
      <c r="H38" s="152"/>
      <c r="I38" s="152"/>
      <c r="J38" s="152"/>
      <c r="K38" s="10"/>
    </row>
    <row r="39" spans="1:15" ht="19.95" customHeight="1" x14ac:dyDescent="0.25">
      <c r="A39" s="12" t="s">
        <v>59</v>
      </c>
      <c r="B39" s="115" t="s">
        <v>303</v>
      </c>
      <c r="C39" s="19">
        <v>6250</v>
      </c>
      <c r="D39" s="20">
        <v>0</v>
      </c>
      <c r="E39" s="183">
        <v>0</v>
      </c>
      <c r="F39" s="152">
        <f>RepasseFevereiro25!I201</f>
        <v>6500</v>
      </c>
      <c r="G39" s="152">
        <v>6250</v>
      </c>
      <c r="H39" s="152"/>
      <c r="I39" s="152"/>
      <c r="J39" s="152"/>
      <c r="K39" s="10"/>
      <c r="O39" s="101"/>
    </row>
    <row r="40" spans="1:15" ht="19.95" customHeight="1" x14ac:dyDescent="0.25">
      <c r="A40" s="189" t="s">
        <v>585</v>
      </c>
      <c r="B40" s="115" t="s">
        <v>163</v>
      </c>
      <c r="C40" s="19">
        <v>5000</v>
      </c>
      <c r="D40" s="20">
        <v>0</v>
      </c>
      <c r="E40" s="183">
        <v>0</v>
      </c>
      <c r="F40" s="152">
        <v>0</v>
      </c>
      <c r="G40" s="152">
        <v>0</v>
      </c>
      <c r="H40" s="152">
        <v>0</v>
      </c>
      <c r="I40" s="152"/>
      <c r="J40" s="152"/>
      <c r="K40" s="10"/>
      <c r="O40" s="101"/>
    </row>
    <row r="41" spans="1:15" ht="19.95" customHeight="1" x14ac:dyDescent="0.25">
      <c r="A41" s="189" t="s">
        <v>585</v>
      </c>
      <c r="B41" s="115" t="s">
        <v>586</v>
      </c>
      <c r="C41" s="19">
        <v>5000</v>
      </c>
      <c r="D41" s="20">
        <v>0</v>
      </c>
      <c r="E41" s="183">
        <v>0</v>
      </c>
      <c r="F41" s="152">
        <v>0</v>
      </c>
      <c r="G41" s="152">
        <v>0</v>
      </c>
      <c r="H41" s="152">
        <v>0</v>
      </c>
      <c r="I41" s="152"/>
      <c r="J41" s="152"/>
      <c r="K41" s="10"/>
      <c r="O41" s="101"/>
    </row>
    <row r="42" spans="1:15" ht="19.95" customHeight="1" x14ac:dyDescent="0.25">
      <c r="A42" s="189" t="s">
        <v>585</v>
      </c>
      <c r="B42" s="115" t="s">
        <v>587</v>
      </c>
      <c r="C42" s="19">
        <v>5000</v>
      </c>
      <c r="D42" s="20">
        <v>0</v>
      </c>
      <c r="E42" s="183">
        <v>0</v>
      </c>
      <c r="F42" s="152">
        <v>0</v>
      </c>
      <c r="G42" s="152">
        <v>0</v>
      </c>
      <c r="H42" s="152">
        <v>0</v>
      </c>
      <c r="I42" s="152"/>
      <c r="J42" s="152"/>
      <c r="K42" s="10"/>
      <c r="O42" s="101"/>
    </row>
    <row r="43" spans="1:15" ht="19.95" customHeight="1" x14ac:dyDescent="0.25">
      <c r="A43" s="189" t="s">
        <v>585</v>
      </c>
      <c r="B43" s="115" t="s">
        <v>588</v>
      </c>
      <c r="C43" s="19">
        <v>5000</v>
      </c>
      <c r="D43" s="20">
        <v>0</v>
      </c>
      <c r="E43" s="183">
        <v>0</v>
      </c>
      <c r="F43" s="152">
        <v>0</v>
      </c>
      <c r="G43" s="152">
        <v>0</v>
      </c>
      <c r="H43" s="152">
        <v>0</v>
      </c>
      <c r="I43" s="152"/>
      <c r="J43" s="152"/>
      <c r="K43" s="10"/>
      <c r="O43" s="101"/>
    </row>
    <row r="44" spans="1:15" ht="19.95" customHeight="1" x14ac:dyDescent="0.25">
      <c r="A44" s="189" t="s">
        <v>585</v>
      </c>
      <c r="B44" s="115" t="s">
        <v>541</v>
      </c>
      <c r="C44" s="19">
        <v>5000</v>
      </c>
      <c r="D44" s="20">
        <v>0</v>
      </c>
      <c r="E44" s="183">
        <v>0</v>
      </c>
      <c r="F44" s="152">
        <v>0</v>
      </c>
      <c r="G44" s="152">
        <v>0</v>
      </c>
      <c r="H44" s="152">
        <v>0</v>
      </c>
      <c r="I44" s="152"/>
      <c r="J44" s="152"/>
      <c r="K44" s="10"/>
      <c r="O44" s="101"/>
    </row>
    <row r="45" spans="1:15" ht="31.5" customHeight="1" x14ac:dyDescent="0.25">
      <c r="A45" s="12" t="s">
        <v>60</v>
      </c>
      <c r="B45" s="166" t="s">
        <v>390</v>
      </c>
      <c r="C45" s="19">
        <v>12500</v>
      </c>
      <c r="D45" s="20">
        <v>0</v>
      </c>
      <c r="E45" s="183">
        <f>RepasseJaneiro25!H161</f>
        <v>12500</v>
      </c>
      <c r="F45" s="152">
        <v>12000</v>
      </c>
      <c r="G45" s="152">
        <v>12750</v>
      </c>
      <c r="H45" s="152"/>
      <c r="I45" s="152"/>
      <c r="J45" s="152"/>
      <c r="K45" s="10"/>
    </row>
    <row r="46" spans="1:15" ht="33.75" customHeight="1" x14ac:dyDescent="0.25">
      <c r="A46" s="2" t="s">
        <v>61</v>
      </c>
      <c r="B46" s="22">
        <f>D46+C46</f>
        <v>422500</v>
      </c>
      <c r="C46" s="21">
        <f>SUM(C3:C45)</f>
        <v>390000</v>
      </c>
      <c r="D46" s="279">
        <f>SUM(D3:D45)</f>
        <v>32500</v>
      </c>
      <c r="E46" s="185">
        <f>SUM(E3:E45)</f>
        <v>374999.99999999994</v>
      </c>
      <c r="F46" s="180">
        <f>SUM(F3:F45)</f>
        <v>387499.99999999994</v>
      </c>
      <c r="G46" s="180">
        <f t="shared" ref="G46:J46" si="0">SUM(G3:G45)</f>
        <v>387749.99999999994</v>
      </c>
      <c r="H46" s="180">
        <f t="shared" ref="H46:I46" si="1">SUM(H3:H45)</f>
        <v>0</v>
      </c>
      <c r="I46" s="180">
        <f t="shared" si="1"/>
        <v>0</v>
      </c>
      <c r="J46" s="180">
        <f t="shared" si="0"/>
        <v>0</v>
      </c>
      <c r="K46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Q25"/>
  <sheetViews>
    <sheetView showGridLines="0" workbookViewId="0">
      <selection activeCell="I3" sqref="I3:I4"/>
    </sheetView>
  </sheetViews>
  <sheetFormatPr defaultColWidth="12.6640625" defaultRowHeight="15.75" customHeight="1" x14ac:dyDescent="0.25"/>
  <cols>
    <col min="1" max="1" width="31.33203125" customWidth="1"/>
    <col min="2" max="2" width="12.88671875" customWidth="1"/>
    <col min="3" max="3" width="18.6640625" customWidth="1"/>
    <col min="4" max="4" width="19.44140625" customWidth="1"/>
    <col min="5" max="5" width="21.6640625" customWidth="1"/>
    <col min="6" max="6" width="23.33203125" customWidth="1"/>
    <col min="7" max="12" width="16.33203125" style="176" customWidth="1"/>
  </cols>
  <sheetData>
    <row r="1" spans="1:12" ht="30" customHeight="1" x14ac:dyDescent="0.25">
      <c r="A1" s="192" t="s">
        <v>470</v>
      </c>
      <c r="B1" s="195"/>
      <c r="C1" s="197"/>
      <c r="D1" s="197"/>
      <c r="E1" s="197"/>
      <c r="F1" s="197"/>
      <c r="G1" s="174" t="s">
        <v>504</v>
      </c>
      <c r="H1" s="174" t="s">
        <v>505</v>
      </c>
      <c r="I1" s="174" t="s">
        <v>506</v>
      </c>
      <c r="J1" s="174" t="s">
        <v>570</v>
      </c>
      <c r="K1" s="174" t="s">
        <v>584</v>
      </c>
      <c r="L1" s="174" t="s">
        <v>602</v>
      </c>
    </row>
    <row r="2" spans="1:12" ht="30" customHeight="1" x14ac:dyDescent="0.25">
      <c r="A2" s="168" t="s">
        <v>516</v>
      </c>
      <c r="B2" s="168" t="s">
        <v>545</v>
      </c>
      <c r="C2" s="2" t="s">
        <v>63</v>
      </c>
      <c r="D2" s="2" t="s">
        <v>64</v>
      </c>
      <c r="E2" s="11" t="s">
        <v>502</v>
      </c>
      <c r="F2" s="167" t="s">
        <v>582</v>
      </c>
      <c r="G2" s="196" t="s">
        <v>62</v>
      </c>
      <c r="H2" s="196" t="s">
        <v>62</v>
      </c>
      <c r="I2" s="196" t="s">
        <v>62</v>
      </c>
      <c r="J2" s="196" t="s">
        <v>62</v>
      </c>
      <c r="K2" s="196" t="s">
        <v>62</v>
      </c>
      <c r="L2" s="196" t="s">
        <v>62</v>
      </c>
    </row>
    <row r="3" spans="1:12" ht="18.75" customHeight="1" x14ac:dyDescent="0.25">
      <c r="A3" s="212" t="s">
        <v>515</v>
      </c>
      <c r="B3" s="14" t="s">
        <v>105</v>
      </c>
      <c r="C3" s="14" t="s">
        <v>65</v>
      </c>
      <c r="D3" s="103" t="s">
        <v>66</v>
      </c>
      <c r="E3" s="105">
        <v>9709.7000000000007</v>
      </c>
      <c r="F3" s="220">
        <v>15709.7</v>
      </c>
      <c r="G3" s="355">
        <f>SUMIF(RepasseJaneiro25!B:B,"ENDOSCOPIA",RepasseJaneiro25!C:C)</f>
        <v>17209.7</v>
      </c>
      <c r="H3" s="345">
        <f>SUMIF(RepasseFevereiro25!C:C,"ENDOSCOPIA",RepasseFevereiro25!D:D)</f>
        <v>14827</v>
      </c>
      <c r="I3" s="345">
        <f>SUMIF(RepasseMarco25!D:D,"ENDOSCOPIA",RepasseMarco25!E:E)</f>
        <v>16768.349999999999</v>
      </c>
      <c r="J3" s="345"/>
      <c r="K3" s="345"/>
      <c r="L3" s="345"/>
    </row>
    <row r="4" spans="1:12" ht="27.75" customHeight="1" x14ac:dyDescent="0.25">
      <c r="A4" s="212" t="s">
        <v>514</v>
      </c>
      <c r="B4" s="14" t="s">
        <v>105</v>
      </c>
      <c r="C4" s="14" t="s">
        <v>67</v>
      </c>
      <c r="D4" s="103" t="s">
        <v>353</v>
      </c>
      <c r="E4" s="106">
        <v>6000</v>
      </c>
      <c r="F4" s="221"/>
      <c r="G4" s="356"/>
      <c r="H4" s="346"/>
      <c r="I4" s="346"/>
      <c r="J4" s="346"/>
      <c r="K4" s="346"/>
      <c r="L4" s="346"/>
    </row>
    <row r="5" spans="1:12" ht="27.75" customHeight="1" x14ac:dyDescent="0.25">
      <c r="A5" s="212" t="s">
        <v>513</v>
      </c>
      <c r="B5" s="14" t="s">
        <v>250</v>
      </c>
      <c r="C5" s="14" t="s">
        <v>65</v>
      </c>
      <c r="D5" s="103" t="s">
        <v>66</v>
      </c>
      <c r="E5" s="105">
        <v>9709.7000000000007</v>
      </c>
      <c r="F5" s="218">
        <f>E5+E6</f>
        <v>17709.7</v>
      </c>
      <c r="G5" s="362">
        <f>RepasseJaneiro25!C159+RepasseJaneiro25!C163+RepasseJaneiro25!C165+RepasseJaneiro25!C167</f>
        <v>18151.05</v>
      </c>
      <c r="H5" s="345">
        <f>SUMIF(RepasseFevereiro25!C:C,"USG",RepasseFevereiro25!D:D)</f>
        <v>16827.300000000003</v>
      </c>
      <c r="I5" s="345">
        <f>SUMIF(RepasseMarco25!D:D,"USG",RepasseMarco25!E:E)</f>
        <v>19268.350000000002</v>
      </c>
      <c r="J5" s="345"/>
      <c r="K5" s="345"/>
      <c r="L5" s="345"/>
    </row>
    <row r="6" spans="1:12" ht="27.75" customHeight="1" x14ac:dyDescent="0.25">
      <c r="A6" s="212" t="s">
        <v>512</v>
      </c>
      <c r="B6" s="14" t="s">
        <v>250</v>
      </c>
      <c r="C6" s="14" t="s">
        <v>67</v>
      </c>
      <c r="D6" s="103" t="s">
        <v>354</v>
      </c>
      <c r="E6" s="112">
        <v>8000</v>
      </c>
      <c r="F6" s="219"/>
      <c r="G6" s="363"/>
      <c r="H6" s="346"/>
      <c r="I6" s="346"/>
      <c r="J6" s="346"/>
      <c r="K6" s="346"/>
      <c r="L6" s="346"/>
    </row>
    <row r="7" spans="1:12" ht="18.75" customHeight="1" x14ac:dyDescent="0.25">
      <c r="A7" s="6" t="s">
        <v>110</v>
      </c>
      <c r="B7" s="6" t="s">
        <v>110</v>
      </c>
      <c r="C7" s="6" t="s">
        <v>68</v>
      </c>
      <c r="D7" s="6">
        <v>20</v>
      </c>
      <c r="E7" s="104">
        <v>69258</v>
      </c>
      <c r="F7" s="351">
        <v>90138</v>
      </c>
      <c r="G7" s="357">
        <f>RepasseJaneiro25!C20+RepasseJaneiro25!C119</f>
        <v>90314.189999999988</v>
      </c>
      <c r="H7" s="345">
        <f>SUMIF(RepasseFevereiro25!C:C,"ANESTESIA",RepasseFevereiro25!D:D)</f>
        <v>84234.8</v>
      </c>
      <c r="I7" s="345">
        <f>SUMIF(RepasseMarco25!D:D,"ANESTESIA",RepasseMarco25!E:E)</f>
        <v>93692.3</v>
      </c>
      <c r="J7" s="345"/>
      <c r="K7" s="345"/>
      <c r="L7" s="345"/>
    </row>
    <row r="8" spans="1:12" ht="18.75" customHeight="1" x14ac:dyDescent="0.25">
      <c r="A8" s="6" t="s">
        <v>110</v>
      </c>
      <c r="B8" s="6" t="s">
        <v>110</v>
      </c>
      <c r="C8" s="6" t="s">
        <v>69</v>
      </c>
      <c r="D8" s="6">
        <v>6</v>
      </c>
      <c r="E8" s="16">
        <v>20880</v>
      </c>
      <c r="F8" s="352"/>
      <c r="G8" s="359"/>
      <c r="H8" s="346"/>
      <c r="I8" s="346"/>
      <c r="J8" s="346"/>
      <c r="K8" s="346"/>
      <c r="L8" s="346"/>
    </row>
    <row r="9" spans="1:12" ht="18.75" customHeight="1" x14ac:dyDescent="0.25">
      <c r="A9" s="211" t="s">
        <v>510</v>
      </c>
      <c r="B9" s="6" t="s">
        <v>93</v>
      </c>
      <c r="C9" s="6" t="s">
        <v>68</v>
      </c>
      <c r="D9" s="6">
        <v>20</v>
      </c>
      <c r="E9" s="16">
        <v>69258</v>
      </c>
      <c r="F9" s="215">
        <v>138516</v>
      </c>
      <c r="G9" s="357">
        <f>RepasseJaneiro25!C7+RepasseJaneiro25!C22+RepasseJaneiro25!C33+RepasseJaneiro25!C42+RepasseJaneiro25!C47+RepasseJaneiro25!C58+RepasseJaneiro25!C69+RepasseJaneiro25!C78+RepasseJaneiro25!C86+RepasseJaneiro25!C91+RepasseJaneiro25!C98+RepasseJaneiro25!C121+RepasseJaneiro25!C124+RepasseJaneiro25!C152+RepasseJaneiro25!C190+RepasseJaneiro25!C199+RepasseJaneiro25!C203+RepasseJaneiro25!C220+RepasseJaneiro25!C222+RepasseJaneiro25!C244+RepasseJaneiro25!C249+RepasseJaneiro25!C251</f>
        <v>153783.54999999999</v>
      </c>
      <c r="H9" s="345">
        <f>SUMIF(RepasseFevereiro25!C:C,"GO",RepasseFevereiro25!D:D)</f>
        <v>116885</v>
      </c>
      <c r="I9" s="345">
        <f>SUMIF(RepasseMarco25!D:D,"GO",RepasseMarco25!E:E)</f>
        <v>143802.5</v>
      </c>
      <c r="J9" s="345"/>
      <c r="K9" s="345"/>
      <c r="L9" s="345"/>
    </row>
    <row r="10" spans="1:12" ht="18.75" customHeight="1" x14ac:dyDescent="0.25">
      <c r="A10" s="211" t="s">
        <v>511</v>
      </c>
      <c r="B10" s="6" t="s">
        <v>93</v>
      </c>
      <c r="C10" s="6" t="s">
        <v>68</v>
      </c>
      <c r="D10" s="6">
        <v>20</v>
      </c>
      <c r="E10" s="16">
        <v>69258</v>
      </c>
      <c r="F10" s="217"/>
      <c r="G10" s="359"/>
      <c r="H10" s="346"/>
      <c r="I10" s="346"/>
      <c r="J10" s="346"/>
      <c r="K10" s="346"/>
      <c r="L10" s="346"/>
    </row>
    <row r="11" spans="1:12" ht="18.75" customHeight="1" x14ac:dyDescent="0.25">
      <c r="A11" s="210" t="s">
        <v>508</v>
      </c>
      <c r="B11" s="6" t="s">
        <v>103</v>
      </c>
      <c r="C11" s="6" t="s">
        <v>68</v>
      </c>
      <c r="D11" s="6">
        <v>20</v>
      </c>
      <c r="E11" s="16">
        <v>69258</v>
      </c>
      <c r="F11" s="215">
        <v>120861.9</v>
      </c>
      <c r="G11" s="357">
        <f>SUMIF(RepasseJaneiro25!B:B,"CIRURGIA",RepasseJaneiro25!C:C)</f>
        <v>133818.46</v>
      </c>
      <c r="H11" s="345">
        <f>SUMIF(RepasseFevereiro25!C:C,"CIRURGIA",RepasseFevereiro25!D:D)</f>
        <v>109234.83999999998</v>
      </c>
      <c r="I11" s="345">
        <f>SUMIF(RepasseMarco25!D:D,"CIRURGIA",RepasseMarco25!E:E)</f>
        <v>123088.53999999998</v>
      </c>
      <c r="J11" s="345"/>
      <c r="K11" s="345"/>
      <c r="L11" s="345"/>
    </row>
    <row r="12" spans="1:12" ht="18.75" customHeight="1" x14ac:dyDescent="0.25">
      <c r="A12" s="211" t="s">
        <v>509</v>
      </c>
      <c r="B12" s="6" t="s">
        <v>103</v>
      </c>
      <c r="C12" s="6" t="s">
        <v>70</v>
      </c>
      <c r="D12" s="6" t="s">
        <v>71</v>
      </c>
      <c r="E12" s="16">
        <v>51603.9</v>
      </c>
      <c r="F12" s="217"/>
      <c r="G12" s="359"/>
      <c r="H12" s="346"/>
      <c r="I12" s="346"/>
      <c r="J12" s="346"/>
      <c r="K12" s="346"/>
      <c r="L12" s="346"/>
    </row>
    <row r="13" spans="1:12" ht="18.75" customHeight="1" x14ac:dyDescent="0.25">
      <c r="A13" s="6" t="s">
        <v>72</v>
      </c>
      <c r="B13" s="6" t="s">
        <v>87</v>
      </c>
      <c r="C13" s="6" t="s">
        <v>68</v>
      </c>
      <c r="D13" s="6">
        <v>20</v>
      </c>
      <c r="E13" s="16">
        <v>69258</v>
      </c>
      <c r="F13" s="215">
        <v>120861.9</v>
      </c>
      <c r="G13" s="357">
        <f>SUMIF(RepasseJaneiro25!B:B,"ORTOPEDIA",RepasseJaneiro25!C:C)</f>
        <v>135615.04000000001</v>
      </c>
      <c r="H13" s="345">
        <f>SUMIF(RepasseFevereiro25!C:C,"ORTOPEDIA",RepasseFevereiro25!D:D)</f>
        <v>110502.29999999999</v>
      </c>
      <c r="I13" s="345">
        <f>SUMIF(RepasseMarco25!D:D,"ORTOPEDIA",RepasseMarco25!E:E)</f>
        <v>119503.87999999999</v>
      </c>
      <c r="J13" s="345"/>
      <c r="K13" s="345"/>
      <c r="L13" s="345"/>
    </row>
    <row r="14" spans="1:12" ht="18.75" customHeight="1" x14ac:dyDescent="0.25">
      <c r="A14" s="6" t="s">
        <v>73</v>
      </c>
      <c r="B14" s="6" t="s">
        <v>87</v>
      </c>
      <c r="C14" s="6" t="s">
        <v>70</v>
      </c>
      <c r="D14" s="6" t="s">
        <v>71</v>
      </c>
      <c r="E14" s="16">
        <v>51603.9</v>
      </c>
      <c r="F14" s="217"/>
      <c r="G14" s="359"/>
      <c r="H14" s="346"/>
      <c r="I14" s="346"/>
      <c r="J14" s="346"/>
      <c r="K14" s="346"/>
      <c r="L14" s="346"/>
    </row>
    <row r="15" spans="1:12" ht="18.75" customHeight="1" x14ac:dyDescent="0.25">
      <c r="A15" s="210" t="s">
        <v>507</v>
      </c>
      <c r="B15" s="6" t="s">
        <v>95</v>
      </c>
      <c r="C15" s="6" t="s">
        <v>68</v>
      </c>
      <c r="D15" s="6">
        <v>32</v>
      </c>
      <c r="E15" s="16">
        <v>110812.8</v>
      </c>
      <c r="F15" s="215">
        <v>481343.1</v>
      </c>
      <c r="G15" s="357">
        <f>SUMIF(RepasseJaneiro25!B:B,"PEDIATRIA",RepasseJaneiro25!C:C)</f>
        <v>498244.14999999997</v>
      </c>
      <c r="H15" s="345">
        <f>SUMIF(RepasseFevereiro25!C:C,"PEDIATRIA",RepasseFevereiro25!D:D)</f>
        <v>449047.3000000001</v>
      </c>
      <c r="I15" s="345">
        <f>SUMIF(RepasseMarco25!D:D,"PEDIATRIA",RepasseMarco25!E:E)</f>
        <v>502272.87</v>
      </c>
      <c r="J15" s="345"/>
      <c r="K15" s="345"/>
      <c r="L15" s="345"/>
    </row>
    <row r="16" spans="1:12" ht="18.75" customHeight="1" x14ac:dyDescent="0.25">
      <c r="A16" s="211" t="s">
        <v>518</v>
      </c>
      <c r="B16" s="6" t="s">
        <v>95</v>
      </c>
      <c r="C16" s="6" t="s">
        <v>68</v>
      </c>
      <c r="D16" s="6">
        <v>32</v>
      </c>
      <c r="E16" s="16">
        <v>110812.8</v>
      </c>
      <c r="F16" s="216"/>
      <c r="G16" s="358"/>
      <c r="H16" s="347"/>
      <c r="I16" s="347"/>
      <c r="J16" s="347"/>
      <c r="K16" s="347"/>
      <c r="L16" s="347"/>
    </row>
    <row r="17" spans="1:17" ht="18.75" customHeight="1" x14ac:dyDescent="0.25">
      <c r="A17" s="157" t="s">
        <v>517</v>
      </c>
      <c r="B17" s="6" t="s">
        <v>95</v>
      </c>
      <c r="C17" s="6" t="s">
        <v>68</v>
      </c>
      <c r="D17" s="6">
        <v>37.5</v>
      </c>
      <c r="E17" s="16">
        <v>129858.75</v>
      </c>
      <c r="F17" s="216"/>
      <c r="G17" s="358"/>
      <c r="H17" s="347"/>
      <c r="I17" s="347"/>
      <c r="J17" s="347"/>
      <c r="K17" s="347"/>
      <c r="L17" s="347"/>
    </row>
    <row r="18" spans="1:17" ht="18.75" customHeight="1" x14ac:dyDescent="0.25">
      <c r="A18" s="157" t="s">
        <v>519</v>
      </c>
      <c r="B18" s="6" t="s">
        <v>95</v>
      </c>
      <c r="C18" s="6" t="s">
        <v>68</v>
      </c>
      <c r="D18" s="6">
        <v>37.5</v>
      </c>
      <c r="E18" s="16">
        <v>129858.75</v>
      </c>
      <c r="F18" s="216"/>
      <c r="G18" s="358"/>
      <c r="H18" s="346"/>
      <c r="I18" s="346"/>
      <c r="J18" s="346"/>
      <c r="K18" s="346"/>
      <c r="L18" s="346"/>
      <c r="Q18" s="102"/>
    </row>
    <row r="19" spans="1:17" ht="18.75" customHeight="1" x14ac:dyDescent="0.25">
      <c r="A19" s="211" t="s">
        <v>520</v>
      </c>
      <c r="B19" s="6" t="s">
        <v>112</v>
      </c>
      <c r="C19" s="6" t="s">
        <v>68</v>
      </c>
      <c r="D19" s="6">
        <v>25</v>
      </c>
      <c r="E19" s="110">
        <v>86572.5</v>
      </c>
      <c r="F19" s="222">
        <v>173145</v>
      </c>
      <c r="G19" s="360">
        <f>SUMIF(RepasseJaneiro25!B:B,"CLINICA",RepasseJaneiro25!C:C)</f>
        <v>176149.39000000004</v>
      </c>
      <c r="H19" s="345">
        <f>SUMIF(RepasseFevereiro25!C:C,"CLINICA",RepasseFevereiro25!D:D)</f>
        <v>174454.60000000003</v>
      </c>
      <c r="I19" s="345">
        <f>SUMIF(RepasseMarco25!D:D,"CLINICA",RepasseMarco25!E:E)</f>
        <v>181511.19</v>
      </c>
      <c r="J19" s="345"/>
      <c r="K19" s="345"/>
      <c r="L19" s="345"/>
    </row>
    <row r="20" spans="1:17" ht="18.75" customHeight="1" x14ac:dyDescent="0.25">
      <c r="A20" s="211" t="s">
        <v>521</v>
      </c>
      <c r="B20" s="6" t="s">
        <v>112</v>
      </c>
      <c r="C20" s="6" t="s">
        <v>68</v>
      </c>
      <c r="D20" s="224">
        <v>25</v>
      </c>
      <c r="E20" s="164">
        <v>86572.5</v>
      </c>
      <c r="F20" s="223"/>
      <c r="G20" s="361"/>
      <c r="H20" s="346"/>
      <c r="I20" s="346"/>
      <c r="J20" s="346"/>
      <c r="K20" s="346"/>
      <c r="L20" s="346"/>
    </row>
    <row r="21" spans="1:17" ht="18.75" customHeight="1" x14ac:dyDescent="0.25">
      <c r="A21" s="157" t="s">
        <v>522</v>
      </c>
      <c r="B21" s="6" t="s">
        <v>351</v>
      </c>
      <c r="C21" s="6" t="s">
        <v>68</v>
      </c>
      <c r="D21" s="6">
        <v>37.5</v>
      </c>
      <c r="E21" s="104">
        <v>129858.75</v>
      </c>
      <c r="F21" s="214">
        <v>348108.75</v>
      </c>
      <c r="G21" s="353">
        <f>SUMIF(RepasseJaneiro25!B:B,"UTI",RepasseJaneiro25!C:C)+SUMIF(RepasseJaneiro25!B:B,"SOCORRISTA",RepasseJaneiro25!C:C)+SUMIF(RepasseJaneiro25!B:B,"EMERGENCIA",RepasseJaneiro25!C:C)</f>
        <v>385767.11</v>
      </c>
      <c r="H21" s="345">
        <f>SUMIF(RepasseFevereiro25!C:C,"UTI",RepasseFevereiro25!D:D)+SUMIF(RepasseFevereiro25!C:C,"SOCORRISTA",RepasseFevereiro25!D:D)+SUMIF(RepasseFevereiro25!C:C,"EMERGENCIA",RepasseFevereiro25!D:D)</f>
        <v>327011.52</v>
      </c>
      <c r="I21" s="345">
        <f>SUMIF(RepasseMarco25!D:D,"UTI",RepasseMarco25!E:E)+SUMIF(RepasseMarco25!D:D,"SOCORRISTA",RepasseMarco25!E:E)+SUMIF(RepasseMarco25!D:D,"EMERGENCIA",RepasseMarco25!E:E)</f>
        <v>353110.44000000006</v>
      </c>
      <c r="J21" s="345"/>
      <c r="K21" s="345"/>
      <c r="L21" s="345"/>
    </row>
    <row r="22" spans="1:17" ht="18.75" customHeight="1" x14ac:dyDescent="0.25">
      <c r="A22" s="211" t="s">
        <v>523</v>
      </c>
      <c r="B22" s="6" t="s">
        <v>91</v>
      </c>
      <c r="C22" s="6" t="s">
        <v>68</v>
      </c>
      <c r="D22" s="6">
        <v>37.5</v>
      </c>
      <c r="E22" s="100">
        <v>109125</v>
      </c>
      <c r="F22" s="214"/>
      <c r="G22" s="353"/>
      <c r="H22" s="347"/>
      <c r="I22" s="347"/>
      <c r="J22" s="347"/>
      <c r="K22" s="347"/>
      <c r="L22" s="347"/>
    </row>
    <row r="23" spans="1:17" ht="18.75" customHeight="1" x14ac:dyDescent="0.25">
      <c r="A23" s="213" t="s">
        <v>524</v>
      </c>
      <c r="B23" s="161" t="s">
        <v>91</v>
      </c>
      <c r="C23" s="161" t="s">
        <v>68</v>
      </c>
      <c r="D23" s="161">
        <v>37.5</v>
      </c>
      <c r="E23" s="100">
        <v>109125</v>
      </c>
      <c r="F23" s="214"/>
      <c r="G23" s="354"/>
      <c r="H23" s="347"/>
      <c r="I23" s="347"/>
      <c r="J23" s="347"/>
      <c r="K23" s="347"/>
      <c r="L23" s="347"/>
    </row>
    <row r="24" spans="1:17" ht="33.75" customHeight="1" x14ac:dyDescent="0.25">
      <c r="A24" s="348" t="s">
        <v>61</v>
      </c>
      <c r="B24" s="349"/>
      <c r="C24" s="349"/>
      <c r="D24" s="349"/>
      <c r="E24" s="350"/>
      <c r="F24" s="178">
        <f>SUM(F3:F23)</f>
        <v>1506394.0499999998</v>
      </c>
      <c r="G24" s="180">
        <f>SUM(G3:G23)</f>
        <v>1609052.6400000001</v>
      </c>
      <c r="H24" s="181">
        <f>SUM(H3:H23)</f>
        <v>1403024.6600000001</v>
      </c>
      <c r="I24" s="181">
        <f t="shared" ref="I24:L24" si="0">SUM(I3:I23)</f>
        <v>1553018.42</v>
      </c>
      <c r="J24" s="181">
        <f t="shared" ref="J24:K24" si="1">SUM(J3:J23)</f>
        <v>0</v>
      </c>
      <c r="K24" s="181">
        <f t="shared" si="1"/>
        <v>0</v>
      </c>
      <c r="L24" s="181">
        <f t="shared" si="0"/>
        <v>0</v>
      </c>
    </row>
    <row r="25" spans="1:17" ht="18.75" customHeight="1" x14ac:dyDescent="0.25">
      <c r="A25" s="10"/>
      <c r="B25" s="10"/>
      <c r="C25" s="10"/>
      <c r="D25" s="10"/>
      <c r="E25" s="109"/>
      <c r="F25" s="15"/>
      <c r="G25" s="175"/>
      <c r="H25" s="175"/>
      <c r="I25" s="177"/>
      <c r="J25" s="177"/>
      <c r="K25" s="177"/>
      <c r="L25" s="177"/>
    </row>
  </sheetData>
  <mergeCells count="56">
    <mergeCell ref="J13:J14"/>
    <mergeCell ref="J15:J18"/>
    <mergeCell ref="J19:J20"/>
    <mergeCell ref="J21:J23"/>
    <mergeCell ref="K3:K4"/>
    <mergeCell ref="K5:K6"/>
    <mergeCell ref="K7:K8"/>
    <mergeCell ref="K9:K10"/>
    <mergeCell ref="K11:K12"/>
    <mergeCell ref="K13:K14"/>
    <mergeCell ref="K15:K18"/>
    <mergeCell ref="K19:K20"/>
    <mergeCell ref="K21:K23"/>
    <mergeCell ref="J3:J4"/>
    <mergeCell ref="J5:J6"/>
    <mergeCell ref="J7:J8"/>
    <mergeCell ref="J9:J10"/>
    <mergeCell ref="J11:J12"/>
    <mergeCell ref="L13:L14"/>
    <mergeCell ref="L15:L18"/>
    <mergeCell ref="L19:L20"/>
    <mergeCell ref="L21:L23"/>
    <mergeCell ref="L3:L4"/>
    <mergeCell ref="L5:L6"/>
    <mergeCell ref="L7:L8"/>
    <mergeCell ref="L9:L10"/>
    <mergeCell ref="L11:L12"/>
    <mergeCell ref="A24:E24"/>
    <mergeCell ref="F7:F8"/>
    <mergeCell ref="G21:G23"/>
    <mergeCell ref="G3:G4"/>
    <mergeCell ref="G15:G18"/>
    <mergeCell ref="G7:G8"/>
    <mergeCell ref="G19:G20"/>
    <mergeCell ref="G5:G6"/>
    <mergeCell ref="G9:G10"/>
    <mergeCell ref="G11:G12"/>
    <mergeCell ref="G13:G14"/>
    <mergeCell ref="H3:H4"/>
    <mergeCell ref="H7:H8"/>
    <mergeCell ref="H9:H10"/>
    <mergeCell ref="H11:H12"/>
    <mergeCell ref="H13:H14"/>
    <mergeCell ref="H5:H6"/>
    <mergeCell ref="H15:H18"/>
    <mergeCell ref="I13:I14"/>
    <mergeCell ref="I15:I18"/>
    <mergeCell ref="H19:H20"/>
    <mergeCell ref="H21:H23"/>
    <mergeCell ref="I19:I20"/>
    <mergeCell ref="I21:I23"/>
    <mergeCell ref="I5:I6"/>
    <mergeCell ref="I3:I4"/>
    <mergeCell ref="I7:I8"/>
    <mergeCell ref="I9:I10"/>
    <mergeCell ref="I11:I12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48CFF1-F504-4F05-A281-1C12F86D5386}">
          <x14:formula1>
            <xm:f>Dados!$A$1:$A$11</xm:f>
          </x14:formula1>
          <xm:sqref>B3:B23 A7:A8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"/>
  <sheetViews>
    <sheetView showGridLines="0" workbookViewId="0">
      <selection activeCell="I11" sqref="I11"/>
    </sheetView>
  </sheetViews>
  <sheetFormatPr defaultColWidth="12.6640625" defaultRowHeight="15.75" customHeight="1" x14ac:dyDescent="0.25"/>
  <cols>
    <col min="1" max="1" width="32.44140625" customWidth="1"/>
    <col min="2" max="2" width="23.6640625" customWidth="1"/>
    <col min="3" max="3" width="35.33203125" customWidth="1"/>
    <col min="4" max="4" width="44" customWidth="1"/>
    <col min="5" max="10" width="16.33203125" customWidth="1"/>
    <col min="11" max="11" width="6.33203125" customWidth="1"/>
  </cols>
  <sheetData>
    <row r="1" spans="1:11" ht="30" customHeight="1" x14ac:dyDescent="0.25">
      <c r="A1" s="198" t="s">
        <v>493</v>
      </c>
      <c r="B1" s="199"/>
      <c r="C1" s="199"/>
      <c r="D1" s="200"/>
      <c r="E1" s="174" t="s">
        <v>504</v>
      </c>
      <c r="F1" s="174" t="s">
        <v>505</v>
      </c>
      <c r="G1" s="174" t="s">
        <v>506</v>
      </c>
      <c r="H1" s="174" t="s">
        <v>570</v>
      </c>
      <c r="I1" s="174" t="s">
        <v>584</v>
      </c>
      <c r="J1" s="174" t="s">
        <v>602</v>
      </c>
      <c r="K1" s="10"/>
    </row>
    <row r="2" spans="1:11" ht="42.75" customHeight="1" x14ac:dyDescent="0.25">
      <c r="A2" s="168" t="s">
        <v>525</v>
      </c>
      <c r="B2" s="11" t="s">
        <v>502</v>
      </c>
      <c r="C2" s="11" t="s">
        <v>74</v>
      </c>
      <c r="D2" s="119" t="s">
        <v>489</v>
      </c>
      <c r="E2" s="196" t="s">
        <v>62</v>
      </c>
      <c r="F2" s="196" t="s">
        <v>62</v>
      </c>
      <c r="G2" s="196" t="s">
        <v>62</v>
      </c>
      <c r="H2" s="196" t="s">
        <v>62</v>
      </c>
      <c r="I2" s="196" t="s">
        <v>62</v>
      </c>
      <c r="J2" s="196" t="s">
        <v>62</v>
      </c>
      <c r="K2" s="10"/>
    </row>
    <row r="3" spans="1:11" ht="52.95" customHeight="1" x14ac:dyDescent="0.25">
      <c r="A3" s="6" t="s">
        <v>494</v>
      </c>
      <c r="B3" s="159">
        <v>197390.73</v>
      </c>
      <c r="C3" s="165" t="s">
        <v>482</v>
      </c>
      <c r="D3" s="169" t="s">
        <v>490</v>
      </c>
      <c r="E3" s="152">
        <v>138606.93</v>
      </c>
      <c r="F3" s="152">
        <f>RepasseFevereiro25!F256</f>
        <v>193739.96999999997</v>
      </c>
      <c r="G3" s="152">
        <f>RepasseMarco25!G291+RepasseMarco25!H291+RepasseMarco25!I291+RepasseMarco25!J291+RepasseMarco25!L290+RepasseMarco25!M291+RepasseMarco25!O291</f>
        <v>418328.87999999995</v>
      </c>
      <c r="H3" s="152"/>
      <c r="I3" s="152"/>
      <c r="J3" s="152"/>
      <c r="K3" s="10"/>
    </row>
    <row r="4" spans="1:11" ht="33.6" customHeight="1" x14ac:dyDescent="0.25">
      <c r="A4" s="157" t="s">
        <v>495</v>
      </c>
      <c r="B4" s="159">
        <v>20000</v>
      </c>
      <c r="C4" s="165" t="s">
        <v>492</v>
      </c>
      <c r="D4" s="169" t="s">
        <v>491</v>
      </c>
      <c r="E4" s="152">
        <f>RepasseJaneiro25!D262</f>
        <v>22559.774999999998</v>
      </c>
      <c r="F4" s="179">
        <f>RepasseFevereiro25!E257</f>
        <v>15148.975</v>
      </c>
      <c r="G4" s="152">
        <f>RepasseMarco25!F291</f>
        <v>13014.98</v>
      </c>
      <c r="H4" s="152"/>
      <c r="I4" s="152"/>
      <c r="J4" s="152"/>
      <c r="K4" s="10"/>
    </row>
    <row r="5" spans="1:11" ht="33.75" customHeight="1" x14ac:dyDescent="0.25">
      <c r="A5" s="162" t="s">
        <v>583</v>
      </c>
      <c r="B5" s="160">
        <f>SUM(B3:B4)</f>
        <v>217390.73</v>
      </c>
      <c r="C5" s="15"/>
      <c r="D5" s="15"/>
      <c r="E5" s="182">
        <f>SUM(E3:E4)</f>
        <v>161166.70499999999</v>
      </c>
      <c r="F5" s="182">
        <f>SUM(F3:F4)</f>
        <v>208888.94499999998</v>
      </c>
      <c r="G5" s="182">
        <f>SUM(G3:G4)</f>
        <v>431343.85999999993</v>
      </c>
      <c r="H5" s="182">
        <f>SUM(H3:H4)</f>
        <v>0</v>
      </c>
      <c r="I5" s="182">
        <f>SUM(I3:I4)</f>
        <v>0</v>
      </c>
      <c r="J5" s="182">
        <f>SUM(J3:J4)</f>
        <v>0</v>
      </c>
      <c r="K5" s="10"/>
    </row>
    <row r="6" spans="1:11" ht="18.75" customHeight="1" x14ac:dyDescent="0.25">
      <c r="A6" s="10"/>
      <c r="B6" s="13"/>
      <c r="C6" s="13"/>
      <c r="D6" s="15"/>
      <c r="E6" s="15"/>
      <c r="F6" s="15"/>
      <c r="G6" s="15"/>
      <c r="H6" s="15"/>
      <c r="I6" s="15"/>
      <c r="J6" s="15"/>
      <c r="K6" s="1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C557-8AE4-4584-A4C5-B122AB853FBF}">
  <dimension ref="A1:X1294"/>
  <sheetViews>
    <sheetView workbookViewId="0">
      <pane ySplit="2" topLeftCell="A103" activePane="bottomLeft" state="frozen"/>
      <selection pane="bottomLeft" activeCell="G105" sqref="G105"/>
    </sheetView>
  </sheetViews>
  <sheetFormatPr defaultColWidth="9.109375" defaultRowHeight="13.2" x14ac:dyDescent="0.25"/>
  <cols>
    <col min="1" max="1" width="48.33203125" style="33" customWidth="1"/>
    <col min="2" max="2" width="14.44140625" style="80" customWidth="1"/>
    <col min="3" max="3" width="20.6640625" style="36" customWidth="1"/>
    <col min="4" max="4" width="19.88671875" style="36" customWidth="1"/>
    <col min="5" max="5" width="20.44140625" style="36" customWidth="1"/>
    <col min="6" max="6" width="22.44140625" style="36" customWidth="1"/>
    <col min="7" max="7" width="18.88671875" style="36" customWidth="1"/>
    <col min="8" max="8" width="19.5546875" style="36" customWidth="1"/>
    <col min="9" max="9" width="18.5546875" style="33" customWidth="1"/>
    <col min="10" max="23" width="9.109375" style="25"/>
    <col min="24" max="24" width="9.109375" style="91"/>
    <col min="25" max="16384" width="9.109375" style="33"/>
  </cols>
  <sheetData>
    <row r="1" spans="1:24" ht="25.2" customHeight="1" x14ac:dyDescent="0.25">
      <c r="A1" s="364" t="s">
        <v>75</v>
      </c>
      <c r="B1" s="364"/>
      <c r="C1" s="364"/>
      <c r="D1" s="364"/>
      <c r="E1" s="364"/>
      <c r="F1" s="364"/>
      <c r="G1" s="364"/>
      <c r="H1" s="364"/>
      <c r="I1" s="364"/>
    </row>
    <row r="2" spans="1:24" s="34" customFormat="1" ht="40.200000000000003" customHeight="1" x14ac:dyDescent="0.25">
      <c r="A2" s="38" t="s">
        <v>77</v>
      </c>
      <c r="B2" s="74" t="s">
        <v>78</v>
      </c>
      <c r="C2" s="39" t="s">
        <v>79</v>
      </c>
      <c r="D2" s="71" t="s">
        <v>80</v>
      </c>
      <c r="E2" s="39" t="s">
        <v>81</v>
      </c>
      <c r="F2" s="39" t="s">
        <v>82</v>
      </c>
      <c r="G2" s="39" t="s">
        <v>83</v>
      </c>
      <c r="H2" s="39" t="s">
        <v>84</v>
      </c>
      <c r="I2" s="38" t="s">
        <v>85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92"/>
    </row>
    <row r="3" spans="1:24" s="35" customFormat="1" ht="20.25" customHeight="1" x14ac:dyDescent="0.25">
      <c r="A3" s="84" t="s">
        <v>76</v>
      </c>
      <c r="B3" s="85"/>
      <c r="C3" s="83"/>
      <c r="D3" s="83"/>
      <c r="E3" s="83"/>
      <c r="F3" s="83"/>
      <c r="G3" s="83"/>
      <c r="H3" s="83"/>
      <c r="I3" s="8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93"/>
    </row>
    <row r="4" spans="1:24" s="35" customFormat="1" ht="20.25" customHeight="1" x14ac:dyDescent="0.25">
      <c r="A4" s="51" t="s">
        <v>86</v>
      </c>
      <c r="B4" s="75" t="s">
        <v>87</v>
      </c>
      <c r="C4" s="59">
        <f>(485*5)+(1261*2)</f>
        <v>4947</v>
      </c>
      <c r="D4" s="59">
        <f>9*48.5</f>
        <v>436.5</v>
      </c>
      <c r="E4" s="59">
        <v>114.08</v>
      </c>
      <c r="F4" s="59">
        <v>130</v>
      </c>
      <c r="G4" s="59"/>
      <c r="H4" s="59"/>
      <c r="I4" s="60">
        <f>SUM(C4:H4)</f>
        <v>5627.58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93"/>
    </row>
    <row r="5" spans="1:24" s="35" customFormat="1" ht="20.25" customHeight="1" x14ac:dyDescent="0.25">
      <c r="A5" s="51" t="s">
        <v>88</v>
      </c>
      <c r="B5" s="75" t="s">
        <v>89</v>
      </c>
      <c r="C5" s="59"/>
      <c r="D5" s="59"/>
      <c r="E5" s="59"/>
      <c r="F5" s="59"/>
      <c r="G5" s="59">
        <v>15000</v>
      </c>
      <c r="H5" s="59"/>
      <c r="I5" s="60">
        <f t="shared" ref="I5:I47" si="0">SUM(C5:H5)</f>
        <v>15000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93"/>
    </row>
    <row r="6" spans="1:24" s="35" customFormat="1" ht="20.25" customHeight="1" x14ac:dyDescent="0.25">
      <c r="A6" s="51" t="s">
        <v>90</v>
      </c>
      <c r="B6" s="75" t="s">
        <v>91</v>
      </c>
      <c r="C6" s="59">
        <v>10912.5</v>
      </c>
      <c r="D6" s="59"/>
      <c r="E6" s="59"/>
      <c r="F6" s="59"/>
      <c r="G6" s="59"/>
      <c r="H6" s="59">
        <v>12500</v>
      </c>
      <c r="I6" s="60">
        <f t="shared" si="0"/>
        <v>23412.5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93"/>
    </row>
    <row r="7" spans="1:24" s="35" customFormat="1" ht="20.25" customHeight="1" x14ac:dyDescent="0.25">
      <c r="A7" s="51" t="s">
        <v>92</v>
      </c>
      <c r="B7" s="75" t="s">
        <v>93</v>
      </c>
      <c r="C7" s="59">
        <v>4171</v>
      </c>
      <c r="D7" s="59"/>
      <c r="E7" s="59">
        <v>473.76</v>
      </c>
      <c r="F7" s="59">
        <v>260</v>
      </c>
      <c r="G7" s="59"/>
      <c r="H7" s="59"/>
      <c r="I7" s="60">
        <f t="shared" si="0"/>
        <v>4904.76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93"/>
    </row>
    <row r="8" spans="1:24" s="35" customFormat="1" ht="20.25" customHeight="1" x14ac:dyDescent="0.25">
      <c r="A8" s="51" t="s">
        <v>94</v>
      </c>
      <c r="B8" s="75" t="s">
        <v>95</v>
      </c>
      <c r="C8" s="59">
        <v>43104.38</v>
      </c>
      <c r="D8" s="59"/>
      <c r="E8" s="59"/>
      <c r="F8" s="59">
        <v>2050</v>
      </c>
      <c r="G8" s="59">
        <v>5000</v>
      </c>
      <c r="H8" s="59"/>
      <c r="I8" s="60">
        <f t="shared" si="0"/>
        <v>50154.38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93"/>
    </row>
    <row r="9" spans="1:24" s="35" customFormat="1" ht="20.25" customHeight="1" x14ac:dyDescent="0.25">
      <c r="A9" s="51" t="s">
        <v>96</v>
      </c>
      <c r="B9" s="75" t="s">
        <v>91</v>
      </c>
      <c r="C9" s="59">
        <v>9093.75</v>
      </c>
      <c r="D9" s="59"/>
      <c r="E9" s="59"/>
      <c r="F9" s="59">
        <v>425</v>
      </c>
      <c r="G9" s="59"/>
      <c r="H9" s="59"/>
      <c r="I9" s="60">
        <f t="shared" si="0"/>
        <v>9518.75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93"/>
    </row>
    <row r="10" spans="1:24" s="35" customFormat="1" ht="20.25" customHeight="1" x14ac:dyDescent="0.25">
      <c r="A10" s="51" t="s">
        <v>97</v>
      </c>
      <c r="B10" s="75" t="s">
        <v>89</v>
      </c>
      <c r="C10" s="59"/>
      <c r="D10" s="59"/>
      <c r="E10" s="59">
        <v>441.35</v>
      </c>
      <c r="F10" s="59"/>
      <c r="G10" s="59"/>
      <c r="H10" s="59">
        <v>12500</v>
      </c>
      <c r="I10" s="60">
        <f t="shared" si="0"/>
        <v>12941.35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93"/>
    </row>
    <row r="11" spans="1:24" s="35" customFormat="1" ht="20.25" customHeight="1" x14ac:dyDescent="0.25">
      <c r="A11" s="51" t="s">
        <v>98</v>
      </c>
      <c r="B11" s="75" t="s">
        <v>95</v>
      </c>
      <c r="C11" s="59">
        <v>25007.81</v>
      </c>
      <c r="D11" s="59"/>
      <c r="E11" s="59">
        <v>472.88</v>
      </c>
      <c r="F11" s="59">
        <v>1200</v>
      </c>
      <c r="G11" s="59">
        <v>2500</v>
      </c>
      <c r="H11" s="59">
        <f>12500+6250</f>
        <v>18750</v>
      </c>
      <c r="I11" s="60">
        <f t="shared" si="0"/>
        <v>47930.69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93"/>
    </row>
    <row r="12" spans="1:24" s="35" customFormat="1" ht="20.25" customHeight="1" x14ac:dyDescent="0.25">
      <c r="A12" s="51" t="s">
        <v>99</v>
      </c>
      <c r="B12" s="75" t="s">
        <v>95</v>
      </c>
      <c r="C12" s="59">
        <v>10185</v>
      </c>
      <c r="D12" s="59"/>
      <c r="E12" s="59">
        <v>171.12</v>
      </c>
      <c r="F12" s="59"/>
      <c r="G12" s="59"/>
      <c r="H12" s="59"/>
      <c r="I12" s="60">
        <f t="shared" si="0"/>
        <v>10356.120000000001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93"/>
    </row>
    <row r="13" spans="1:24" s="35" customFormat="1" ht="20.25" customHeight="1" x14ac:dyDescent="0.25">
      <c r="A13" s="51" t="s">
        <v>100</v>
      </c>
      <c r="B13" s="75"/>
      <c r="C13" s="59"/>
      <c r="D13" s="59"/>
      <c r="E13" s="59">
        <v>987.57</v>
      </c>
      <c r="F13" s="59"/>
      <c r="G13" s="59"/>
      <c r="H13" s="59">
        <v>6250</v>
      </c>
      <c r="I13" s="60">
        <f t="shared" si="0"/>
        <v>7237.57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93"/>
    </row>
    <row r="14" spans="1:24" s="35" customFormat="1" ht="20.25" customHeight="1" x14ac:dyDescent="0.25">
      <c r="A14" s="51" t="s">
        <v>101</v>
      </c>
      <c r="B14" s="75" t="s">
        <v>352</v>
      </c>
      <c r="C14" s="59">
        <f>10094.06+5456.25</f>
        <v>15550.31</v>
      </c>
      <c r="D14" s="59"/>
      <c r="E14" s="59">
        <v>342.24</v>
      </c>
      <c r="F14" s="59">
        <v>130</v>
      </c>
      <c r="G14" s="59">
        <v>20000</v>
      </c>
      <c r="H14" s="59">
        <v>7500</v>
      </c>
      <c r="I14" s="60">
        <f t="shared" si="0"/>
        <v>43522.55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93"/>
    </row>
    <row r="15" spans="1:24" s="35" customFormat="1" ht="20.25" customHeight="1" x14ac:dyDescent="0.25">
      <c r="A15" s="51" t="s">
        <v>102</v>
      </c>
      <c r="B15" s="75" t="s">
        <v>103</v>
      </c>
      <c r="C15" s="59">
        <v>28734.62</v>
      </c>
      <c r="D15" s="59"/>
      <c r="E15" s="59">
        <f>2227.25+730.68</f>
        <v>2957.93</v>
      </c>
      <c r="F15" s="59">
        <v>1530</v>
      </c>
      <c r="G15" s="59"/>
      <c r="H15" s="59"/>
      <c r="I15" s="60">
        <f t="shared" si="0"/>
        <v>33222.550000000003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93"/>
    </row>
    <row r="16" spans="1:24" s="35" customFormat="1" ht="20.25" customHeight="1" x14ac:dyDescent="0.25">
      <c r="A16" s="51" t="s">
        <v>104</v>
      </c>
      <c r="B16" s="75" t="s">
        <v>105</v>
      </c>
      <c r="C16" s="59">
        <v>5206.75</v>
      </c>
      <c r="D16" s="59"/>
      <c r="E16" s="59">
        <v>372.09</v>
      </c>
      <c r="F16" s="59"/>
      <c r="G16" s="59"/>
      <c r="H16" s="59">
        <v>15000</v>
      </c>
      <c r="I16" s="60">
        <f t="shared" si="0"/>
        <v>20578.84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93"/>
    </row>
    <row r="17" spans="1:24" s="35" customFormat="1" ht="20.25" customHeight="1" x14ac:dyDescent="0.25">
      <c r="A17" s="51" t="s">
        <v>106</v>
      </c>
      <c r="B17" s="75"/>
      <c r="C17" s="59"/>
      <c r="D17" s="59"/>
      <c r="E17" s="59"/>
      <c r="F17" s="59"/>
      <c r="G17" s="59">
        <v>2500</v>
      </c>
      <c r="H17" s="59">
        <v>12500</v>
      </c>
      <c r="I17" s="60">
        <f t="shared" si="0"/>
        <v>15000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93"/>
    </row>
    <row r="18" spans="1:24" s="35" customFormat="1" ht="20.25" customHeight="1" x14ac:dyDescent="0.25">
      <c r="A18" s="51" t="s">
        <v>107</v>
      </c>
      <c r="B18" s="75" t="s">
        <v>89</v>
      </c>
      <c r="C18" s="59"/>
      <c r="D18" s="59"/>
      <c r="E18" s="59"/>
      <c r="F18" s="59"/>
      <c r="G18" s="59"/>
      <c r="H18" s="59">
        <v>15000</v>
      </c>
      <c r="I18" s="60">
        <f t="shared" si="0"/>
        <v>15000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93"/>
    </row>
    <row r="19" spans="1:24" s="35" customFormat="1" ht="20.25" customHeight="1" x14ac:dyDescent="0.25">
      <c r="A19" s="51" t="s">
        <v>108</v>
      </c>
      <c r="B19" s="75" t="s">
        <v>89</v>
      </c>
      <c r="C19" s="59"/>
      <c r="D19" s="59"/>
      <c r="E19" s="59"/>
      <c r="F19" s="59">
        <v>498.9</v>
      </c>
      <c r="G19" s="59"/>
      <c r="H19" s="59"/>
      <c r="I19" s="60">
        <f t="shared" si="0"/>
        <v>498.9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93"/>
    </row>
    <row r="20" spans="1:24" s="35" customFormat="1" ht="20.25" customHeight="1" x14ac:dyDescent="0.25">
      <c r="A20" s="48" t="s">
        <v>109</v>
      </c>
      <c r="B20" s="75" t="s">
        <v>110</v>
      </c>
      <c r="C20" s="59">
        <v>83165.289999999994</v>
      </c>
      <c r="D20" s="59"/>
      <c r="E20" s="59">
        <v>25009.97</v>
      </c>
      <c r="F20" s="59">
        <v>18810.080000000002</v>
      </c>
      <c r="G20" s="59">
        <v>5000</v>
      </c>
      <c r="H20" s="59"/>
      <c r="I20" s="60">
        <f t="shared" si="0"/>
        <v>131985.34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93"/>
    </row>
    <row r="21" spans="1:24" s="35" customFormat="1" ht="20.25" customHeight="1" x14ac:dyDescent="0.25">
      <c r="A21" s="51" t="s">
        <v>111</v>
      </c>
      <c r="B21" s="75" t="s">
        <v>112</v>
      </c>
      <c r="C21" s="59">
        <f>(788.13*1)+(606.25*5)</f>
        <v>3819.38</v>
      </c>
      <c r="D21" s="59">
        <f>(6.5*63.05)+(48.5*25.5)</f>
        <v>1646.575</v>
      </c>
      <c r="E21" s="59"/>
      <c r="F21" s="59"/>
      <c r="G21" s="59"/>
      <c r="H21" s="59">
        <v>7500</v>
      </c>
      <c r="I21" s="60">
        <f t="shared" si="0"/>
        <v>12965.955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93"/>
    </row>
    <row r="22" spans="1:24" s="35" customFormat="1" ht="20.25" customHeight="1" x14ac:dyDescent="0.25">
      <c r="A22" s="51" t="s">
        <v>113</v>
      </c>
      <c r="B22" s="75" t="s">
        <v>93</v>
      </c>
      <c r="C22" s="59">
        <v>970</v>
      </c>
      <c r="D22" s="59"/>
      <c r="E22" s="59"/>
      <c r="F22" s="59"/>
      <c r="G22" s="59"/>
      <c r="H22" s="59"/>
      <c r="I22" s="60">
        <f t="shared" si="0"/>
        <v>970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93"/>
    </row>
    <row r="23" spans="1:24" s="35" customFormat="1" ht="20.25" customHeight="1" x14ac:dyDescent="0.25">
      <c r="A23" s="51" t="s">
        <v>114</v>
      </c>
      <c r="B23" s="75" t="s">
        <v>103</v>
      </c>
      <c r="C23" s="59">
        <v>3395</v>
      </c>
      <c r="D23" s="59"/>
      <c r="E23" s="59">
        <v>921.16</v>
      </c>
      <c r="F23" s="59">
        <v>520</v>
      </c>
      <c r="G23" s="59"/>
      <c r="H23" s="59"/>
      <c r="I23" s="60">
        <f t="shared" si="0"/>
        <v>4836.16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93"/>
    </row>
    <row r="24" spans="1:24" s="35" customFormat="1" ht="20.25" customHeight="1" x14ac:dyDescent="0.25">
      <c r="A24" s="51" t="s">
        <v>115</v>
      </c>
      <c r="B24" s="75" t="s">
        <v>89</v>
      </c>
      <c r="C24" s="59"/>
      <c r="D24" s="59"/>
      <c r="E24" s="59"/>
      <c r="F24" s="59"/>
      <c r="G24" s="59">
        <v>25000</v>
      </c>
      <c r="H24" s="59"/>
      <c r="I24" s="60">
        <f t="shared" si="0"/>
        <v>25000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93"/>
    </row>
    <row r="25" spans="1:24" s="35" customFormat="1" ht="20.25" customHeight="1" x14ac:dyDescent="0.25">
      <c r="A25" s="51" t="s">
        <v>116</v>
      </c>
      <c r="B25" s="75" t="s">
        <v>352</v>
      </c>
      <c r="C25" s="59">
        <f>5092.5+9093.75</f>
        <v>14186.25</v>
      </c>
      <c r="D25" s="59"/>
      <c r="E25" s="59"/>
      <c r="F25" s="59">
        <v>525</v>
      </c>
      <c r="G25" s="59">
        <f>2500+20000</f>
        <v>22500</v>
      </c>
      <c r="H25" s="59">
        <f>15000+4166.67</f>
        <v>19166.669999999998</v>
      </c>
      <c r="I25" s="60">
        <f t="shared" si="0"/>
        <v>56377.919999999998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93"/>
    </row>
    <row r="26" spans="1:24" s="35" customFormat="1" ht="20.25" customHeight="1" x14ac:dyDescent="0.25">
      <c r="A26" s="51" t="s">
        <v>117</v>
      </c>
      <c r="B26" s="75"/>
      <c r="C26" s="59"/>
      <c r="D26" s="59"/>
      <c r="E26" s="59"/>
      <c r="F26" s="59"/>
      <c r="G26" s="59">
        <v>5000</v>
      </c>
      <c r="H26" s="59"/>
      <c r="I26" s="60">
        <f t="shared" si="0"/>
        <v>5000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93"/>
    </row>
    <row r="27" spans="1:24" s="35" customFormat="1" ht="20.25" customHeight="1" x14ac:dyDescent="0.25">
      <c r="A27" s="51" t="s">
        <v>118</v>
      </c>
      <c r="B27" s="75" t="s">
        <v>89</v>
      </c>
      <c r="C27" s="59"/>
      <c r="D27" s="59"/>
      <c r="E27" s="59"/>
      <c r="F27" s="59">
        <v>850.5</v>
      </c>
      <c r="G27" s="59">
        <v>2500</v>
      </c>
      <c r="H27" s="59"/>
      <c r="I27" s="60">
        <f t="shared" si="0"/>
        <v>3350.5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93"/>
    </row>
    <row r="28" spans="1:24" s="35" customFormat="1" ht="20.25" customHeight="1" x14ac:dyDescent="0.25">
      <c r="A28" s="51" t="s">
        <v>119</v>
      </c>
      <c r="B28" s="75" t="s">
        <v>112</v>
      </c>
      <c r="C28" s="59">
        <f>(788.13*2)+(606.25*2)</f>
        <v>2788.76</v>
      </c>
      <c r="D28" s="59">
        <f>5*48.5</f>
        <v>242.5</v>
      </c>
      <c r="E28" s="59"/>
      <c r="F28" s="59"/>
      <c r="G28" s="59"/>
      <c r="H28" s="59"/>
      <c r="I28" s="60">
        <f t="shared" si="0"/>
        <v>3031.26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93"/>
    </row>
    <row r="29" spans="1:24" s="35" customFormat="1" ht="20.25" customHeight="1" x14ac:dyDescent="0.25">
      <c r="A29" s="51" t="s">
        <v>120</v>
      </c>
      <c r="B29" s="75"/>
      <c r="C29" s="59"/>
      <c r="D29" s="59"/>
      <c r="E29" s="59">
        <v>269.58</v>
      </c>
      <c r="F29" s="59"/>
      <c r="G29" s="59"/>
      <c r="H29" s="59">
        <v>6250</v>
      </c>
      <c r="I29" s="60">
        <f t="shared" si="0"/>
        <v>6519.58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93"/>
    </row>
    <row r="30" spans="1:24" s="35" customFormat="1" ht="20.25" customHeight="1" x14ac:dyDescent="0.25">
      <c r="A30" s="51" t="s">
        <v>121</v>
      </c>
      <c r="B30" s="75" t="s">
        <v>89</v>
      </c>
      <c r="C30" s="59"/>
      <c r="D30" s="59"/>
      <c r="E30" s="59"/>
      <c r="F30" s="59">
        <v>9000</v>
      </c>
      <c r="G30" s="59"/>
      <c r="H30" s="59">
        <v>15000</v>
      </c>
      <c r="I30" s="60">
        <f t="shared" si="0"/>
        <v>24000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93"/>
    </row>
    <row r="31" spans="1:24" s="35" customFormat="1" ht="20.25" customHeight="1" x14ac:dyDescent="0.25">
      <c r="A31" s="51" t="s">
        <v>122</v>
      </c>
      <c r="B31" s="75" t="s">
        <v>89</v>
      </c>
      <c r="C31" s="59"/>
      <c r="D31" s="61"/>
      <c r="E31" s="61"/>
      <c r="F31" s="61"/>
      <c r="G31" s="59"/>
      <c r="H31" s="59">
        <v>12500</v>
      </c>
      <c r="I31" s="60">
        <f>SUM(C31:H31)</f>
        <v>12500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93"/>
    </row>
    <row r="32" spans="1:24" s="35" customFormat="1" ht="20.25" customHeight="1" x14ac:dyDescent="0.25">
      <c r="A32" s="51" t="s">
        <v>123</v>
      </c>
      <c r="B32" s="75" t="s">
        <v>89</v>
      </c>
      <c r="C32" s="59"/>
      <c r="D32" s="59"/>
      <c r="E32" s="59"/>
      <c r="F32" s="59"/>
      <c r="G32" s="59">
        <v>5000</v>
      </c>
      <c r="H32" s="59">
        <v>15000</v>
      </c>
      <c r="I32" s="60">
        <f t="shared" si="0"/>
        <v>20000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93"/>
    </row>
    <row r="33" spans="1:24" s="35" customFormat="1" ht="20.25" customHeight="1" x14ac:dyDescent="0.25">
      <c r="A33" s="51" t="s">
        <v>124</v>
      </c>
      <c r="B33" s="75" t="s">
        <v>93</v>
      </c>
      <c r="C33" s="59">
        <v>6984</v>
      </c>
      <c r="D33" s="59"/>
      <c r="E33" s="59">
        <f>727.83+2350.2</f>
        <v>3078.0299999999997</v>
      </c>
      <c r="F33" s="59">
        <v>780</v>
      </c>
      <c r="G33" s="59"/>
      <c r="H33" s="59"/>
      <c r="I33" s="60">
        <f t="shared" si="0"/>
        <v>10842.029999999999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93"/>
    </row>
    <row r="34" spans="1:24" s="35" customFormat="1" ht="20.25" customHeight="1" x14ac:dyDescent="0.25">
      <c r="A34" s="51" t="s">
        <v>125</v>
      </c>
      <c r="B34" s="75" t="s">
        <v>112</v>
      </c>
      <c r="C34" s="59">
        <f>(3*788.13)+(606.25*7)</f>
        <v>6608.1399999999994</v>
      </c>
      <c r="D34" s="59">
        <f>(56.5*48.5)+(24*63.05)</f>
        <v>4253.45</v>
      </c>
      <c r="E34" s="59"/>
      <c r="F34" s="59">
        <v>1500</v>
      </c>
      <c r="G34" s="59"/>
      <c r="H34" s="59"/>
      <c r="I34" s="60">
        <f t="shared" si="0"/>
        <v>12361.59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93"/>
    </row>
    <row r="35" spans="1:24" s="35" customFormat="1" ht="20.25" customHeight="1" x14ac:dyDescent="0.25">
      <c r="A35" s="51" t="s">
        <v>126</v>
      </c>
      <c r="B35" s="75" t="s">
        <v>91</v>
      </c>
      <c r="C35" s="59">
        <v>18187.5</v>
      </c>
      <c r="D35" s="59"/>
      <c r="E35" s="59">
        <v>155.36000000000001</v>
      </c>
      <c r="F35" s="59"/>
      <c r="G35" s="59"/>
      <c r="H35" s="59">
        <v>12500</v>
      </c>
      <c r="I35" s="60">
        <f t="shared" si="0"/>
        <v>30842.86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93"/>
    </row>
    <row r="36" spans="1:24" s="35" customFormat="1" ht="20.25" customHeight="1" x14ac:dyDescent="0.25">
      <c r="A36" s="51" t="s">
        <v>127</v>
      </c>
      <c r="B36" s="75" t="s">
        <v>95</v>
      </c>
      <c r="C36" s="59">
        <v>8070</v>
      </c>
      <c r="D36" s="59"/>
      <c r="E36" s="59"/>
      <c r="F36" s="59">
        <v>260</v>
      </c>
      <c r="G36" s="59"/>
      <c r="H36" s="59"/>
      <c r="I36" s="60">
        <f t="shared" si="0"/>
        <v>8330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93"/>
    </row>
    <row r="37" spans="1:24" s="32" customFormat="1" ht="20.25" customHeight="1" x14ac:dyDescent="0.25">
      <c r="A37" s="51" t="s">
        <v>128</v>
      </c>
      <c r="B37" s="75" t="s">
        <v>112</v>
      </c>
      <c r="C37" s="59">
        <f>(1*788.13)+(11*606.25)</f>
        <v>7456.88</v>
      </c>
      <c r="D37" s="61">
        <f>(6.5*63.05)+(77.5*48.5)</f>
        <v>4168.5749999999998</v>
      </c>
      <c r="E37" s="59"/>
      <c r="F37" s="59">
        <v>650</v>
      </c>
      <c r="G37" s="59"/>
      <c r="H37" s="61"/>
      <c r="I37" s="60">
        <f t="shared" si="0"/>
        <v>12275.455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94"/>
    </row>
    <row r="38" spans="1:24" s="32" customFormat="1" ht="20.25" customHeight="1" x14ac:dyDescent="0.25">
      <c r="A38" s="51" t="s">
        <v>129</v>
      </c>
      <c r="B38" s="75" t="s">
        <v>91</v>
      </c>
      <c r="C38" s="59">
        <v>1818.75</v>
      </c>
      <c r="D38" s="61"/>
      <c r="E38" s="59">
        <v>57.04</v>
      </c>
      <c r="F38" s="59">
        <v>600</v>
      </c>
      <c r="G38" s="59">
        <v>17500</v>
      </c>
      <c r="H38" s="59">
        <v>2500</v>
      </c>
      <c r="I38" s="60">
        <f t="shared" si="0"/>
        <v>22475.79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94"/>
    </row>
    <row r="39" spans="1:24" s="32" customFormat="1" ht="20.25" customHeight="1" x14ac:dyDescent="0.25">
      <c r="A39" s="51" t="s">
        <v>130</v>
      </c>
      <c r="B39" s="75" t="s">
        <v>112</v>
      </c>
      <c r="C39" s="59">
        <f>(788.13*4)+(606.25*11)</f>
        <v>9821.27</v>
      </c>
      <c r="D39" s="61">
        <f>(65*48.5)</f>
        <v>3152.5</v>
      </c>
      <c r="E39" s="59"/>
      <c r="F39" s="59">
        <v>390</v>
      </c>
      <c r="G39" s="59">
        <v>5000</v>
      </c>
      <c r="H39" s="61"/>
      <c r="I39" s="60">
        <f>SUM(C39:H39)</f>
        <v>18363.77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94"/>
    </row>
    <row r="40" spans="1:24" s="32" customFormat="1" ht="20.25" customHeight="1" x14ac:dyDescent="0.25">
      <c r="A40" s="51" t="s">
        <v>131</v>
      </c>
      <c r="B40" s="75" t="s">
        <v>95</v>
      </c>
      <c r="C40" s="60">
        <v>14186.25</v>
      </c>
      <c r="D40" s="62"/>
      <c r="E40" s="60"/>
      <c r="F40" s="60"/>
      <c r="G40" s="60"/>
      <c r="H40" s="62"/>
      <c r="I40" s="60">
        <f>SUM(C40:H40)</f>
        <v>14186.25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94"/>
    </row>
    <row r="41" spans="1:24" s="32" customFormat="1" ht="20.25" customHeight="1" x14ac:dyDescent="0.25">
      <c r="A41" s="51" t="s">
        <v>132</v>
      </c>
      <c r="B41" s="75" t="s">
        <v>89</v>
      </c>
      <c r="C41" s="59"/>
      <c r="D41" s="61"/>
      <c r="E41" s="59"/>
      <c r="F41" s="59">
        <v>285</v>
      </c>
      <c r="G41" s="59"/>
      <c r="H41" s="61"/>
      <c r="I41" s="60">
        <f t="shared" si="0"/>
        <v>285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94"/>
    </row>
    <row r="42" spans="1:24" s="32" customFormat="1" ht="20.25" customHeight="1" x14ac:dyDescent="0.25">
      <c r="A42" s="51" t="s">
        <v>133</v>
      </c>
      <c r="B42" s="75" t="s">
        <v>93</v>
      </c>
      <c r="C42" s="59">
        <v>8245</v>
      </c>
      <c r="D42" s="61"/>
      <c r="E42" s="59">
        <v>471.79</v>
      </c>
      <c r="F42" s="59">
        <v>780</v>
      </c>
      <c r="G42" s="59"/>
      <c r="H42" s="61"/>
      <c r="I42" s="60">
        <f t="shared" si="0"/>
        <v>9496.7900000000009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94"/>
    </row>
    <row r="43" spans="1:24" s="32" customFormat="1" ht="20.25" customHeight="1" x14ac:dyDescent="0.25">
      <c r="A43" s="51" t="s">
        <v>134</v>
      </c>
      <c r="B43" s="75" t="s">
        <v>352</v>
      </c>
      <c r="C43" s="59">
        <f>13095+22734.38</f>
        <v>35829.380000000005</v>
      </c>
      <c r="D43" s="61"/>
      <c r="E43" s="59"/>
      <c r="F43" s="59"/>
      <c r="G43" s="59"/>
      <c r="H43" s="61"/>
      <c r="I43" s="60">
        <f t="shared" si="0"/>
        <v>35829.380000000005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94"/>
    </row>
    <row r="44" spans="1:24" s="32" customFormat="1" ht="20.25" customHeight="1" x14ac:dyDescent="0.25">
      <c r="A44" s="51" t="s">
        <v>135</v>
      </c>
      <c r="B44" s="75" t="s">
        <v>87</v>
      </c>
      <c r="C44" s="59">
        <f>(4*1261)</f>
        <v>5044</v>
      </c>
      <c r="D44" s="61"/>
      <c r="E44" s="59"/>
      <c r="F44" s="59">
        <v>260</v>
      </c>
      <c r="G44" s="59"/>
      <c r="H44" s="61"/>
      <c r="I44" s="60">
        <f t="shared" si="0"/>
        <v>5304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94"/>
    </row>
    <row r="45" spans="1:24" s="32" customFormat="1" ht="20.25" customHeight="1" x14ac:dyDescent="0.25">
      <c r="A45" s="51" t="s">
        <v>136</v>
      </c>
      <c r="B45" s="75"/>
      <c r="C45" s="59"/>
      <c r="D45" s="61"/>
      <c r="E45" s="59">
        <v>349.08</v>
      </c>
      <c r="F45" s="59"/>
      <c r="G45" s="59"/>
      <c r="H45" s="59">
        <v>6250</v>
      </c>
      <c r="I45" s="60">
        <f t="shared" si="0"/>
        <v>6599.08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94"/>
    </row>
    <row r="46" spans="1:24" s="32" customFormat="1" ht="20.25" customHeight="1" x14ac:dyDescent="0.25">
      <c r="A46" s="51" t="s">
        <v>137</v>
      </c>
      <c r="B46" s="75" t="s">
        <v>87</v>
      </c>
      <c r="C46" s="59">
        <f>(3*672.53)</f>
        <v>2017.59</v>
      </c>
      <c r="D46" s="61"/>
      <c r="E46" s="59"/>
      <c r="F46" s="59"/>
      <c r="G46" s="59"/>
      <c r="H46" s="61"/>
      <c r="I46" s="60">
        <f t="shared" si="0"/>
        <v>2017.59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94"/>
    </row>
    <row r="47" spans="1:24" s="32" customFormat="1" ht="20.25" customHeight="1" x14ac:dyDescent="0.25">
      <c r="A47" s="51" t="s">
        <v>138</v>
      </c>
      <c r="B47" s="75" t="s">
        <v>93</v>
      </c>
      <c r="C47" s="59">
        <v>18333</v>
      </c>
      <c r="D47" s="61"/>
      <c r="E47" s="59">
        <v>897.35</v>
      </c>
      <c r="F47" s="59"/>
      <c r="G47" s="59"/>
      <c r="H47" s="61"/>
      <c r="I47" s="60">
        <f t="shared" si="0"/>
        <v>19230.349999999999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94"/>
    </row>
    <row r="48" spans="1:24" s="51" customFormat="1" ht="20.25" customHeight="1" x14ac:dyDescent="0.25">
      <c r="A48" s="73" t="s">
        <v>85</v>
      </c>
      <c r="B48" s="78"/>
      <c r="C48" s="63">
        <f t="shared" ref="C48:I48" si="1">SUM(C4:C47)</f>
        <v>407839.56000000006</v>
      </c>
      <c r="D48" s="63">
        <f t="shared" si="1"/>
        <v>13900.099999999999</v>
      </c>
      <c r="E48" s="63">
        <f t="shared" si="1"/>
        <v>37542.380000000005</v>
      </c>
      <c r="F48" s="63">
        <f t="shared" si="1"/>
        <v>41434.480000000003</v>
      </c>
      <c r="G48" s="63">
        <f t="shared" si="1"/>
        <v>132500</v>
      </c>
      <c r="H48" s="63">
        <f t="shared" si="1"/>
        <v>196666.66999999998</v>
      </c>
      <c r="I48" s="63">
        <f t="shared" si="1"/>
        <v>829883.19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95"/>
    </row>
    <row r="49" spans="1:24" ht="20.25" customHeight="1" x14ac:dyDescent="0.25">
      <c r="A49" s="84" t="s">
        <v>139</v>
      </c>
      <c r="B49" s="85"/>
      <c r="C49" s="83"/>
      <c r="D49" s="83"/>
      <c r="E49" s="83"/>
      <c r="F49" s="83"/>
      <c r="G49" s="83"/>
      <c r="H49" s="83"/>
      <c r="I49" s="86"/>
    </row>
    <row r="50" spans="1:24" ht="40.200000000000003" customHeight="1" x14ac:dyDescent="0.25">
      <c r="A50" s="40" t="s">
        <v>140</v>
      </c>
      <c r="B50" s="40"/>
      <c r="C50" s="41" t="s">
        <v>141</v>
      </c>
      <c r="D50" s="42" t="s">
        <v>80</v>
      </c>
      <c r="E50" s="40" t="s">
        <v>81</v>
      </c>
      <c r="F50" s="40" t="s">
        <v>82</v>
      </c>
      <c r="G50" s="39"/>
      <c r="H50" s="40" t="s">
        <v>84</v>
      </c>
      <c r="I50" s="40" t="s">
        <v>85</v>
      </c>
    </row>
    <row r="51" spans="1:24" ht="20.25" customHeight="1" x14ac:dyDescent="0.25">
      <c r="A51" s="35" t="s">
        <v>142</v>
      </c>
      <c r="B51" s="75" t="s">
        <v>89</v>
      </c>
      <c r="C51" s="35"/>
      <c r="D51" s="35"/>
      <c r="E51" s="35"/>
      <c r="F51" s="30">
        <v>339.5</v>
      </c>
      <c r="G51" s="30"/>
      <c r="H51" s="35"/>
      <c r="I51" s="30">
        <f>E51+F51</f>
        <v>339.5</v>
      </c>
    </row>
    <row r="52" spans="1:24" ht="20.25" customHeight="1" x14ac:dyDescent="0.25">
      <c r="A52" s="43" t="s">
        <v>143</v>
      </c>
      <c r="B52" s="75" t="s">
        <v>89</v>
      </c>
      <c r="C52" s="37"/>
      <c r="D52" s="37"/>
      <c r="E52" s="37"/>
      <c r="F52" s="37">
        <v>200</v>
      </c>
      <c r="G52" s="37"/>
      <c r="H52" s="37">
        <v>15000</v>
      </c>
      <c r="I52" s="30">
        <f t="shared" ref="I52:I58" si="2">SUM(C52:H52)</f>
        <v>15200</v>
      </c>
    </row>
    <row r="53" spans="1:24" s="30" customFormat="1" ht="20.25" customHeight="1" x14ac:dyDescent="0.25">
      <c r="A53" s="35" t="s">
        <v>144</v>
      </c>
      <c r="B53" s="75" t="s">
        <v>112</v>
      </c>
      <c r="C53" s="30">
        <f>(1576.25*8)</f>
        <v>12610</v>
      </c>
      <c r="D53" s="30">
        <f>1*63.05</f>
        <v>63.05</v>
      </c>
      <c r="F53" s="30">
        <v>260</v>
      </c>
      <c r="I53" s="30">
        <f t="shared" si="2"/>
        <v>12933.05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96"/>
    </row>
    <row r="54" spans="1:24" s="30" customFormat="1" ht="20.25" customHeight="1" x14ac:dyDescent="0.25">
      <c r="A54" s="35" t="s">
        <v>145</v>
      </c>
      <c r="B54" s="75" t="s">
        <v>103</v>
      </c>
      <c r="C54" s="30">
        <v>6596</v>
      </c>
      <c r="E54" s="30">
        <v>179.72</v>
      </c>
      <c r="F54" s="30">
        <v>260</v>
      </c>
      <c r="I54" s="30">
        <f t="shared" si="2"/>
        <v>7035.72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96"/>
    </row>
    <row r="55" spans="1:24" ht="20.25" customHeight="1" x14ac:dyDescent="0.25">
      <c r="A55" s="43" t="s">
        <v>146</v>
      </c>
      <c r="B55" s="75" t="s">
        <v>89</v>
      </c>
      <c r="C55" s="37"/>
      <c r="D55" s="37"/>
      <c r="E55" s="37"/>
      <c r="F55" s="37">
        <v>480</v>
      </c>
      <c r="G55" s="37"/>
      <c r="H55" s="37"/>
      <c r="I55" s="30">
        <f t="shared" si="2"/>
        <v>480</v>
      </c>
    </row>
    <row r="56" spans="1:24" ht="20.25" customHeight="1" x14ac:dyDescent="0.25">
      <c r="A56" s="43" t="s">
        <v>147</v>
      </c>
      <c r="B56" s="81" t="s">
        <v>87</v>
      </c>
      <c r="C56" s="37">
        <f>(4*672.53)+(1261*2)+630.5</f>
        <v>5842.62</v>
      </c>
      <c r="D56" s="37"/>
      <c r="E56" s="37"/>
      <c r="F56" s="37"/>
      <c r="G56" s="37"/>
      <c r="H56" s="37"/>
      <c r="I56" s="30">
        <f t="shared" si="2"/>
        <v>5842.62</v>
      </c>
    </row>
    <row r="57" spans="1:24" ht="20.25" customHeight="1" x14ac:dyDescent="0.25">
      <c r="A57" s="44" t="s">
        <v>148</v>
      </c>
      <c r="B57" s="75"/>
      <c r="C57" s="37"/>
      <c r="D57" s="37"/>
      <c r="E57" s="37"/>
      <c r="F57" s="37"/>
      <c r="G57" s="37"/>
      <c r="H57" s="37"/>
      <c r="I57" s="30">
        <f t="shared" si="2"/>
        <v>0</v>
      </c>
    </row>
    <row r="58" spans="1:24" s="30" customFormat="1" ht="20.25" customHeight="1" x14ac:dyDescent="0.25">
      <c r="A58" s="35" t="s">
        <v>149</v>
      </c>
      <c r="B58" s="75" t="s">
        <v>93</v>
      </c>
      <c r="C58" s="30">
        <v>8584.5</v>
      </c>
      <c r="F58" s="30">
        <v>447</v>
      </c>
      <c r="I58" s="30">
        <f t="shared" si="2"/>
        <v>9031.5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96"/>
    </row>
    <row r="59" spans="1:24" ht="20.25" customHeight="1" x14ac:dyDescent="0.25">
      <c r="A59" s="35" t="s">
        <v>150</v>
      </c>
      <c r="B59" s="75"/>
      <c r="C59" s="35"/>
      <c r="D59" s="35"/>
      <c r="E59" s="35"/>
      <c r="F59" s="30">
        <v>5710</v>
      </c>
      <c r="G59" s="30"/>
      <c r="H59" s="35"/>
      <c r="I59" s="30">
        <f>E59+F59</f>
        <v>5710</v>
      </c>
    </row>
    <row r="60" spans="1:24" ht="20.25" customHeight="1" x14ac:dyDescent="0.25">
      <c r="A60" s="35" t="s">
        <v>151</v>
      </c>
      <c r="B60" s="75" t="s">
        <v>89</v>
      </c>
      <c r="C60" s="35"/>
      <c r="D60" s="35"/>
      <c r="E60" s="30">
        <f>1349.44+646.71</f>
        <v>1996.15</v>
      </c>
      <c r="F60" s="35"/>
      <c r="G60" s="35"/>
      <c r="H60" s="35"/>
      <c r="I60" s="30">
        <f>E60+F60</f>
        <v>1996.15</v>
      </c>
    </row>
    <row r="61" spans="1:24" ht="20.25" customHeight="1" x14ac:dyDescent="0.25">
      <c r="A61" s="43" t="s">
        <v>152</v>
      </c>
      <c r="B61" s="81" t="s">
        <v>87</v>
      </c>
      <c r="C61" s="37">
        <f>(485*4)+(6*672.53)+(10*1261)</f>
        <v>18585.18</v>
      </c>
      <c r="D61" s="37">
        <f>48.5*1</f>
        <v>48.5</v>
      </c>
      <c r="E61" s="37">
        <v>57.04</v>
      </c>
      <c r="F61" s="37">
        <v>580</v>
      </c>
      <c r="G61" s="37"/>
      <c r="H61" s="37"/>
      <c r="I61" s="30">
        <f t="shared" ref="I61:I70" si="3">SUM(C61:H61)</f>
        <v>19270.72</v>
      </c>
    </row>
    <row r="62" spans="1:24" s="30" customFormat="1" ht="20.25" customHeight="1" x14ac:dyDescent="0.25">
      <c r="A62" s="35" t="s">
        <v>153</v>
      </c>
      <c r="B62" s="75" t="s">
        <v>112</v>
      </c>
      <c r="I62" s="30">
        <f t="shared" si="3"/>
        <v>0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96"/>
    </row>
    <row r="63" spans="1:24" ht="20.25" customHeight="1" x14ac:dyDescent="0.25">
      <c r="A63" s="44" t="s">
        <v>154</v>
      </c>
      <c r="B63" s="82" t="s">
        <v>103</v>
      </c>
      <c r="C63" s="37">
        <v>3395</v>
      </c>
      <c r="D63" s="37"/>
      <c r="E63" s="37">
        <v>903.52</v>
      </c>
      <c r="F63" s="37"/>
      <c r="G63" s="37"/>
      <c r="H63" s="37"/>
      <c r="I63" s="30">
        <f t="shared" si="3"/>
        <v>4298.5200000000004</v>
      </c>
    </row>
    <row r="64" spans="1:24" s="30" customFormat="1" ht="20.25" customHeight="1" x14ac:dyDescent="0.25">
      <c r="A64" s="35" t="s">
        <v>155</v>
      </c>
      <c r="B64" s="75" t="s">
        <v>351</v>
      </c>
      <c r="C64" s="30">
        <v>12094.69</v>
      </c>
      <c r="E64" s="30">
        <v>57.04</v>
      </c>
      <c r="F64" s="30">
        <v>260</v>
      </c>
      <c r="H64" s="37">
        <v>16666.669999999998</v>
      </c>
      <c r="I64" s="30">
        <f t="shared" si="3"/>
        <v>29078.400000000001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96"/>
    </row>
    <row r="65" spans="1:24" ht="20.25" customHeight="1" x14ac:dyDescent="0.25">
      <c r="A65" s="35" t="s">
        <v>156</v>
      </c>
      <c r="B65" s="75" t="s">
        <v>89</v>
      </c>
      <c r="C65" s="35"/>
      <c r="D65" s="35"/>
      <c r="E65" s="35"/>
      <c r="F65" s="30">
        <v>1901.2</v>
      </c>
      <c r="G65" s="30"/>
      <c r="H65" s="35"/>
      <c r="I65" s="30">
        <f t="shared" si="3"/>
        <v>1901.2</v>
      </c>
    </row>
    <row r="66" spans="1:24" ht="20.25" customHeight="1" x14ac:dyDescent="0.25">
      <c r="A66" s="43" t="s">
        <v>157</v>
      </c>
      <c r="B66" s="81" t="s">
        <v>112</v>
      </c>
      <c r="C66" s="37">
        <f>(606.25*4)</f>
        <v>2425</v>
      </c>
      <c r="D66" s="37">
        <f>1.5*48.5</f>
        <v>72.75</v>
      </c>
      <c r="E66" s="37"/>
      <c r="F66" s="37"/>
      <c r="G66" s="37"/>
      <c r="H66" s="37"/>
      <c r="I66" s="30">
        <f t="shared" si="3"/>
        <v>2497.75</v>
      </c>
    </row>
    <row r="67" spans="1:24" s="30" customFormat="1" ht="20.25" customHeight="1" x14ac:dyDescent="0.25">
      <c r="A67" s="35" t="s">
        <v>158</v>
      </c>
      <c r="B67" s="75" t="s">
        <v>112</v>
      </c>
      <c r="C67" s="30">
        <f>(1*788.13)+(1576.25*2)</f>
        <v>3940.63</v>
      </c>
      <c r="D67" s="30">
        <f>2.5*63.05</f>
        <v>157.625</v>
      </c>
      <c r="I67" s="30">
        <f t="shared" si="3"/>
        <v>4098.2550000000001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96"/>
    </row>
    <row r="68" spans="1:24" ht="20.25" customHeight="1" x14ac:dyDescent="0.25">
      <c r="A68" s="35" t="s">
        <v>159</v>
      </c>
      <c r="B68" s="81" t="s">
        <v>89</v>
      </c>
      <c r="C68" s="35"/>
      <c r="D68" s="35"/>
      <c r="E68" s="30">
        <v>523.74</v>
      </c>
      <c r="F68" s="35"/>
      <c r="G68" s="35"/>
      <c r="H68" s="35"/>
      <c r="I68" s="30">
        <f t="shared" si="3"/>
        <v>523.74</v>
      </c>
    </row>
    <row r="69" spans="1:24" s="30" customFormat="1" ht="20.25" customHeight="1" x14ac:dyDescent="0.25">
      <c r="A69" s="35" t="s">
        <v>160</v>
      </c>
      <c r="B69" s="75" t="s">
        <v>93</v>
      </c>
      <c r="C69" s="30">
        <v>5044</v>
      </c>
      <c r="I69" s="30">
        <f t="shared" si="3"/>
        <v>5044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96"/>
    </row>
    <row r="70" spans="1:24" ht="20.25" customHeight="1" x14ac:dyDescent="0.25">
      <c r="A70" s="43" t="s">
        <v>161</v>
      </c>
      <c r="B70" s="81" t="s">
        <v>87</v>
      </c>
      <c r="C70" s="37">
        <f>(485*1)+(672.53*6)+1261</f>
        <v>5781.18</v>
      </c>
      <c r="D70" s="37"/>
      <c r="E70" s="37"/>
      <c r="F70" s="37"/>
      <c r="G70" s="37"/>
      <c r="H70" s="37"/>
      <c r="I70" s="30">
        <f t="shared" si="3"/>
        <v>5781.18</v>
      </c>
    </row>
    <row r="71" spans="1:24" ht="20.25" customHeight="1" x14ac:dyDescent="0.25">
      <c r="A71" s="35" t="s">
        <v>162</v>
      </c>
      <c r="B71" s="75" t="s">
        <v>89</v>
      </c>
      <c r="C71" s="35"/>
      <c r="D71" s="35"/>
      <c r="E71" s="35"/>
      <c r="F71" s="30">
        <v>14589.72</v>
      </c>
      <c r="G71" s="30"/>
      <c r="H71" s="35"/>
      <c r="I71" s="30">
        <f>E71+F71</f>
        <v>14589.72</v>
      </c>
    </row>
    <row r="72" spans="1:24" ht="20.25" customHeight="1" x14ac:dyDescent="0.25">
      <c r="A72" s="35" t="s">
        <v>163</v>
      </c>
      <c r="B72" s="75" t="s">
        <v>89</v>
      </c>
      <c r="C72" s="35"/>
      <c r="D72" s="35"/>
      <c r="E72" s="35"/>
      <c r="F72" s="30">
        <v>2003.05</v>
      </c>
      <c r="G72" s="30"/>
      <c r="H72" s="35"/>
      <c r="I72" s="30">
        <f>E72+F72</f>
        <v>2003.05</v>
      </c>
    </row>
    <row r="73" spans="1:24" s="30" customFormat="1" ht="20.25" customHeight="1" x14ac:dyDescent="0.25">
      <c r="A73" s="35" t="s">
        <v>164</v>
      </c>
      <c r="B73" s="75" t="s">
        <v>95</v>
      </c>
      <c r="C73" s="30">
        <v>6052.8</v>
      </c>
      <c r="I73" s="30">
        <f>E73+F73</f>
        <v>0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96"/>
    </row>
    <row r="74" spans="1:24" ht="20.25" customHeight="1" x14ac:dyDescent="0.25">
      <c r="A74" s="35" t="s">
        <v>165</v>
      </c>
      <c r="B74" s="75" t="s">
        <v>89</v>
      </c>
      <c r="C74" s="35"/>
      <c r="D74" s="35"/>
      <c r="E74" s="30">
        <v>631.30999999999995</v>
      </c>
      <c r="F74" s="35"/>
      <c r="G74" s="35"/>
      <c r="H74" s="35"/>
      <c r="I74" s="30">
        <f>E74+F74</f>
        <v>631.30999999999995</v>
      </c>
    </row>
    <row r="75" spans="1:24" s="30" customFormat="1" ht="20.25" customHeight="1" x14ac:dyDescent="0.25">
      <c r="A75" s="35" t="s">
        <v>166</v>
      </c>
      <c r="B75" s="75" t="s">
        <v>87</v>
      </c>
      <c r="C75" s="30">
        <f>(8*485)+(10*1261)</f>
        <v>16490</v>
      </c>
      <c r="D75" s="30">
        <f>(2*48.5)+(3.5*48.5)</f>
        <v>266.75</v>
      </c>
      <c r="I75" s="30">
        <f t="shared" ref="I75:I82" si="4">SUM(C75:H75)</f>
        <v>16756.75</v>
      </c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96"/>
    </row>
    <row r="76" spans="1:24" ht="20.25" customHeight="1" x14ac:dyDescent="0.25">
      <c r="A76" s="43" t="s">
        <v>167</v>
      </c>
      <c r="B76" s="81" t="s">
        <v>95</v>
      </c>
      <c r="C76" s="37">
        <v>8070.4</v>
      </c>
      <c r="D76" s="37"/>
      <c r="E76" s="37"/>
      <c r="F76" s="37"/>
      <c r="G76" s="37"/>
      <c r="H76" s="37"/>
      <c r="I76" s="30">
        <f t="shared" si="4"/>
        <v>8070.4</v>
      </c>
    </row>
    <row r="77" spans="1:24" s="30" customFormat="1" ht="20.25" customHeight="1" x14ac:dyDescent="0.25">
      <c r="A77" s="35" t="s">
        <v>168</v>
      </c>
      <c r="B77" s="75" t="s">
        <v>91</v>
      </c>
      <c r="C77" s="30">
        <v>7275</v>
      </c>
      <c r="I77" s="30">
        <f t="shared" si="4"/>
        <v>7275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96"/>
    </row>
    <row r="78" spans="1:24" s="30" customFormat="1" ht="20.25" customHeight="1" x14ac:dyDescent="0.25">
      <c r="A78" s="35" t="s">
        <v>169</v>
      </c>
      <c r="B78" s="75" t="s">
        <v>93</v>
      </c>
      <c r="C78" s="30">
        <v>4171</v>
      </c>
      <c r="E78" s="30">
        <v>203.41</v>
      </c>
      <c r="I78" s="30">
        <f t="shared" si="4"/>
        <v>4374.41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96"/>
    </row>
    <row r="79" spans="1:24" ht="20.25" customHeight="1" x14ac:dyDescent="0.25">
      <c r="A79" s="43" t="s">
        <v>170</v>
      </c>
      <c r="B79" s="81" t="s">
        <v>95</v>
      </c>
      <c r="C79" s="37">
        <v>21097.5</v>
      </c>
      <c r="D79" s="37"/>
      <c r="E79" s="37">
        <v>57.04</v>
      </c>
      <c r="F79" s="37"/>
      <c r="G79" s="37"/>
      <c r="H79" s="37"/>
      <c r="I79" s="30">
        <f t="shared" si="4"/>
        <v>21154.54</v>
      </c>
    </row>
    <row r="80" spans="1:24" ht="20.25" customHeight="1" x14ac:dyDescent="0.25">
      <c r="A80" s="35" t="s">
        <v>171</v>
      </c>
      <c r="B80" s="75" t="s">
        <v>89</v>
      </c>
      <c r="C80" s="35"/>
      <c r="D80" s="35"/>
      <c r="E80" s="30">
        <f>145.15+599.05</f>
        <v>744.19999999999993</v>
      </c>
      <c r="F80" s="35"/>
      <c r="G80" s="35"/>
      <c r="H80" s="35"/>
      <c r="I80" s="30">
        <f t="shared" si="4"/>
        <v>744.19999999999993</v>
      </c>
    </row>
    <row r="81" spans="1:24" s="30" customFormat="1" ht="20.25" customHeight="1" x14ac:dyDescent="0.25">
      <c r="A81" s="35" t="s">
        <v>172</v>
      </c>
      <c r="B81" s="75" t="s">
        <v>95</v>
      </c>
      <c r="C81" s="30">
        <v>5121.6000000000004</v>
      </c>
      <c r="E81" s="30">
        <v>1373.63</v>
      </c>
      <c r="F81" s="30">
        <v>520</v>
      </c>
      <c r="I81" s="30">
        <f t="shared" si="4"/>
        <v>7015.2300000000005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96"/>
    </row>
    <row r="82" spans="1:24" s="30" customFormat="1" ht="20.25" customHeight="1" x14ac:dyDescent="0.25">
      <c r="A82" s="35" t="s">
        <v>173</v>
      </c>
      <c r="B82" s="75" t="s">
        <v>87</v>
      </c>
      <c r="C82" s="30">
        <f>(485*12)</f>
        <v>5820</v>
      </c>
      <c r="D82" s="30">
        <f>1*48.5</f>
        <v>48.5</v>
      </c>
      <c r="E82" s="30">
        <v>104.64</v>
      </c>
      <c r="F82" s="30">
        <v>520</v>
      </c>
      <c r="I82" s="30">
        <f t="shared" si="4"/>
        <v>6493.14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96"/>
    </row>
    <row r="83" spans="1:24" ht="20.25" customHeight="1" x14ac:dyDescent="0.25">
      <c r="A83" s="35" t="s">
        <v>174</v>
      </c>
      <c r="B83" s="75" t="s">
        <v>89</v>
      </c>
      <c r="C83" s="35"/>
      <c r="D83" s="35"/>
      <c r="E83" s="35"/>
      <c r="F83" s="30">
        <v>28331.83</v>
      </c>
      <c r="G83" s="30"/>
      <c r="H83" s="35"/>
      <c r="I83" s="30">
        <f>E83+F83</f>
        <v>28331.83</v>
      </c>
    </row>
    <row r="84" spans="1:24" ht="20.25" customHeight="1" x14ac:dyDescent="0.25">
      <c r="A84" s="35" t="s">
        <v>175</v>
      </c>
      <c r="B84" s="75" t="s">
        <v>89</v>
      </c>
      <c r="C84" s="35"/>
      <c r="D84" s="35"/>
      <c r="E84" s="30">
        <f>1582.83+454.2</f>
        <v>2037.03</v>
      </c>
      <c r="F84" s="35"/>
      <c r="G84" s="35"/>
      <c r="H84" s="35"/>
      <c r="I84" s="30">
        <f>E84+F84</f>
        <v>2037.03</v>
      </c>
    </row>
    <row r="85" spans="1:24" ht="20.25" customHeight="1" x14ac:dyDescent="0.25">
      <c r="A85" s="43" t="s">
        <v>176</v>
      </c>
      <c r="B85" s="81" t="s">
        <v>91</v>
      </c>
      <c r="C85" s="37">
        <v>5456.25</v>
      </c>
      <c r="D85" s="37"/>
      <c r="E85" s="37"/>
      <c r="F85" s="37"/>
      <c r="G85" s="37"/>
      <c r="H85" s="37"/>
      <c r="I85" s="30">
        <f>SUM(C85:H85)</f>
        <v>5456.25</v>
      </c>
    </row>
    <row r="86" spans="1:24" ht="20.25" customHeight="1" x14ac:dyDescent="0.25">
      <c r="A86" s="43" t="s">
        <v>177</v>
      </c>
      <c r="B86" s="81" t="s">
        <v>93</v>
      </c>
      <c r="C86" s="37">
        <v>3880</v>
      </c>
      <c r="D86" s="37"/>
      <c r="E86" s="37">
        <v>211.81</v>
      </c>
      <c r="F86" s="37"/>
      <c r="G86" s="37"/>
      <c r="H86" s="37"/>
      <c r="I86" s="30">
        <f>SUM(C86:H86)</f>
        <v>4091.81</v>
      </c>
    </row>
    <row r="87" spans="1:24" ht="20.25" customHeight="1" x14ac:dyDescent="0.25">
      <c r="A87" s="35" t="s">
        <v>178</v>
      </c>
      <c r="B87" s="75" t="s">
        <v>89</v>
      </c>
      <c r="C87" s="35"/>
      <c r="D87" s="35"/>
      <c r="E87" s="30">
        <v>203.41</v>
      </c>
      <c r="F87" s="35"/>
      <c r="G87" s="35"/>
      <c r="H87" s="35"/>
      <c r="I87" s="30">
        <f>E87+F87</f>
        <v>203.41</v>
      </c>
    </row>
    <row r="88" spans="1:24" ht="20.25" customHeight="1" x14ac:dyDescent="0.25">
      <c r="A88" s="43" t="s">
        <v>179</v>
      </c>
      <c r="B88" s="75" t="s">
        <v>89</v>
      </c>
      <c r="C88" s="37"/>
      <c r="D88" s="37"/>
      <c r="E88" s="37"/>
      <c r="F88" s="37">
        <v>850.5</v>
      </c>
      <c r="G88" s="37"/>
      <c r="H88" s="37"/>
      <c r="I88" s="30">
        <f>SUM(C88:H88)</f>
        <v>850.5</v>
      </c>
    </row>
    <row r="89" spans="1:24" ht="20.25" customHeight="1" x14ac:dyDescent="0.25">
      <c r="A89" s="35" t="s">
        <v>180</v>
      </c>
      <c r="B89" s="75" t="s">
        <v>89</v>
      </c>
      <c r="C89" s="35"/>
      <c r="D89" s="35"/>
      <c r="E89" s="30">
        <v>678.03</v>
      </c>
      <c r="F89" s="35"/>
      <c r="G89" s="35"/>
      <c r="H89" s="35"/>
      <c r="I89" s="30">
        <f>E89+F89</f>
        <v>678.03</v>
      </c>
    </row>
    <row r="90" spans="1:24" s="30" customFormat="1" ht="20.25" customHeight="1" x14ac:dyDescent="0.25">
      <c r="A90" s="35" t="s">
        <v>181</v>
      </c>
      <c r="B90" s="75" t="s">
        <v>95</v>
      </c>
      <c r="C90" s="30">
        <v>6001.88</v>
      </c>
      <c r="I90" s="30">
        <f>SUM(C90:H90)</f>
        <v>6001.88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96"/>
    </row>
    <row r="91" spans="1:24" ht="20.25" customHeight="1" x14ac:dyDescent="0.25">
      <c r="A91" s="43" t="s">
        <v>182</v>
      </c>
      <c r="B91" s="81" t="s">
        <v>93</v>
      </c>
      <c r="C91" s="37">
        <v>5044</v>
      </c>
      <c r="D91" s="37"/>
      <c r="E91" s="37"/>
      <c r="F91" s="45">
        <v>1500</v>
      </c>
      <c r="G91" s="45"/>
      <c r="H91" s="37"/>
      <c r="I91" s="30">
        <f>SUM(C91:H91)</f>
        <v>6544</v>
      </c>
    </row>
    <row r="92" spans="1:24" s="30" customFormat="1" ht="20.25" customHeight="1" x14ac:dyDescent="0.25">
      <c r="A92" s="35" t="s">
        <v>183</v>
      </c>
      <c r="B92" s="75" t="s">
        <v>352</v>
      </c>
      <c r="C92" s="30">
        <f>11821.88+1818.75</f>
        <v>13640.63</v>
      </c>
      <c r="F92" s="30">
        <v>65</v>
      </c>
      <c r="I92" s="30">
        <f>SUM(C92:H92)</f>
        <v>13705.63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96"/>
    </row>
    <row r="93" spans="1:24" ht="20.25" customHeight="1" x14ac:dyDescent="0.25">
      <c r="A93" s="35" t="s">
        <v>184</v>
      </c>
      <c r="B93" s="75" t="s">
        <v>89</v>
      </c>
      <c r="C93" s="35"/>
      <c r="D93" s="35"/>
      <c r="E93" s="30"/>
      <c r="F93" s="30">
        <v>1420</v>
      </c>
      <c r="G93" s="30"/>
      <c r="H93" s="35"/>
      <c r="I93" s="30">
        <f>E93+F93</f>
        <v>1420</v>
      </c>
    </row>
    <row r="94" spans="1:24" s="30" customFormat="1" ht="20.25" customHeight="1" x14ac:dyDescent="0.25">
      <c r="A94" s="35" t="s">
        <v>185</v>
      </c>
      <c r="B94" s="75" t="s">
        <v>91</v>
      </c>
      <c r="C94" s="30">
        <v>14550</v>
      </c>
      <c r="I94" s="30">
        <f>SUM(C94:H94)</f>
        <v>14550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96"/>
    </row>
    <row r="95" spans="1:24" ht="20.25" customHeight="1" x14ac:dyDescent="0.25">
      <c r="A95" s="43" t="s">
        <v>186</v>
      </c>
      <c r="B95" s="81" t="s">
        <v>112</v>
      </c>
      <c r="C95" s="37">
        <f>(1576.25*2)+(788.13*1)+(24*606.25)</f>
        <v>18490.63</v>
      </c>
      <c r="D95" s="37">
        <f>(16.5*48.5)+(109.5*48.5)</f>
        <v>6111</v>
      </c>
      <c r="E95" s="37"/>
      <c r="F95" s="37">
        <v>650</v>
      </c>
      <c r="G95" s="37"/>
      <c r="H95" s="37"/>
      <c r="I95" s="30">
        <f>SUM(C95:H95)</f>
        <v>25251.63</v>
      </c>
    </row>
    <row r="96" spans="1:24" s="30" customFormat="1" ht="20.25" customHeight="1" x14ac:dyDescent="0.25">
      <c r="A96" s="35" t="s">
        <v>187</v>
      </c>
      <c r="B96" s="75" t="s">
        <v>95</v>
      </c>
      <c r="C96" s="30">
        <v>14123.2</v>
      </c>
      <c r="I96" s="30">
        <f>SUM(C96:H96)</f>
        <v>14123.2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96"/>
    </row>
    <row r="97" spans="1:24" ht="20.25" customHeight="1" x14ac:dyDescent="0.25">
      <c r="A97" s="43" t="s">
        <v>188</v>
      </c>
      <c r="B97" s="81" t="s">
        <v>105</v>
      </c>
      <c r="C97" s="37">
        <v>2206.75</v>
      </c>
      <c r="D97" s="37"/>
      <c r="E97" s="37"/>
      <c r="F97" s="37"/>
      <c r="G97" s="37"/>
      <c r="H97" s="37"/>
      <c r="I97" s="30">
        <f>SUM(C97:H97)</f>
        <v>2206.75</v>
      </c>
    </row>
    <row r="98" spans="1:24" s="30" customFormat="1" ht="20.25" customHeight="1" x14ac:dyDescent="0.25">
      <c r="A98" s="35" t="s">
        <v>189</v>
      </c>
      <c r="B98" s="75" t="s">
        <v>93</v>
      </c>
      <c r="C98" s="30">
        <v>21534</v>
      </c>
      <c r="F98" s="30">
        <v>260</v>
      </c>
      <c r="I98" s="30">
        <f>SUM(C98:H98)</f>
        <v>21794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96"/>
    </row>
    <row r="99" spans="1:24" ht="20.25" customHeight="1" x14ac:dyDescent="0.25">
      <c r="A99" s="35" t="s">
        <v>190</v>
      </c>
      <c r="B99" s="75" t="s">
        <v>89</v>
      </c>
      <c r="C99" s="35"/>
      <c r="D99" s="35"/>
      <c r="E99" s="30"/>
      <c r="F99" s="30">
        <v>360</v>
      </c>
      <c r="G99" s="30"/>
      <c r="H99" s="35"/>
      <c r="I99" s="30">
        <f>E99+F99</f>
        <v>360</v>
      </c>
    </row>
    <row r="100" spans="1:24" ht="20.25" customHeight="1" x14ac:dyDescent="0.25">
      <c r="A100" s="43" t="s">
        <v>191</v>
      </c>
      <c r="B100" s="75" t="s">
        <v>89</v>
      </c>
      <c r="C100" s="37"/>
      <c r="D100" s="37"/>
      <c r="E100" s="37">
        <v>882.7</v>
      </c>
      <c r="F100" s="37"/>
      <c r="G100" s="37"/>
      <c r="H100" s="37"/>
      <c r="I100" s="30">
        <f t="shared" ref="I100:I106" si="5">SUM(C100:H100)</f>
        <v>882.7</v>
      </c>
    </row>
    <row r="101" spans="1:24" ht="20.25" customHeight="1" x14ac:dyDescent="0.25">
      <c r="A101" s="43" t="s">
        <v>192</v>
      </c>
      <c r="B101" s="81" t="s">
        <v>91</v>
      </c>
      <c r="C101" s="37">
        <v>16368.75</v>
      </c>
      <c r="D101" s="37"/>
      <c r="E101" s="37"/>
      <c r="F101" s="37"/>
      <c r="G101" s="37"/>
      <c r="H101" s="37"/>
      <c r="I101" s="30">
        <f t="shared" si="5"/>
        <v>16368.75</v>
      </c>
    </row>
    <row r="102" spans="1:24" ht="20.25" customHeight="1" x14ac:dyDescent="0.25">
      <c r="A102" s="43" t="s">
        <v>193</v>
      </c>
      <c r="B102" s="75" t="s">
        <v>351</v>
      </c>
      <c r="C102" s="37">
        <v>7093.13</v>
      </c>
      <c r="D102" s="37"/>
      <c r="E102" s="37">
        <v>559.91</v>
      </c>
      <c r="F102" s="45">
        <v>130</v>
      </c>
      <c r="G102" s="45"/>
      <c r="H102" s="37">
        <v>6500</v>
      </c>
      <c r="I102" s="30">
        <f t="shared" si="5"/>
        <v>14283.04</v>
      </c>
    </row>
    <row r="103" spans="1:24" s="30" customFormat="1" ht="20.25" customHeight="1" x14ac:dyDescent="0.25">
      <c r="A103" s="35" t="s">
        <v>194</v>
      </c>
      <c r="B103" s="75" t="s">
        <v>91</v>
      </c>
      <c r="C103" s="30">
        <f>4728.75+12731.25</f>
        <v>17460</v>
      </c>
      <c r="E103" s="30">
        <v>320.85000000000002</v>
      </c>
      <c r="F103" s="30">
        <v>723.46</v>
      </c>
      <c r="I103" s="30">
        <f t="shared" si="5"/>
        <v>18504.309999999998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96"/>
    </row>
    <row r="104" spans="1:24" s="30" customFormat="1" ht="20.25" customHeight="1" x14ac:dyDescent="0.25">
      <c r="A104" s="35" t="s">
        <v>195</v>
      </c>
      <c r="B104" s="75" t="s">
        <v>352</v>
      </c>
      <c r="C104" s="30">
        <f>18005.63+1818.75</f>
        <v>19824.38</v>
      </c>
      <c r="F104" s="30">
        <v>715</v>
      </c>
      <c r="H104" s="37">
        <v>4166.67</v>
      </c>
      <c r="I104" s="30">
        <f t="shared" si="5"/>
        <v>24706.050000000003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96"/>
    </row>
    <row r="105" spans="1:24" s="30" customFormat="1" ht="20.25" customHeight="1" x14ac:dyDescent="0.25">
      <c r="A105" s="35" t="s">
        <v>196</v>
      </c>
      <c r="B105" s="75" t="s">
        <v>87</v>
      </c>
      <c r="C105" s="30">
        <f>(485*2)+(672.53*2)+(630.5*1)+(1261*1)</f>
        <v>4206.5599999999995</v>
      </c>
      <c r="E105" s="30">
        <v>89.45</v>
      </c>
      <c r="I105" s="30">
        <f t="shared" si="5"/>
        <v>4296.0099999999993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96"/>
    </row>
    <row r="106" spans="1:24" s="30" customFormat="1" ht="20.25" customHeight="1" x14ac:dyDescent="0.25">
      <c r="A106" s="35" t="s">
        <v>197</v>
      </c>
      <c r="B106" s="75" t="s">
        <v>103</v>
      </c>
      <c r="C106" s="30">
        <v>3201</v>
      </c>
      <c r="E106" s="30">
        <f>516.57+2063.38</f>
        <v>2579.9500000000003</v>
      </c>
      <c r="F106" s="30">
        <v>762.04</v>
      </c>
      <c r="I106" s="30">
        <f t="shared" si="5"/>
        <v>6542.9900000000007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96"/>
    </row>
    <row r="107" spans="1:24" ht="20.25" customHeight="1" x14ac:dyDescent="0.25">
      <c r="A107" s="35" t="s">
        <v>198</v>
      </c>
      <c r="B107" s="75" t="s">
        <v>89</v>
      </c>
      <c r="C107" s="35"/>
      <c r="D107" s="35"/>
      <c r="E107" s="35"/>
      <c r="F107" s="30">
        <v>441.35</v>
      </c>
      <c r="G107" s="30"/>
      <c r="H107" s="35"/>
      <c r="I107" s="30">
        <f>E107+F107</f>
        <v>441.35</v>
      </c>
    </row>
    <row r="108" spans="1:24" ht="20.25" customHeight="1" x14ac:dyDescent="0.25">
      <c r="A108" s="35" t="s">
        <v>199</v>
      </c>
      <c r="B108" s="75" t="s">
        <v>89</v>
      </c>
      <c r="C108" s="35"/>
      <c r="D108" s="35"/>
      <c r="E108" s="30">
        <v>2061.9499999999998</v>
      </c>
      <c r="F108" s="35"/>
      <c r="G108" s="35"/>
      <c r="H108" s="35"/>
      <c r="I108" s="30">
        <f>E108+F108</f>
        <v>2061.9499999999998</v>
      </c>
    </row>
    <row r="109" spans="1:24" ht="20.25" customHeight="1" x14ac:dyDescent="0.25">
      <c r="A109" s="44" t="s">
        <v>200</v>
      </c>
      <c r="B109" s="82" t="s">
        <v>103</v>
      </c>
      <c r="C109" s="37">
        <v>7566</v>
      </c>
      <c r="D109" s="37"/>
      <c r="E109" s="37">
        <v>75.2</v>
      </c>
      <c r="F109" s="37"/>
      <c r="G109" s="37"/>
      <c r="H109" s="37"/>
      <c r="I109" s="30">
        <f t="shared" ref="I109:I120" si="6">SUM(C109:H109)</f>
        <v>7641.2</v>
      </c>
    </row>
    <row r="110" spans="1:24" ht="20.25" customHeight="1" x14ac:dyDescent="0.25">
      <c r="A110" s="44" t="s">
        <v>201</v>
      </c>
      <c r="B110" s="82" t="s">
        <v>105</v>
      </c>
      <c r="C110" s="37">
        <v>4765.3999999999996</v>
      </c>
      <c r="D110" s="37"/>
      <c r="E110" s="37"/>
      <c r="F110" s="37"/>
      <c r="G110" s="37"/>
      <c r="H110" s="37"/>
      <c r="I110" s="30">
        <f t="shared" si="6"/>
        <v>4765.3999999999996</v>
      </c>
    </row>
    <row r="111" spans="1:24" ht="20.25" customHeight="1" x14ac:dyDescent="0.25">
      <c r="A111" s="44" t="s">
        <v>202</v>
      </c>
      <c r="B111" s="82" t="s">
        <v>95</v>
      </c>
      <c r="C111" s="37">
        <v>16550.63</v>
      </c>
      <c r="D111" s="37"/>
      <c r="E111" s="37">
        <v>318.99</v>
      </c>
      <c r="F111" s="37">
        <v>1720</v>
      </c>
      <c r="G111" s="37"/>
      <c r="H111" s="37">
        <v>12500</v>
      </c>
      <c r="I111" s="30">
        <f t="shared" si="6"/>
        <v>31089.620000000003</v>
      </c>
    </row>
    <row r="112" spans="1:24" s="30" customFormat="1" ht="20.25" customHeight="1" x14ac:dyDescent="0.25">
      <c r="A112" s="35" t="s">
        <v>203</v>
      </c>
      <c r="B112" s="75" t="s">
        <v>95</v>
      </c>
      <c r="C112" s="30">
        <f>12105.6+2364.38</f>
        <v>14469.98</v>
      </c>
      <c r="F112" s="30">
        <v>130</v>
      </c>
      <c r="I112" s="30">
        <f t="shared" si="6"/>
        <v>14599.98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96"/>
    </row>
    <row r="113" spans="1:24" ht="20.25" customHeight="1" x14ac:dyDescent="0.25">
      <c r="A113" s="43" t="s">
        <v>204</v>
      </c>
      <c r="B113" s="81" t="s">
        <v>95</v>
      </c>
      <c r="C113" s="37">
        <v>1784.8</v>
      </c>
      <c r="D113" s="37"/>
      <c r="E113" s="37"/>
      <c r="F113" s="37"/>
      <c r="G113" s="37"/>
      <c r="H113" s="37"/>
      <c r="I113" s="30">
        <f t="shared" si="6"/>
        <v>1784.8</v>
      </c>
    </row>
    <row r="114" spans="1:24" s="30" customFormat="1" ht="20.25" customHeight="1" x14ac:dyDescent="0.25">
      <c r="A114" s="35" t="s">
        <v>205</v>
      </c>
      <c r="B114" s="75" t="s">
        <v>95</v>
      </c>
      <c r="C114" s="30">
        <f>1008.8+12458.44</f>
        <v>13467.24</v>
      </c>
      <c r="I114" s="30">
        <f t="shared" si="6"/>
        <v>13467.24</v>
      </c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96"/>
    </row>
    <row r="115" spans="1:24" s="30" customFormat="1" ht="20.25" customHeight="1" x14ac:dyDescent="0.25">
      <c r="A115" s="35" t="s">
        <v>206</v>
      </c>
      <c r="B115" s="75" t="s">
        <v>89</v>
      </c>
      <c r="E115" s="30">
        <v>439.09</v>
      </c>
      <c r="F115" s="30">
        <v>255</v>
      </c>
      <c r="H115" s="37">
        <v>12500</v>
      </c>
      <c r="I115" s="30">
        <f t="shared" si="6"/>
        <v>13194.09</v>
      </c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96"/>
    </row>
    <row r="116" spans="1:24" s="30" customFormat="1" ht="20.25" customHeight="1" x14ac:dyDescent="0.25">
      <c r="A116" s="51" t="s">
        <v>207</v>
      </c>
      <c r="B116" s="75" t="s">
        <v>95</v>
      </c>
      <c r="C116" s="30">
        <v>7139.2</v>
      </c>
      <c r="F116" s="30">
        <v>520</v>
      </c>
      <c r="I116" s="30">
        <f t="shared" si="6"/>
        <v>7659.2</v>
      </c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96"/>
    </row>
    <row r="117" spans="1:24" ht="20.25" customHeight="1" x14ac:dyDescent="0.25">
      <c r="A117" s="43" t="s">
        <v>208</v>
      </c>
      <c r="B117" s="81" t="s">
        <v>112</v>
      </c>
      <c r="C117" s="37">
        <f>1*788.13</f>
        <v>788.13</v>
      </c>
      <c r="D117" s="37"/>
      <c r="E117" s="37"/>
      <c r="F117" s="37">
        <v>260</v>
      </c>
      <c r="G117" s="37"/>
      <c r="H117" s="37"/>
      <c r="I117" s="30">
        <f t="shared" si="6"/>
        <v>1048.1300000000001</v>
      </c>
    </row>
    <row r="118" spans="1:24" ht="20.25" customHeight="1" x14ac:dyDescent="0.25">
      <c r="A118" s="43" t="s">
        <v>209</v>
      </c>
      <c r="B118" s="76" t="s">
        <v>91</v>
      </c>
      <c r="C118" s="37">
        <v>3637.5</v>
      </c>
      <c r="D118" s="37"/>
      <c r="E118" s="37"/>
      <c r="F118" s="37"/>
      <c r="G118" s="37"/>
      <c r="H118" s="37">
        <v>15000</v>
      </c>
      <c r="I118" s="30">
        <f t="shared" si="6"/>
        <v>18637.5</v>
      </c>
    </row>
    <row r="119" spans="1:24" ht="20.25" customHeight="1" x14ac:dyDescent="0.25">
      <c r="A119" s="43" t="s">
        <v>210</v>
      </c>
      <c r="B119" s="81" t="s">
        <v>211</v>
      </c>
      <c r="C119" s="37">
        <v>7148.9</v>
      </c>
      <c r="D119" s="37"/>
      <c r="E119" s="37">
        <v>509.99</v>
      </c>
      <c r="F119" s="37"/>
      <c r="G119" s="37"/>
      <c r="H119" s="37"/>
      <c r="I119" s="30">
        <f t="shared" si="6"/>
        <v>7658.8899999999994</v>
      </c>
    </row>
    <row r="120" spans="1:24" ht="20.25" customHeight="1" x14ac:dyDescent="0.25">
      <c r="A120" s="43" t="s">
        <v>212</v>
      </c>
      <c r="B120" s="81" t="s">
        <v>89</v>
      </c>
      <c r="C120" s="35"/>
      <c r="D120" s="35"/>
      <c r="E120" s="30">
        <v>4691.38</v>
      </c>
      <c r="F120" s="43"/>
      <c r="G120" s="43"/>
      <c r="H120" s="35"/>
      <c r="I120" s="30">
        <f t="shared" si="6"/>
        <v>4691.38</v>
      </c>
    </row>
    <row r="121" spans="1:24" s="30" customFormat="1" ht="20.25" customHeight="1" x14ac:dyDescent="0.25">
      <c r="A121" s="35" t="s">
        <v>213</v>
      </c>
      <c r="B121" s="75" t="s">
        <v>93</v>
      </c>
      <c r="C121" s="30">
        <v>1261</v>
      </c>
      <c r="F121" s="30">
        <v>260</v>
      </c>
      <c r="I121" s="30">
        <f>SUM(C121:H121)</f>
        <v>1521</v>
      </c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96"/>
    </row>
    <row r="122" spans="1:24" ht="20.25" customHeight="1" x14ac:dyDescent="0.25">
      <c r="A122" s="44" t="s">
        <v>214</v>
      </c>
      <c r="B122" s="82" t="s">
        <v>105</v>
      </c>
      <c r="C122" s="37">
        <v>3265.4</v>
      </c>
      <c r="D122" s="37"/>
      <c r="E122" s="37"/>
      <c r="F122" s="37"/>
      <c r="G122" s="37"/>
      <c r="H122" s="37"/>
      <c r="I122" s="30">
        <f>SUM(C122:H122)</f>
        <v>3265.4</v>
      </c>
    </row>
    <row r="123" spans="1:24" ht="20.25" customHeight="1" x14ac:dyDescent="0.25">
      <c r="A123" s="43" t="s">
        <v>215</v>
      </c>
      <c r="B123" s="75" t="s">
        <v>87</v>
      </c>
      <c r="C123" s="37">
        <f>(485*5)+(672.53*5)+(1261*2)</f>
        <v>8309.65</v>
      </c>
      <c r="D123" s="37"/>
      <c r="E123" s="37"/>
      <c r="F123" s="37"/>
      <c r="G123" s="37"/>
      <c r="H123" s="37"/>
      <c r="I123" s="30">
        <f>SUM(C123:H123)</f>
        <v>8309.65</v>
      </c>
    </row>
    <row r="124" spans="1:24" ht="20.25" customHeight="1" x14ac:dyDescent="0.25">
      <c r="A124" s="43" t="s">
        <v>216</v>
      </c>
      <c r="B124" s="81" t="s">
        <v>93</v>
      </c>
      <c r="C124" s="37">
        <v>5432</v>
      </c>
      <c r="D124" s="37"/>
      <c r="E124" s="37">
        <v>1217.45</v>
      </c>
      <c r="F124" s="37"/>
      <c r="G124" s="37"/>
      <c r="H124" s="37"/>
      <c r="I124" s="30">
        <f>SUM(C124:H124)</f>
        <v>6649.45</v>
      </c>
    </row>
    <row r="125" spans="1:24" s="30" customFormat="1" ht="20.25" customHeight="1" x14ac:dyDescent="0.25">
      <c r="A125" s="35" t="s">
        <v>217</v>
      </c>
      <c r="B125" s="75" t="s">
        <v>105</v>
      </c>
      <c r="C125" s="30">
        <v>1765.4</v>
      </c>
      <c r="E125" s="30">
        <f>501.36+431.14+431.14</f>
        <v>1363.6399999999999</v>
      </c>
      <c r="I125" s="30">
        <f>SUM(C125:H125)</f>
        <v>3129.04</v>
      </c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96"/>
    </row>
    <row r="126" spans="1:24" ht="20.25" customHeight="1" x14ac:dyDescent="0.25">
      <c r="A126" s="35" t="s">
        <v>218</v>
      </c>
      <c r="B126" s="81"/>
      <c r="C126" s="35"/>
      <c r="D126" s="35"/>
      <c r="E126" s="30">
        <v>2024.16</v>
      </c>
      <c r="F126" s="35"/>
      <c r="G126" s="35"/>
      <c r="H126" s="35"/>
      <c r="I126" s="30">
        <f>E126+F126</f>
        <v>2024.16</v>
      </c>
    </row>
    <row r="127" spans="1:24" ht="20.25" customHeight="1" x14ac:dyDescent="0.25">
      <c r="A127" s="35" t="s">
        <v>219</v>
      </c>
      <c r="B127" s="81" t="s">
        <v>89</v>
      </c>
      <c r="C127" s="35"/>
      <c r="D127" s="35"/>
      <c r="E127" s="30"/>
      <c r="F127" s="30">
        <v>630</v>
      </c>
      <c r="G127" s="30"/>
      <c r="H127" s="35"/>
      <c r="I127" s="30">
        <f>E127+F127</f>
        <v>630</v>
      </c>
    </row>
    <row r="128" spans="1:24" s="30" customFormat="1" ht="20.25" customHeight="1" x14ac:dyDescent="0.25">
      <c r="A128" s="35" t="s">
        <v>220</v>
      </c>
      <c r="B128" s="81"/>
      <c r="I128" s="30">
        <f t="shared" ref="I128:I149" si="7">SUM(C128:H128)</f>
        <v>0</v>
      </c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96"/>
    </row>
    <row r="129" spans="1:24" s="30" customFormat="1" ht="20.25" customHeight="1" x14ac:dyDescent="0.25">
      <c r="A129" s="35" t="s">
        <v>221</v>
      </c>
      <c r="B129" s="75" t="s">
        <v>95</v>
      </c>
      <c r="C129" s="30">
        <v>10398.4</v>
      </c>
      <c r="I129" s="30">
        <f t="shared" si="7"/>
        <v>10398.4</v>
      </c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96"/>
    </row>
    <row r="130" spans="1:24" ht="20.25" customHeight="1" x14ac:dyDescent="0.25">
      <c r="A130" s="35" t="s">
        <v>222</v>
      </c>
      <c r="B130" s="81" t="s">
        <v>89</v>
      </c>
      <c r="C130" s="35"/>
      <c r="D130" s="35"/>
      <c r="E130" s="30">
        <f>5514.13+1571.04</f>
        <v>7085.17</v>
      </c>
      <c r="F130" s="30">
        <v>1459.85</v>
      </c>
      <c r="G130" s="30"/>
      <c r="H130" s="35"/>
      <c r="I130" s="30">
        <f t="shared" si="7"/>
        <v>8545.02</v>
      </c>
    </row>
    <row r="131" spans="1:24" s="30" customFormat="1" ht="20.25" customHeight="1" x14ac:dyDescent="0.25">
      <c r="A131" s="35" t="s">
        <v>223</v>
      </c>
      <c r="B131" s="75" t="s">
        <v>87</v>
      </c>
      <c r="C131" s="30">
        <f>(9*485)+(1*1261)</f>
        <v>5626</v>
      </c>
      <c r="E131" s="30">
        <v>192.89</v>
      </c>
      <c r="F131" s="30">
        <v>260</v>
      </c>
      <c r="I131" s="30">
        <f t="shared" si="7"/>
        <v>6078.89</v>
      </c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96"/>
    </row>
    <row r="132" spans="1:24" ht="20.25" customHeight="1" x14ac:dyDescent="0.25">
      <c r="A132" s="43" t="s">
        <v>224</v>
      </c>
      <c r="B132" s="81" t="s">
        <v>89</v>
      </c>
      <c r="C132" s="37"/>
      <c r="D132" s="37"/>
      <c r="E132" s="37"/>
      <c r="F132" s="37"/>
      <c r="G132" s="37"/>
      <c r="H132" s="37"/>
      <c r="I132" s="30">
        <f t="shared" si="7"/>
        <v>0</v>
      </c>
    </row>
    <row r="133" spans="1:24" s="30" customFormat="1" ht="20.25" customHeight="1" x14ac:dyDescent="0.25">
      <c r="A133" s="35" t="s">
        <v>225</v>
      </c>
      <c r="B133" s="75" t="s">
        <v>103</v>
      </c>
      <c r="C133" s="30">
        <v>7650.06</v>
      </c>
      <c r="F133" s="30">
        <v>4085</v>
      </c>
      <c r="I133" s="30">
        <f t="shared" si="7"/>
        <v>11735.060000000001</v>
      </c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96"/>
    </row>
    <row r="134" spans="1:24" ht="20.25" customHeight="1" x14ac:dyDescent="0.25">
      <c r="A134" s="46" t="s">
        <v>226</v>
      </c>
      <c r="B134" s="75" t="s">
        <v>89</v>
      </c>
      <c r="C134" s="37"/>
      <c r="D134" s="37"/>
      <c r="E134" s="37">
        <v>173.61</v>
      </c>
      <c r="F134" s="37"/>
      <c r="G134" s="37"/>
      <c r="H134" s="37">
        <v>12500</v>
      </c>
      <c r="I134" s="30">
        <f t="shared" si="7"/>
        <v>12673.61</v>
      </c>
    </row>
    <row r="135" spans="1:24" ht="20.25" customHeight="1" x14ac:dyDescent="0.25">
      <c r="A135" s="43" t="s">
        <v>227</v>
      </c>
      <c r="B135" s="75" t="s">
        <v>352</v>
      </c>
      <c r="C135" s="37">
        <v>14004.38</v>
      </c>
      <c r="D135" s="37"/>
      <c r="E135" s="37">
        <v>57.04</v>
      </c>
      <c r="F135" s="45">
        <v>260</v>
      </c>
      <c r="G135" s="45"/>
      <c r="H135" s="37"/>
      <c r="I135" s="30">
        <f t="shared" si="7"/>
        <v>14321.42</v>
      </c>
    </row>
    <row r="136" spans="1:24" ht="20.25" customHeight="1" x14ac:dyDescent="0.25">
      <c r="A136" s="35" t="s">
        <v>228</v>
      </c>
      <c r="B136" s="81" t="s">
        <v>89</v>
      </c>
      <c r="C136" s="35"/>
      <c r="D136" s="35"/>
      <c r="E136" s="30">
        <v>607.25</v>
      </c>
      <c r="F136" s="35"/>
      <c r="G136" s="35"/>
      <c r="H136" s="35"/>
      <c r="I136" s="30">
        <f t="shared" si="7"/>
        <v>607.25</v>
      </c>
    </row>
    <row r="137" spans="1:24" s="30" customFormat="1" ht="20.25" customHeight="1" x14ac:dyDescent="0.25">
      <c r="A137" s="35" t="s">
        <v>229</v>
      </c>
      <c r="B137" s="81" t="s">
        <v>112</v>
      </c>
      <c r="C137" s="30">
        <f>(1*788.13)+(12*606.25)</f>
        <v>8063.13</v>
      </c>
      <c r="D137" s="30">
        <f>11.5*48.5</f>
        <v>557.75</v>
      </c>
      <c r="I137" s="30">
        <f t="shared" si="7"/>
        <v>8620.880000000001</v>
      </c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96"/>
    </row>
    <row r="138" spans="1:24" ht="20.25" customHeight="1" x14ac:dyDescent="0.25">
      <c r="A138" s="35" t="s">
        <v>230</v>
      </c>
      <c r="B138" s="81" t="s">
        <v>89</v>
      </c>
      <c r="C138" s="35"/>
      <c r="D138" s="35"/>
      <c r="E138" s="30">
        <v>456.84</v>
      </c>
      <c r="F138" s="35"/>
      <c r="G138" s="35"/>
      <c r="H138" s="35"/>
      <c r="I138" s="30">
        <f t="shared" si="7"/>
        <v>456.84</v>
      </c>
    </row>
    <row r="139" spans="1:24" ht="20.25" customHeight="1" x14ac:dyDescent="0.25">
      <c r="A139" s="43" t="s">
        <v>231</v>
      </c>
      <c r="B139" s="76" t="s">
        <v>91</v>
      </c>
      <c r="C139" s="37">
        <v>9093.75</v>
      </c>
      <c r="D139" s="37"/>
      <c r="E139" s="37"/>
      <c r="F139" s="37"/>
      <c r="G139" s="37"/>
      <c r="H139" s="37"/>
      <c r="I139" s="30">
        <f t="shared" si="7"/>
        <v>9093.75</v>
      </c>
    </row>
    <row r="140" spans="1:24" ht="20.25" customHeight="1" x14ac:dyDescent="0.25">
      <c r="A140" s="43" t="s">
        <v>232</v>
      </c>
      <c r="B140" s="75" t="s">
        <v>112</v>
      </c>
      <c r="C140" s="37">
        <f>(4*606.25)+(1*788.13)</f>
        <v>3213.13</v>
      </c>
      <c r="D140" s="37">
        <f>27.5*48.5</f>
        <v>1333.75</v>
      </c>
      <c r="E140" s="37"/>
      <c r="F140" s="45">
        <v>350</v>
      </c>
      <c r="G140" s="45"/>
      <c r="H140" s="37">
        <v>15000</v>
      </c>
      <c r="I140" s="30">
        <f t="shared" si="7"/>
        <v>19896.88</v>
      </c>
    </row>
    <row r="141" spans="1:24" s="30" customFormat="1" ht="20.25" customHeight="1" x14ac:dyDescent="0.25">
      <c r="A141" s="35" t="s">
        <v>233</v>
      </c>
      <c r="B141" s="75" t="s">
        <v>112</v>
      </c>
      <c r="C141" s="30">
        <f>(788.13*4)+(1576.25*4)</f>
        <v>9457.52</v>
      </c>
      <c r="F141" s="30">
        <v>910</v>
      </c>
      <c r="I141" s="30">
        <f t="shared" si="7"/>
        <v>10367.52</v>
      </c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96"/>
    </row>
    <row r="142" spans="1:24" ht="20.25" customHeight="1" x14ac:dyDescent="0.25">
      <c r="A142" s="44" t="s">
        <v>234</v>
      </c>
      <c r="B142" s="82" t="s">
        <v>103</v>
      </c>
      <c r="C142" s="37">
        <v>1261</v>
      </c>
      <c r="D142" s="37"/>
      <c r="E142" s="37"/>
      <c r="F142" s="45">
        <v>558</v>
      </c>
      <c r="G142" s="45"/>
      <c r="H142" s="37"/>
      <c r="I142" s="30">
        <f t="shared" si="7"/>
        <v>1819</v>
      </c>
    </row>
    <row r="143" spans="1:24" s="30" customFormat="1" ht="20.25" customHeight="1" x14ac:dyDescent="0.25">
      <c r="A143" s="35" t="s">
        <v>235</v>
      </c>
      <c r="B143" s="75" t="s">
        <v>95</v>
      </c>
      <c r="C143" s="30">
        <v>18580.349999999999</v>
      </c>
      <c r="I143" s="30">
        <f t="shared" si="7"/>
        <v>18580.349999999999</v>
      </c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96"/>
    </row>
    <row r="144" spans="1:24" ht="20.25" customHeight="1" x14ac:dyDescent="0.25">
      <c r="A144" s="35" t="s">
        <v>236</v>
      </c>
      <c r="B144" s="81" t="s">
        <v>89</v>
      </c>
      <c r="C144" s="35"/>
      <c r="D144" s="35"/>
      <c r="E144" s="30"/>
      <c r="F144" s="30">
        <v>23193.09</v>
      </c>
      <c r="G144" s="30"/>
      <c r="H144" s="35"/>
      <c r="I144" s="30">
        <f t="shared" si="7"/>
        <v>23193.09</v>
      </c>
    </row>
    <row r="145" spans="1:24" s="30" customFormat="1" ht="20.25" customHeight="1" x14ac:dyDescent="0.25">
      <c r="A145" s="35" t="s">
        <v>237</v>
      </c>
      <c r="B145" s="75" t="s">
        <v>95</v>
      </c>
      <c r="C145" s="30">
        <v>6906.4</v>
      </c>
      <c r="I145" s="30">
        <f t="shared" si="7"/>
        <v>6906.4</v>
      </c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96"/>
    </row>
    <row r="146" spans="1:24" s="30" customFormat="1" ht="20.25" customHeight="1" x14ac:dyDescent="0.25">
      <c r="A146" s="35" t="s">
        <v>238</v>
      </c>
      <c r="B146" s="75" t="s">
        <v>95</v>
      </c>
      <c r="C146" s="30">
        <v>35441.379999999997</v>
      </c>
      <c r="F146" s="30">
        <v>390</v>
      </c>
      <c r="I146" s="30">
        <f t="shared" si="7"/>
        <v>35831.379999999997</v>
      </c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96"/>
    </row>
    <row r="147" spans="1:24" ht="20.25" customHeight="1" x14ac:dyDescent="0.25">
      <c r="A147" s="43" t="s">
        <v>239</v>
      </c>
      <c r="B147" s="81" t="s">
        <v>87</v>
      </c>
      <c r="C147" s="37">
        <f>(3*485)+(1*1261)</f>
        <v>2716</v>
      </c>
      <c r="D147" s="37"/>
      <c r="E147" s="37"/>
      <c r="F147" s="37">
        <v>390</v>
      </c>
      <c r="G147" s="37"/>
      <c r="H147" s="37"/>
      <c r="I147" s="30">
        <f t="shared" si="7"/>
        <v>3106</v>
      </c>
    </row>
    <row r="148" spans="1:24" ht="20.25" customHeight="1" x14ac:dyDescent="0.25">
      <c r="A148" s="35" t="s">
        <v>240</v>
      </c>
      <c r="B148" s="76" t="s">
        <v>89</v>
      </c>
      <c r="C148" s="35"/>
      <c r="D148" s="35"/>
      <c r="E148" s="30">
        <v>57.04</v>
      </c>
      <c r="F148" s="35"/>
      <c r="G148" s="35"/>
      <c r="H148" s="35"/>
      <c r="I148" s="30">
        <f t="shared" si="7"/>
        <v>57.04</v>
      </c>
    </row>
    <row r="149" spans="1:24" s="30" customFormat="1" ht="20.25" customHeight="1" x14ac:dyDescent="0.25">
      <c r="A149" s="35" t="s">
        <v>241</v>
      </c>
      <c r="B149" s="75" t="s">
        <v>95</v>
      </c>
      <c r="C149" s="30">
        <v>14186.25</v>
      </c>
      <c r="E149" s="30">
        <v>349.08</v>
      </c>
      <c r="F149" s="30">
        <v>4060</v>
      </c>
      <c r="H149" s="37">
        <v>12500</v>
      </c>
      <c r="I149" s="30">
        <f t="shared" si="7"/>
        <v>31095.33</v>
      </c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96"/>
    </row>
    <row r="150" spans="1:24" ht="20.25" customHeight="1" x14ac:dyDescent="0.25">
      <c r="A150" s="35" t="s">
        <v>242</v>
      </c>
      <c r="B150" s="81" t="s">
        <v>89</v>
      </c>
      <c r="C150" s="35"/>
      <c r="D150" s="35"/>
      <c r="E150" s="30"/>
      <c r="F150" s="30">
        <v>5780</v>
      </c>
      <c r="G150" s="30"/>
      <c r="H150" s="35"/>
      <c r="I150" s="30">
        <f>E150+F150</f>
        <v>5780</v>
      </c>
    </row>
    <row r="151" spans="1:24" ht="20.25" customHeight="1" x14ac:dyDescent="0.25">
      <c r="A151" s="35" t="s">
        <v>243</v>
      </c>
      <c r="B151" s="81" t="s">
        <v>89</v>
      </c>
      <c r="C151" s="35"/>
      <c r="D151" s="35"/>
      <c r="E151" s="30">
        <v>483.82</v>
      </c>
      <c r="F151" s="35"/>
      <c r="G151" s="35"/>
      <c r="H151" s="35"/>
      <c r="I151" s="30">
        <f>E151+F151</f>
        <v>483.82</v>
      </c>
    </row>
    <row r="152" spans="1:24" s="30" customFormat="1" ht="20.25" customHeight="1" x14ac:dyDescent="0.25">
      <c r="A152" s="35" t="s">
        <v>244</v>
      </c>
      <c r="B152" s="75" t="s">
        <v>93</v>
      </c>
      <c r="C152" s="30">
        <v>3880</v>
      </c>
      <c r="E152" s="30">
        <v>1407.41</v>
      </c>
      <c r="F152" s="30">
        <v>260</v>
      </c>
      <c r="I152" s="30">
        <f>SUM(C152:H152)</f>
        <v>5547.41</v>
      </c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96"/>
    </row>
    <row r="153" spans="1:24" s="31" customFormat="1" ht="20.25" customHeight="1" x14ac:dyDescent="0.25">
      <c r="A153" s="73" t="s">
        <v>85</v>
      </c>
      <c r="B153" s="78"/>
      <c r="C153" s="49">
        <f>SUM(C51:C152)</f>
        <v>579907.24000000022</v>
      </c>
      <c r="D153" s="49">
        <f t="shared" ref="D153:H153" si="8">SUM(D51:D152)</f>
        <v>8659.6749999999993</v>
      </c>
      <c r="E153" s="49">
        <f t="shared" si="8"/>
        <v>37966.580000000009</v>
      </c>
      <c r="F153" s="49">
        <f t="shared" si="8"/>
        <v>110010.59</v>
      </c>
      <c r="G153" s="49">
        <f>SUM(G51:G152)</f>
        <v>0</v>
      </c>
      <c r="H153" s="49">
        <f t="shared" si="8"/>
        <v>122333.34</v>
      </c>
      <c r="I153" s="49">
        <f>SUM(I51:I152)</f>
        <v>852824.62500000012</v>
      </c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97"/>
    </row>
    <row r="154" spans="1:24" ht="20.25" customHeight="1" x14ac:dyDescent="0.25">
      <c r="A154" s="87" t="s">
        <v>245</v>
      </c>
      <c r="B154" s="88"/>
      <c r="C154" s="83"/>
      <c r="D154" s="83"/>
      <c r="E154" s="83"/>
      <c r="F154" s="83"/>
      <c r="G154" s="83"/>
      <c r="H154" s="83"/>
      <c r="I154" s="86"/>
    </row>
    <row r="155" spans="1:24" ht="40.200000000000003" customHeight="1" x14ac:dyDescent="0.25">
      <c r="A155" s="40" t="s">
        <v>140</v>
      </c>
      <c r="B155" s="40"/>
      <c r="C155" s="41" t="s">
        <v>141</v>
      </c>
      <c r="D155" s="42"/>
      <c r="E155" s="70" t="s">
        <v>246</v>
      </c>
      <c r="F155" s="40" t="s">
        <v>82</v>
      </c>
      <c r="G155" s="39"/>
      <c r="H155" s="40" t="s">
        <v>84</v>
      </c>
      <c r="I155" s="40" t="s">
        <v>85</v>
      </c>
    </row>
    <row r="156" spans="1:24" ht="20.25" customHeight="1" x14ac:dyDescent="0.25">
      <c r="A156" s="51" t="s">
        <v>247</v>
      </c>
      <c r="B156" s="81"/>
      <c r="C156" s="64"/>
      <c r="D156" s="64"/>
      <c r="E156" s="64">
        <f>120+5607.98</f>
        <v>5727.98</v>
      </c>
      <c r="F156" s="64">
        <v>261</v>
      </c>
      <c r="G156" s="64"/>
      <c r="H156" s="64"/>
      <c r="I156" s="65">
        <f>C156+D156+E156+F156+G156+H156</f>
        <v>5988.98</v>
      </c>
    </row>
    <row r="157" spans="1:24" ht="20.25" customHeight="1" x14ac:dyDescent="0.25">
      <c r="A157" s="51" t="s">
        <v>248</v>
      </c>
      <c r="B157" s="75" t="s">
        <v>103</v>
      </c>
      <c r="C157" s="64">
        <f>4705.88+2508.24</f>
        <v>7214.12</v>
      </c>
      <c r="D157" s="64"/>
      <c r="E157" s="64">
        <v>4726.3500000000004</v>
      </c>
      <c r="F157" s="64"/>
      <c r="G157" s="64"/>
      <c r="H157" s="64"/>
      <c r="I157" s="65">
        <f t="shared" ref="I157:I174" si="9">C157+D157+E157+F157+G157+H157</f>
        <v>11940.470000000001</v>
      </c>
    </row>
    <row r="158" spans="1:24" ht="20.25" customHeight="1" x14ac:dyDescent="0.25">
      <c r="A158" s="48" t="s">
        <v>109</v>
      </c>
      <c r="B158" s="75"/>
      <c r="C158" s="64"/>
      <c r="D158" s="64"/>
      <c r="E158" s="64">
        <v>19597.349999999999</v>
      </c>
      <c r="F158" s="64"/>
      <c r="G158" s="64"/>
      <c r="H158" s="64"/>
      <c r="I158" s="65">
        <f t="shared" si="9"/>
        <v>19597.349999999999</v>
      </c>
    </row>
    <row r="159" spans="1:24" ht="20.25" customHeight="1" x14ac:dyDescent="0.25">
      <c r="A159" s="51" t="s">
        <v>249</v>
      </c>
      <c r="B159" s="75" t="s">
        <v>250</v>
      </c>
      <c r="C159" s="64">
        <f>1765.4+1000</f>
        <v>2765.4</v>
      </c>
      <c r="D159" s="64"/>
      <c r="E159" s="64">
        <v>2369.92</v>
      </c>
      <c r="F159" s="64"/>
      <c r="G159" s="64"/>
      <c r="H159" s="64"/>
      <c r="I159" s="65">
        <f>C159+D159+E159+F159+G159+H159</f>
        <v>5135.32</v>
      </c>
    </row>
    <row r="160" spans="1:24" ht="20.25" customHeight="1" x14ac:dyDescent="0.25">
      <c r="A160" s="51" t="s">
        <v>251</v>
      </c>
      <c r="B160" s="75"/>
      <c r="C160" s="64"/>
      <c r="D160" s="64"/>
      <c r="E160" s="64">
        <f>120+13404.44</f>
        <v>13524.44</v>
      </c>
      <c r="F160" s="64">
        <v>130.5</v>
      </c>
      <c r="G160" s="64"/>
      <c r="H160" s="64"/>
      <c r="I160" s="65">
        <f>C160+D160+E160+F160+G160+H160</f>
        <v>13654.94</v>
      </c>
    </row>
    <row r="161" spans="1:9" ht="20.25" customHeight="1" x14ac:dyDescent="0.25">
      <c r="A161" s="48" t="s">
        <v>252</v>
      </c>
      <c r="B161" s="81"/>
      <c r="C161" s="64"/>
      <c r="D161" s="64"/>
      <c r="E161" s="64">
        <f>556.13+3459.88+379.74</f>
        <v>4395.75</v>
      </c>
      <c r="F161" s="64"/>
      <c r="G161" s="64"/>
      <c r="H161" s="64">
        <v>12500</v>
      </c>
      <c r="I161" s="65">
        <f t="shared" si="9"/>
        <v>16895.75</v>
      </c>
    </row>
    <row r="162" spans="1:9" ht="20.25" customHeight="1" x14ac:dyDescent="0.25">
      <c r="A162" s="51" t="s">
        <v>253</v>
      </c>
      <c r="B162" s="75" t="s">
        <v>351</v>
      </c>
      <c r="C162" s="64">
        <v>6033.34</v>
      </c>
      <c r="D162" s="64"/>
      <c r="E162" s="64">
        <v>3655.45</v>
      </c>
      <c r="F162" s="64"/>
      <c r="G162" s="64"/>
      <c r="H162" s="64">
        <v>15000</v>
      </c>
      <c r="I162" s="65">
        <f t="shared" si="9"/>
        <v>24688.79</v>
      </c>
    </row>
    <row r="163" spans="1:9" ht="20.25" customHeight="1" x14ac:dyDescent="0.25">
      <c r="A163" s="51" t="s">
        <v>254</v>
      </c>
      <c r="B163" s="75" t="s">
        <v>250</v>
      </c>
      <c r="C163" s="64">
        <f>4854.85+5000</f>
        <v>9854.85</v>
      </c>
      <c r="D163" s="64"/>
      <c r="E163" s="64">
        <v>12145.84</v>
      </c>
      <c r="F163" s="64"/>
      <c r="G163" s="64"/>
      <c r="H163" s="64"/>
      <c r="I163" s="65">
        <f t="shared" si="9"/>
        <v>22000.690000000002</v>
      </c>
    </row>
    <row r="164" spans="1:9" ht="20.25" customHeight="1" x14ac:dyDescent="0.25">
      <c r="A164" s="51" t="s">
        <v>255</v>
      </c>
      <c r="B164" s="81" t="s">
        <v>89</v>
      </c>
      <c r="C164" s="64"/>
      <c r="D164" s="64"/>
      <c r="E164" s="64">
        <v>415.17</v>
      </c>
      <c r="F164" s="64"/>
      <c r="G164" s="64"/>
      <c r="H164" s="64"/>
      <c r="I164" s="65">
        <f t="shared" si="9"/>
        <v>415.17</v>
      </c>
    </row>
    <row r="165" spans="1:9" ht="20.25" customHeight="1" x14ac:dyDescent="0.25">
      <c r="A165" s="51" t="s">
        <v>256</v>
      </c>
      <c r="B165" s="75" t="s">
        <v>250</v>
      </c>
      <c r="C165" s="64">
        <v>1324.05</v>
      </c>
      <c r="D165" s="64"/>
      <c r="E165" s="64">
        <f>1999.62</f>
        <v>1999.62</v>
      </c>
      <c r="F165" s="64"/>
      <c r="G165" s="64"/>
      <c r="H165" s="64"/>
      <c r="I165" s="65">
        <f t="shared" si="9"/>
        <v>3323.67</v>
      </c>
    </row>
    <row r="166" spans="1:9" ht="20.25" customHeight="1" x14ac:dyDescent="0.25">
      <c r="A166" s="51" t="s">
        <v>257</v>
      </c>
      <c r="B166" s="75"/>
      <c r="C166" s="64"/>
      <c r="D166" s="64"/>
      <c r="E166" s="64">
        <f>24+4240.18+3929.31</f>
        <v>8193.49</v>
      </c>
      <c r="F166" s="64">
        <v>1383</v>
      </c>
      <c r="G166" s="64"/>
      <c r="H166" s="64"/>
      <c r="I166" s="65">
        <f>SUM(C166:H166)</f>
        <v>9576.49</v>
      </c>
    </row>
    <row r="167" spans="1:9" ht="20.25" customHeight="1" x14ac:dyDescent="0.25">
      <c r="A167" s="51" t="s">
        <v>258</v>
      </c>
      <c r="B167" s="75" t="s">
        <v>250</v>
      </c>
      <c r="C167" s="64">
        <f>2206.75+2000</f>
        <v>4206.75</v>
      </c>
      <c r="D167" s="64"/>
      <c r="E167" s="64">
        <v>1629.32</v>
      </c>
      <c r="F167" s="64"/>
      <c r="G167" s="64"/>
      <c r="H167" s="64"/>
      <c r="I167" s="65">
        <f t="shared" si="9"/>
        <v>5836.07</v>
      </c>
    </row>
    <row r="168" spans="1:9" ht="20.25" customHeight="1" x14ac:dyDescent="0.25">
      <c r="A168" s="51" t="s">
        <v>259</v>
      </c>
      <c r="B168" s="75" t="s">
        <v>95</v>
      </c>
      <c r="C168" s="64">
        <f>2083.33+8333.32</f>
        <v>10416.65</v>
      </c>
      <c r="D168" s="64"/>
      <c r="E168" s="64">
        <v>1376.66</v>
      </c>
      <c r="F168" s="64"/>
      <c r="G168" s="64"/>
      <c r="H168" s="64">
        <v>6250</v>
      </c>
      <c r="I168" s="65">
        <f t="shared" si="9"/>
        <v>18043.309999999998</v>
      </c>
    </row>
    <row r="169" spans="1:9" ht="20.25" customHeight="1" x14ac:dyDescent="0.25">
      <c r="A169" s="51" t="s">
        <v>260</v>
      </c>
      <c r="B169" s="75" t="s">
        <v>89</v>
      </c>
      <c r="C169" s="64"/>
      <c r="D169" s="64"/>
      <c r="E169" s="64"/>
      <c r="F169" s="64"/>
      <c r="G169" s="64"/>
      <c r="H169" s="64">
        <v>10000</v>
      </c>
      <c r="I169" s="65">
        <f t="shared" si="9"/>
        <v>10000</v>
      </c>
    </row>
    <row r="170" spans="1:9" ht="20.25" customHeight="1" x14ac:dyDescent="0.25">
      <c r="A170" s="51" t="s">
        <v>261</v>
      </c>
      <c r="B170" s="75" t="s">
        <v>95</v>
      </c>
      <c r="C170" s="64">
        <v>1041.67</v>
      </c>
      <c r="D170" s="64"/>
      <c r="E170" s="64">
        <v>5701.35</v>
      </c>
      <c r="F170" s="64"/>
      <c r="G170" s="64"/>
      <c r="H170" s="64">
        <v>12500</v>
      </c>
      <c r="I170" s="65">
        <f t="shared" si="9"/>
        <v>19243.02</v>
      </c>
    </row>
    <row r="171" spans="1:9" ht="20.25" customHeight="1" x14ac:dyDescent="0.25">
      <c r="A171" s="51" t="s">
        <v>262</v>
      </c>
      <c r="B171" s="81" t="s">
        <v>89</v>
      </c>
      <c r="C171" s="64"/>
      <c r="D171" s="64"/>
      <c r="E171" s="64">
        <v>424</v>
      </c>
      <c r="F171" s="64"/>
      <c r="G171" s="64"/>
      <c r="H171" s="64"/>
      <c r="I171" s="65">
        <f t="shared" si="9"/>
        <v>424</v>
      </c>
    </row>
    <row r="172" spans="1:9" ht="20.25" customHeight="1" x14ac:dyDescent="0.25">
      <c r="A172" s="51" t="s">
        <v>263</v>
      </c>
      <c r="B172" s="75" t="s">
        <v>352</v>
      </c>
      <c r="C172" s="64">
        <f>12222.21+6033.34</f>
        <v>18255.55</v>
      </c>
      <c r="D172" s="64"/>
      <c r="E172" s="64">
        <v>11.3</v>
      </c>
      <c r="F172" s="64"/>
      <c r="G172" s="64"/>
      <c r="H172" s="64"/>
      <c r="I172" s="65">
        <f t="shared" si="9"/>
        <v>18266.849999999999</v>
      </c>
    </row>
    <row r="173" spans="1:9" ht="20.25" customHeight="1" x14ac:dyDescent="0.25">
      <c r="A173" s="51" t="s">
        <v>264</v>
      </c>
      <c r="B173" s="75"/>
      <c r="C173" s="64"/>
      <c r="D173" s="64"/>
      <c r="E173" s="64">
        <v>369.49</v>
      </c>
      <c r="F173" s="64"/>
      <c r="G173" s="64"/>
      <c r="H173" s="64">
        <v>6250</v>
      </c>
      <c r="I173" s="65">
        <f t="shared" si="9"/>
        <v>6619.49</v>
      </c>
    </row>
    <row r="174" spans="1:9" ht="15.6" x14ac:dyDescent="0.25">
      <c r="A174" s="73" t="s">
        <v>85</v>
      </c>
      <c r="B174" s="78"/>
      <c r="C174" s="52">
        <f>SUM(C156:C173)</f>
        <v>61112.37999999999</v>
      </c>
      <c r="D174" s="52">
        <f>SUM(D156:D173)</f>
        <v>0</v>
      </c>
      <c r="E174" s="52">
        <f>SUM(E156:E173)</f>
        <v>86263.480000000025</v>
      </c>
      <c r="F174" s="52">
        <f>SUM(F156:F173)</f>
        <v>1774.5</v>
      </c>
      <c r="G174" s="52"/>
      <c r="H174" s="52">
        <f>SUM(H156:H173)</f>
        <v>62500</v>
      </c>
      <c r="I174" s="49">
        <f t="shared" si="9"/>
        <v>211650.36000000002</v>
      </c>
    </row>
    <row r="175" spans="1:9" ht="18" x14ac:dyDescent="0.25">
      <c r="A175" s="87" t="s">
        <v>265</v>
      </c>
      <c r="B175" s="88"/>
      <c r="C175" s="83"/>
      <c r="D175" s="83"/>
      <c r="E175" s="83"/>
      <c r="F175" s="83"/>
      <c r="G175" s="83"/>
      <c r="H175" s="83"/>
      <c r="I175" s="86"/>
    </row>
    <row r="176" spans="1:9" ht="40.200000000000003" customHeight="1" x14ac:dyDescent="0.25">
      <c r="A176" s="38" t="s">
        <v>77</v>
      </c>
      <c r="B176" s="38"/>
      <c r="C176" s="39" t="s">
        <v>266</v>
      </c>
      <c r="D176" s="39"/>
      <c r="E176" s="71" t="s">
        <v>246</v>
      </c>
      <c r="F176" s="39"/>
      <c r="G176" s="39"/>
      <c r="H176" s="39"/>
      <c r="I176" s="38" t="s">
        <v>85</v>
      </c>
    </row>
    <row r="177" spans="1:9" ht="20.25" customHeight="1" x14ac:dyDescent="0.3">
      <c r="A177" s="72" t="s">
        <v>267</v>
      </c>
      <c r="B177" s="77" t="s">
        <v>91</v>
      </c>
      <c r="C177" s="66">
        <v>17777.759999999998</v>
      </c>
      <c r="E177" s="65">
        <v>960</v>
      </c>
      <c r="F177" s="68"/>
      <c r="G177" s="64"/>
      <c r="H177" s="64"/>
      <c r="I177" s="65">
        <f>C177+D177+E177+F177+G177+H177</f>
        <v>18737.759999999998</v>
      </c>
    </row>
    <row r="178" spans="1:9" ht="20.25" customHeight="1" x14ac:dyDescent="0.3">
      <c r="A178" s="72" t="s">
        <v>268</v>
      </c>
      <c r="B178" s="77" t="s">
        <v>351</v>
      </c>
      <c r="C178" s="66">
        <v>9050.01</v>
      </c>
      <c r="E178" s="65">
        <v>401.3</v>
      </c>
      <c r="F178" s="68"/>
      <c r="G178" s="64"/>
      <c r="H178" s="64"/>
      <c r="I178" s="65">
        <f t="shared" ref="I178:I241" si="10">C178+D178+E178+F178+G178+H178</f>
        <v>9451.31</v>
      </c>
    </row>
    <row r="179" spans="1:9" ht="20.25" customHeight="1" x14ac:dyDescent="0.3">
      <c r="A179" s="72" t="s">
        <v>269</v>
      </c>
      <c r="B179" s="77" t="s">
        <v>112</v>
      </c>
      <c r="C179" s="66">
        <f>5555.56+2777.78</f>
        <v>8333.34</v>
      </c>
      <c r="E179" s="65">
        <v>390</v>
      </c>
      <c r="F179" s="68"/>
      <c r="G179" s="64"/>
      <c r="H179" s="64"/>
      <c r="I179" s="65">
        <f t="shared" si="10"/>
        <v>8723.34</v>
      </c>
    </row>
    <row r="180" spans="1:9" ht="20.25" customHeight="1" x14ac:dyDescent="0.3">
      <c r="A180" s="72" t="s">
        <v>270</v>
      </c>
      <c r="B180" s="77" t="s">
        <v>95</v>
      </c>
      <c r="C180" s="66">
        <f>902.78+2708.34</f>
        <v>3611.12</v>
      </c>
      <c r="E180" s="65"/>
      <c r="F180" s="68"/>
      <c r="G180" s="64"/>
      <c r="H180" s="64"/>
      <c r="I180" s="65">
        <f t="shared" si="10"/>
        <v>3611.12</v>
      </c>
    </row>
    <row r="181" spans="1:9" ht="20.25" customHeight="1" x14ac:dyDescent="0.3">
      <c r="A181" s="72" t="s">
        <v>271</v>
      </c>
      <c r="B181" s="75" t="s">
        <v>89</v>
      </c>
      <c r="C181" s="66"/>
      <c r="E181" s="65">
        <v>696.09</v>
      </c>
      <c r="F181" s="68"/>
      <c r="G181" s="64"/>
      <c r="H181" s="64"/>
      <c r="I181" s="65">
        <f t="shared" si="10"/>
        <v>696.09</v>
      </c>
    </row>
    <row r="182" spans="1:9" ht="20.25" customHeight="1" x14ac:dyDescent="0.3">
      <c r="A182" s="72" t="s">
        <v>272</v>
      </c>
      <c r="B182" s="77" t="s">
        <v>112</v>
      </c>
      <c r="C182" s="66">
        <f>6250.01+2083.34</f>
        <v>8333.35</v>
      </c>
      <c r="E182" s="65">
        <v>260</v>
      </c>
      <c r="F182" s="68"/>
      <c r="G182" s="64"/>
      <c r="H182" s="64"/>
      <c r="I182" s="65">
        <f t="shared" si="10"/>
        <v>8593.35</v>
      </c>
    </row>
    <row r="183" spans="1:9" ht="20.25" customHeight="1" x14ac:dyDescent="0.3">
      <c r="A183" s="72" t="s">
        <v>273</v>
      </c>
      <c r="B183" s="75"/>
      <c r="C183" s="66"/>
      <c r="E183" s="65">
        <v>1978.62</v>
      </c>
      <c r="F183" s="68"/>
      <c r="G183" s="64"/>
      <c r="H183" s="64"/>
      <c r="I183" s="65">
        <f t="shared" si="10"/>
        <v>1978.62</v>
      </c>
    </row>
    <row r="184" spans="1:9" ht="20.25" customHeight="1" x14ac:dyDescent="0.3">
      <c r="A184" s="72" t="s">
        <v>274</v>
      </c>
      <c r="B184" s="82" t="s">
        <v>89</v>
      </c>
      <c r="C184" s="66"/>
      <c r="E184" s="65">
        <v>1567.31</v>
      </c>
      <c r="F184" s="68"/>
      <c r="G184" s="64"/>
      <c r="H184" s="64"/>
      <c r="I184" s="65">
        <f t="shared" si="10"/>
        <v>1567.31</v>
      </c>
    </row>
    <row r="185" spans="1:9" ht="20.25" customHeight="1" x14ac:dyDescent="0.3">
      <c r="A185" s="72" t="s">
        <v>275</v>
      </c>
      <c r="B185" s="77" t="s">
        <v>112</v>
      </c>
      <c r="C185" s="66">
        <f>1041.67+4861.12</f>
        <v>5902.79</v>
      </c>
      <c r="E185" s="65">
        <v>260</v>
      </c>
      <c r="F185" s="68"/>
      <c r="G185" s="64"/>
      <c r="H185" s="64"/>
      <c r="I185" s="65">
        <f t="shared" si="10"/>
        <v>6162.79</v>
      </c>
    </row>
    <row r="186" spans="1:9" ht="20.25" customHeight="1" x14ac:dyDescent="0.3">
      <c r="A186" s="72" t="s">
        <v>276</v>
      </c>
      <c r="B186" s="82" t="s">
        <v>103</v>
      </c>
      <c r="C186" s="66">
        <f>3472.23+10416.68+1480.56</f>
        <v>15369.47</v>
      </c>
      <c r="E186" s="65">
        <v>3723.38</v>
      </c>
      <c r="F186" s="68"/>
      <c r="G186" s="68"/>
      <c r="H186" s="68"/>
      <c r="I186" s="65">
        <f t="shared" si="10"/>
        <v>19092.849999999999</v>
      </c>
    </row>
    <row r="187" spans="1:9" ht="20.25" customHeight="1" x14ac:dyDescent="0.3">
      <c r="A187" s="72" t="s">
        <v>277</v>
      </c>
      <c r="B187" s="75" t="s">
        <v>89</v>
      </c>
      <c r="C187" s="66"/>
      <c r="E187" s="65">
        <v>1100.79</v>
      </c>
      <c r="F187" s="68"/>
      <c r="G187" s="68"/>
      <c r="H187" s="68"/>
      <c r="I187" s="65">
        <f t="shared" si="10"/>
        <v>1100.79</v>
      </c>
    </row>
    <row r="188" spans="1:9" ht="20.25" customHeight="1" x14ac:dyDescent="0.3">
      <c r="A188" s="72" t="s">
        <v>278</v>
      </c>
      <c r="B188" s="77" t="s">
        <v>91</v>
      </c>
      <c r="C188" s="66">
        <f>12222.21+3333.33</f>
        <v>15555.539999999999</v>
      </c>
      <c r="E188" s="65">
        <v>127.2</v>
      </c>
      <c r="F188" s="68"/>
      <c r="G188" s="68"/>
      <c r="H188" s="68"/>
      <c r="I188" s="65">
        <f t="shared" si="10"/>
        <v>15682.74</v>
      </c>
    </row>
    <row r="189" spans="1:9" ht="20.25" customHeight="1" x14ac:dyDescent="0.3">
      <c r="A189" s="72" t="s">
        <v>279</v>
      </c>
      <c r="B189" s="77" t="s">
        <v>112</v>
      </c>
      <c r="C189" s="66">
        <f>2777.78+1388.89</f>
        <v>4166.67</v>
      </c>
      <c r="E189" s="65"/>
      <c r="F189" s="68"/>
      <c r="G189" s="68"/>
      <c r="H189" s="68"/>
      <c r="I189" s="65">
        <f t="shared" si="10"/>
        <v>4166.67</v>
      </c>
    </row>
    <row r="190" spans="1:9" ht="20.25" customHeight="1" x14ac:dyDescent="0.3">
      <c r="A190" s="72" t="s">
        <v>280</v>
      </c>
      <c r="B190" s="75" t="s">
        <v>93</v>
      </c>
      <c r="C190" s="66">
        <v>4166.67</v>
      </c>
      <c r="E190" s="65">
        <v>1573.53</v>
      </c>
      <c r="F190" s="68"/>
      <c r="G190" s="68"/>
      <c r="H190" s="68"/>
      <c r="I190" s="65">
        <f t="shared" si="10"/>
        <v>5740.2</v>
      </c>
    </row>
    <row r="191" spans="1:9" ht="20.25" customHeight="1" x14ac:dyDescent="0.3">
      <c r="A191" s="72" t="s">
        <v>281</v>
      </c>
      <c r="B191" s="75" t="s">
        <v>89</v>
      </c>
      <c r="C191" s="66"/>
      <c r="E191" s="65">
        <v>151.37</v>
      </c>
      <c r="F191" s="68"/>
      <c r="G191" s="68"/>
      <c r="H191" s="68"/>
      <c r="I191" s="65">
        <f t="shared" si="10"/>
        <v>151.37</v>
      </c>
    </row>
    <row r="192" spans="1:9" ht="20.25" customHeight="1" x14ac:dyDescent="0.3">
      <c r="A192" s="72" t="s">
        <v>282</v>
      </c>
      <c r="B192" s="82" t="s">
        <v>103</v>
      </c>
      <c r="C192" s="66">
        <v>740.28</v>
      </c>
      <c r="E192" s="65">
        <v>598.79999999999995</v>
      </c>
      <c r="F192" s="68"/>
      <c r="G192" s="68"/>
      <c r="H192" s="68"/>
      <c r="I192" s="65">
        <f t="shared" si="10"/>
        <v>1339.08</v>
      </c>
    </row>
    <row r="193" spans="1:9" ht="20.25" customHeight="1" x14ac:dyDescent="0.3">
      <c r="A193" s="72" t="s">
        <v>283</v>
      </c>
      <c r="B193" s="81" t="s">
        <v>87</v>
      </c>
      <c r="C193" s="66">
        <f>2083.34+1388.89</f>
        <v>3472.2300000000005</v>
      </c>
      <c r="E193" s="65">
        <v>36.68</v>
      </c>
      <c r="F193" s="68"/>
      <c r="G193" s="68"/>
      <c r="H193" s="68"/>
      <c r="I193" s="65">
        <f t="shared" si="10"/>
        <v>3508.9100000000003</v>
      </c>
    </row>
    <row r="194" spans="1:9" ht="20.25" customHeight="1" x14ac:dyDescent="0.3">
      <c r="A194" s="72" t="s">
        <v>284</v>
      </c>
      <c r="B194" s="77" t="s">
        <v>112</v>
      </c>
      <c r="C194" s="66">
        <f>2083.33+2083.34</f>
        <v>4166.67</v>
      </c>
      <c r="E194" s="65">
        <v>130</v>
      </c>
      <c r="F194" s="68"/>
      <c r="G194" s="68"/>
      <c r="H194" s="68"/>
      <c r="I194" s="65">
        <f t="shared" si="10"/>
        <v>4296.67</v>
      </c>
    </row>
    <row r="195" spans="1:9" ht="20.25" customHeight="1" x14ac:dyDescent="0.3">
      <c r="A195" s="72" t="s">
        <v>285</v>
      </c>
      <c r="B195" s="82" t="s">
        <v>103</v>
      </c>
      <c r="C195" s="66">
        <f>5555.56+1041.67</f>
        <v>6597.2300000000005</v>
      </c>
      <c r="E195" s="65">
        <v>2845.35</v>
      </c>
      <c r="F195" s="68"/>
      <c r="G195" s="68"/>
      <c r="H195" s="68"/>
      <c r="I195" s="65">
        <f t="shared" si="10"/>
        <v>9442.58</v>
      </c>
    </row>
    <row r="196" spans="1:9" ht="20.25" customHeight="1" x14ac:dyDescent="0.3">
      <c r="A196" s="72" t="s">
        <v>286</v>
      </c>
      <c r="B196" s="81" t="s">
        <v>87</v>
      </c>
      <c r="C196" s="66">
        <f>2083.34+6944.45+740.28</f>
        <v>9768.0700000000015</v>
      </c>
      <c r="E196" s="65">
        <v>726.76</v>
      </c>
      <c r="F196" s="68"/>
      <c r="G196" s="68"/>
      <c r="H196" s="68"/>
      <c r="I196" s="65">
        <f t="shared" si="10"/>
        <v>10494.830000000002</v>
      </c>
    </row>
    <row r="197" spans="1:9" ht="20.25" customHeight="1" x14ac:dyDescent="0.3">
      <c r="A197" s="72" t="s">
        <v>287</v>
      </c>
      <c r="B197" s="77" t="s">
        <v>351</v>
      </c>
      <c r="C197" s="66">
        <v>25641.7</v>
      </c>
      <c r="E197" s="65">
        <v>542.6</v>
      </c>
      <c r="F197" s="68"/>
      <c r="G197" s="68"/>
      <c r="H197" s="68"/>
      <c r="I197" s="65">
        <f t="shared" si="10"/>
        <v>26184.3</v>
      </c>
    </row>
    <row r="198" spans="1:9" ht="20.25" customHeight="1" x14ac:dyDescent="0.3">
      <c r="A198" s="72" t="s">
        <v>288</v>
      </c>
      <c r="B198" s="77" t="s">
        <v>112</v>
      </c>
      <c r="C198" s="66">
        <f>1388.89+2777.78</f>
        <v>4166.67</v>
      </c>
      <c r="E198" s="65"/>
      <c r="F198" s="68"/>
      <c r="G198" s="68"/>
      <c r="H198" s="68"/>
      <c r="I198" s="65">
        <f t="shared" si="10"/>
        <v>4166.67</v>
      </c>
    </row>
    <row r="199" spans="1:9" ht="20.25" customHeight="1" x14ac:dyDescent="0.3">
      <c r="A199" s="72" t="s">
        <v>289</v>
      </c>
      <c r="B199" s="75" t="s">
        <v>93</v>
      </c>
      <c r="C199" s="66">
        <v>5555.56</v>
      </c>
      <c r="E199" s="65">
        <v>3251.34</v>
      </c>
      <c r="F199" s="68"/>
      <c r="G199" s="68"/>
      <c r="H199" s="68"/>
      <c r="I199" s="65">
        <f t="shared" si="10"/>
        <v>8806.9000000000015</v>
      </c>
    </row>
    <row r="200" spans="1:9" ht="20.25" customHeight="1" x14ac:dyDescent="0.3">
      <c r="A200" s="72" t="s">
        <v>290</v>
      </c>
      <c r="B200" s="82" t="s">
        <v>103</v>
      </c>
      <c r="C200" s="66">
        <v>8143.08</v>
      </c>
      <c r="E200" s="65">
        <v>3378.3</v>
      </c>
      <c r="F200" s="68"/>
      <c r="G200" s="68"/>
      <c r="H200" s="68"/>
      <c r="I200" s="65">
        <f t="shared" si="10"/>
        <v>11521.380000000001</v>
      </c>
    </row>
    <row r="201" spans="1:9" ht="20.25" customHeight="1" x14ac:dyDescent="0.3">
      <c r="A201" s="72" t="s">
        <v>291</v>
      </c>
      <c r="B201" s="77" t="s">
        <v>112</v>
      </c>
      <c r="C201" s="66">
        <v>1388.89</v>
      </c>
      <c r="E201" s="65"/>
      <c r="F201" s="68"/>
      <c r="G201" s="68"/>
      <c r="H201" s="68"/>
      <c r="I201" s="65">
        <f t="shared" si="10"/>
        <v>1388.89</v>
      </c>
    </row>
    <row r="202" spans="1:9" ht="20.25" customHeight="1" x14ac:dyDescent="0.3">
      <c r="A202" s="72" t="s">
        <v>292</v>
      </c>
      <c r="B202" s="77" t="s">
        <v>95</v>
      </c>
      <c r="C202" s="66">
        <v>8333.32</v>
      </c>
      <c r="E202" s="65"/>
      <c r="F202" s="68"/>
      <c r="G202" s="68"/>
      <c r="H202" s="68"/>
      <c r="I202" s="65">
        <f t="shared" si="10"/>
        <v>8333.32</v>
      </c>
    </row>
    <row r="203" spans="1:9" ht="20.25" customHeight="1" x14ac:dyDescent="0.3">
      <c r="A203" s="72" t="s">
        <v>293</v>
      </c>
      <c r="B203" s="75" t="s">
        <v>93</v>
      </c>
      <c r="C203" s="66">
        <f>1388.89+1388.89</f>
        <v>2777.78</v>
      </c>
      <c r="E203" s="65">
        <v>377.97</v>
      </c>
      <c r="F203" s="68"/>
      <c r="G203" s="68"/>
      <c r="H203" s="68"/>
      <c r="I203" s="65">
        <f t="shared" si="10"/>
        <v>3155.75</v>
      </c>
    </row>
    <row r="204" spans="1:9" ht="20.25" customHeight="1" x14ac:dyDescent="0.3">
      <c r="A204" s="72" t="s">
        <v>294</v>
      </c>
      <c r="B204" s="81" t="s">
        <v>87</v>
      </c>
      <c r="C204" s="66">
        <f>1388.89+740.28</f>
        <v>2129.17</v>
      </c>
      <c r="E204" s="65"/>
      <c r="F204" s="68"/>
      <c r="G204" s="68"/>
      <c r="H204" s="68"/>
      <c r="I204" s="65">
        <f t="shared" si="10"/>
        <v>2129.17</v>
      </c>
    </row>
    <row r="205" spans="1:9" ht="20.25" customHeight="1" x14ac:dyDescent="0.3">
      <c r="A205" s="72" t="s">
        <v>295</v>
      </c>
      <c r="B205" s="77" t="s">
        <v>95</v>
      </c>
      <c r="C205" s="66">
        <f>7222.24+1354.17</f>
        <v>8576.41</v>
      </c>
      <c r="E205" s="65">
        <v>130</v>
      </c>
      <c r="F205" s="68"/>
      <c r="G205" s="68"/>
      <c r="H205" s="68"/>
      <c r="I205" s="65">
        <f t="shared" si="10"/>
        <v>8706.41</v>
      </c>
    </row>
    <row r="206" spans="1:9" ht="20.25" customHeight="1" x14ac:dyDescent="0.3">
      <c r="A206" s="72" t="s">
        <v>296</v>
      </c>
      <c r="B206" s="77" t="s">
        <v>95</v>
      </c>
      <c r="C206" s="66">
        <v>1041.67</v>
      </c>
      <c r="E206" s="65"/>
      <c r="F206" s="68"/>
      <c r="G206" s="68"/>
      <c r="H206" s="68"/>
      <c r="I206" s="65">
        <f t="shared" si="10"/>
        <v>1041.67</v>
      </c>
    </row>
    <row r="207" spans="1:9" ht="20.25" customHeight="1" x14ac:dyDescent="0.3">
      <c r="A207" s="72" t="s">
        <v>297</v>
      </c>
      <c r="B207" s="75" t="s">
        <v>89</v>
      </c>
      <c r="C207" s="66"/>
      <c r="E207" s="65">
        <v>3098.52</v>
      </c>
      <c r="F207" s="68"/>
      <c r="G207" s="68"/>
      <c r="H207" s="68"/>
      <c r="I207" s="65">
        <f t="shared" si="10"/>
        <v>3098.52</v>
      </c>
    </row>
    <row r="208" spans="1:9" ht="20.25" customHeight="1" x14ac:dyDescent="0.3">
      <c r="A208" s="72" t="s">
        <v>298</v>
      </c>
      <c r="B208" s="82" t="s">
        <v>103</v>
      </c>
      <c r="C208" s="66">
        <f>2777.78+1388.89+740.28</f>
        <v>4906.95</v>
      </c>
      <c r="E208" s="65">
        <v>8550.9599999999991</v>
      </c>
      <c r="F208" s="68"/>
      <c r="G208" s="68"/>
      <c r="H208" s="68"/>
      <c r="I208" s="65">
        <f t="shared" si="10"/>
        <v>13457.91</v>
      </c>
    </row>
    <row r="209" spans="1:9" ht="20.25" customHeight="1" x14ac:dyDescent="0.3">
      <c r="A209" s="72" t="s">
        <v>299</v>
      </c>
      <c r="B209" s="82" t="s">
        <v>103</v>
      </c>
      <c r="C209" s="66">
        <f>694.45+1388.89</f>
        <v>2083.34</v>
      </c>
      <c r="E209" s="65"/>
      <c r="F209" s="68"/>
      <c r="G209" s="68"/>
      <c r="H209" s="68"/>
      <c r="I209" s="65">
        <f t="shared" si="10"/>
        <v>2083.34</v>
      </c>
    </row>
    <row r="210" spans="1:9" ht="20.25" customHeight="1" x14ac:dyDescent="0.3">
      <c r="A210" s="72" t="s">
        <v>300</v>
      </c>
      <c r="B210" s="81" t="s">
        <v>87</v>
      </c>
      <c r="C210" s="66">
        <f>5555.56+5555.56+2083.36+1480.56</f>
        <v>14675.04</v>
      </c>
      <c r="E210" s="65">
        <v>3907.56</v>
      </c>
      <c r="F210" s="68"/>
      <c r="G210" s="68"/>
      <c r="H210" s="68"/>
      <c r="I210" s="65">
        <f t="shared" si="10"/>
        <v>18582.600000000002</v>
      </c>
    </row>
    <row r="211" spans="1:9" ht="20.25" customHeight="1" x14ac:dyDescent="0.3">
      <c r="A211" s="72" t="s">
        <v>301</v>
      </c>
      <c r="B211" s="82" t="s">
        <v>103</v>
      </c>
      <c r="C211" s="66">
        <f>1388.89+4166.67+740.28</f>
        <v>6295.84</v>
      </c>
      <c r="E211" s="65">
        <v>3975.55</v>
      </c>
      <c r="F211" s="68"/>
      <c r="G211" s="68"/>
      <c r="H211" s="68"/>
      <c r="I211" s="65">
        <f t="shared" si="10"/>
        <v>10271.39</v>
      </c>
    </row>
    <row r="212" spans="1:9" ht="20.25" customHeight="1" x14ac:dyDescent="0.3">
      <c r="A212" s="72" t="s">
        <v>302</v>
      </c>
      <c r="B212" s="77" t="s">
        <v>95</v>
      </c>
      <c r="C212" s="66">
        <f>1562.5+14583.31</f>
        <v>16145.81</v>
      </c>
      <c r="E212" s="65"/>
      <c r="F212" s="68"/>
      <c r="G212" s="68"/>
      <c r="H212" s="68"/>
      <c r="I212" s="65">
        <f t="shared" si="10"/>
        <v>16145.81</v>
      </c>
    </row>
    <row r="213" spans="1:9" ht="20.25" customHeight="1" x14ac:dyDescent="0.3">
      <c r="A213" s="72" t="s">
        <v>303</v>
      </c>
      <c r="B213" s="75" t="s">
        <v>89</v>
      </c>
      <c r="C213" s="66">
        <v>6761.81</v>
      </c>
      <c r="E213" s="65">
        <v>2510.6799999999998</v>
      </c>
      <c r="F213" s="68"/>
      <c r="G213" s="68"/>
      <c r="H213" s="68"/>
      <c r="I213" s="65">
        <f t="shared" si="10"/>
        <v>9272.49</v>
      </c>
    </row>
    <row r="214" spans="1:9" ht="20.25" customHeight="1" x14ac:dyDescent="0.3">
      <c r="A214" s="72" t="s">
        <v>304</v>
      </c>
      <c r="B214" s="81"/>
      <c r="C214" s="66"/>
      <c r="E214" s="65">
        <v>748.27</v>
      </c>
      <c r="F214" s="68"/>
      <c r="G214" s="68"/>
      <c r="H214" s="68"/>
      <c r="I214" s="65">
        <f t="shared" si="10"/>
        <v>748.27</v>
      </c>
    </row>
    <row r="215" spans="1:9" ht="20.25" customHeight="1" x14ac:dyDescent="0.3">
      <c r="A215" s="72" t="s">
        <v>305</v>
      </c>
      <c r="B215" s="77" t="s">
        <v>112</v>
      </c>
      <c r="C215" s="66">
        <v>1388.89</v>
      </c>
      <c r="E215" s="65"/>
      <c r="F215" s="68"/>
      <c r="G215" s="68"/>
      <c r="H215" s="68"/>
      <c r="I215" s="65">
        <f t="shared" si="10"/>
        <v>1388.89</v>
      </c>
    </row>
    <row r="216" spans="1:9" ht="20.25" customHeight="1" x14ac:dyDescent="0.3">
      <c r="A216" s="72" t="s">
        <v>306</v>
      </c>
      <c r="B216" s="75" t="s">
        <v>89</v>
      </c>
      <c r="C216" s="66"/>
      <c r="E216" s="65">
        <v>3990.04</v>
      </c>
      <c r="F216" s="68"/>
      <c r="G216" s="68"/>
      <c r="H216" s="68"/>
      <c r="I216" s="65">
        <f t="shared" si="10"/>
        <v>3990.04</v>
      </c>
    </row>
    <row r="217" spans="1:9" ht="20.25" customHeight="1" x14ac:dyDescent="0.3">
      <c r="A217" s="72" t="s">
        <v>307</v>
      </c>
      <c r="B217" s="75" t="s">
        <v>89</v>
      </c>
      <c r="C217" s="66"/>
      <c r="E217" s="65">
        <v>453.86</v>
      </c>
      <c r="F217" s="68"/>
      <c r="G217" s="68"/>
      <c r="H217" s="68"/>
      <c r="I217" s="65">
        <f t="shared" si="10"/>
        <v>453.86</v>
      </c>
    </row>
    <row r="218" spans="1:9" ht="20.25" customHeight="1" x14ac:dyDescent="0.3">
      <c r="A218" s="72" t="s">
        <v>308</v>
      </c>
      <c r="B218" s="77" t="s">
        <v>112</v>
      </c>
      <c r="C218" s="66">
        <v>694.45</v>
      </c>
      <c r="E218" s="65"/>
      <c r="F218" s="68"/>
      <c r="G218" s="68"/>
      <c r="H218" s="68"/>
      <c r="I218" s="65">
        <f t="shared" si="10"/>
        <v>694.45</v>
      </c>
    </row>
    <row r="219" spans="1:9" ht="20.25" customHeight="1" x14ac:dyDescent="0.3">
      <c r="A219" s="72" t="s">
        <v>309</v>
      </c>
      <c r="B219" s="77" t="s">
        <v>112</v>
      </c>
      <c r="C219" s="66">
        <f>2777.78+6250.01</f>
        <v>9027.7900000000009</v>
      </c>
      <c r="E219" s="65"/>
      <c r="F219" s="68"/>
      <c r="G219" s="68"/>
      <c r="H219" s="68"/>
      <c r="I219" s="65">
        <f t="shared" si="10"/>
        <v>9027.7900000000009</v>
      </c>
    </row>
    <row r="220" spans="1:9" ht="20.25" customHeight="1" x14ac:dyDescent="0.3">
      <c r="A220" s="72" t="s">
        <v>310</v>
      </c>
      <c r="B220" s="75" t="s">
        <v>93</v>
      </c>
      <c r="C220" s="65">
        <v>2777.78</v>
      </c>
      <c r="E220" s="65">
        <v>484.57</v>
      </c>
      <c r="F220" s="68"/>
      <c r="G220" s="68"/>
      <c r="H220" s="68"/>
      <c r="I220" s="65">
        <f t="shared" si="10"/>
        <v>3262.3500000000004</v>
      </c>
    </row>
    <row r="221" spans="1:9" ht="20.25" customHeight="1" x14ac:dyDescent="0.3">
      <c r="A221" s="72" t="s">
        <v>311</v>
      </c>
      <c r="B221" s="82" t="s">
        <v>103</v>
      </c>
      <c r="C221" s="65">
        <f>2777.78+1388.89+740.28</f>
        <v>4906.95</v>
      </c>
      <c r="E221" s="65">
        <v>5758.67</v>
      </c>
      <c r="F221" s="68"/>
      <c r="G221" s="68"/>
      <c r="H221" s="68"/>
      <c r="I221" s="65">
        <f t="shared" si="10"/>
        <v>10665.619999999999</v>
      </c>
    </row>
    <row r="222" spans="1:9" ht="20.25" customHeight="1" x14ac:dyDescent="0.3">
      <c r="A222" s="72" t="s">
        <v>312</v>
      </c>
      <c r="B222" s="75" t="s">
        <v>93</v>
      </c>
      <c r="C222" s="65">
        <f>2777.78+2777.78</f>
        <v>5555.56</v>
      </c>
      <c r="E222" s="65">
        <v>5266.74</v>
      </c>
      <c r="F222" s="68"/>
      <c r="G222" s="68"/>
      <c r="H222" s="68"/>
      <c r="I222" s="65">
        <f t="shared" si="10"/>
        <v>10822.3</v>
      </c>
    </row>
    <row r="223" spans="1:9" ht="20.25" customHeight="1" x14ac:dyDescent="0.3">
      <c r="A223" s="72" t="s">
        <v>313</v>
      </c>
      <c r="B223" s="77" t="s">
        <v>95</v>
      </c>
      <c r="C223" s="65">
        <v>12499.98</v>
      </c>
      <c r="E223" s="65"/>
      <c r="F223" s="68"/>
      <c r="G223" s="68"/>
      <c r="H223" s="68"/>
      <c r="I223" s="65">
        <f t="shared" si="10"/>
        <v>12499.98</v>
      </c>
    </row>
    <row r="224" spans="1:9" ht="20.25" customHeight="1" x14ac:dyDescent="0.3">
      <c r="A224" s="72" t="s">
        <v>314</v>
      </c>
      <c r="B224" s="77" t="s">
        <v>91</v>
      </c>
      <c r="C224" s="66">
        <v>2222.2199999999998</v>
      </c>
      <c r="E224" s="65">
        <v>480</v>
      </c>
      <c r="F224" s="68"/>
      <c r="G224" s="68"/>
      <c r="H224" s="68"/>
      <c r="I224" s="65">
        <f t="shared" si="10"/>
        <v>2702.22</v>
      </c>
    </row>
    <row r="225" spans="1:9" ht="20.25" customHeight="1" x14ac:dyDescent="0.3">
      <c r="A225" s="72" t="s">
        <v>315</v>
      </c>
      <c r="B225" s="81" t="s">
        <v>87</v>
      </c>
      <c r="C225" s="66">
        <v>2083.34</v>
      </c>
      <c r="E225" s="65"/>
      <c r="F225" s="68"/>
      <c r="G225" s="68"/>
      <c r="H225" s="68"/>
      <c r="I225" s="65">
        <f t="shared" si="10"/>
        <v>2083.34</v>
      </c>
    </row>
    <row r="226" spans="1:9" ht="20.25" customHeight="1" x14ac:dyDescent="0.3">
      <c r="A226" s="72" t="s">
        <v>316</v>
      </c>
      <c r="B226" s="77" t="s">
        <v>95</v>
      </c>
      <c r="C226" s="66">
        <v>16666.64</v>
      </c>
      <c r="E226" s="65">
        <v>390</v>
      </c>
      <c r="F226" s="68"/>
      <c r="G226" s="68"/>
      <c r="H226" s="68"/>
      <c r="I226" s="65">
        <f t="shared" si="10"/>
        <v>17056.64</v>
      </c>
    </row>
    <row r="227" spans="1:9" ht="20.25" customHeight="1" x14ac:dyDescent="0.3">
      <c r="A227" s="72" t="s">
        <v>317</v>
      </c>
      <c r="B227" s="77" t="s">
        <v>95</v>
      </c>
      <c r="C227" s="66">
        <f>12638.92+14444.48+1041.67</f>
        <v>28125.07</v>
      </c>
      <c r="E227" s="65">
        <v>520</v>
      </c>
      <c r="F227" s="68"/>
      <c r="G227" s="68"/>
      <c r="H227" s="68"/>
      <c r="I227" s="65">
        <f t="shared" si="10"/>
        <v>28645.07</v>
      </c>
    </row>
    <row r="228" spans="1:9" ht="20.25" customHeight="1" x14ac:dyDescent="0.3">
      <c r="A228" s="72" t="s">
        <v>318</v>
      </c>
      <c r="B228" s="75" t="s">
        <v>89</v>
      </c>
      <c r="C228" s="66"/>
      <c r="E228" s="65">
        <v>1263.8699999999999</v>
      </c>
      <c r="F228" s="68"/>
      <c r="G228" s="68"/>
      <c r="H228" s="68"/>
      <c r="I228" s="65">
        <f t="shared" si="10"/>
        <v>1263.8699999999999</v>
      </c>
    </row>
    <row r="229" spans="1:9" ht="20.25" customHeight="1" x14ac:dyDescent="0.3">
      <c r="A229" s="72" t="s">
        <v>319</v>
      </c>
      <c r="B229" s="77" t="s">
        <v>95</v>
      </c>
      <c r="C229" s="66">
        <f>6319.46+6319.46</f>
        <v>12638.92</v>
      </c>
      <c r="E229" s="65">
        <v>790.19</v>
      </c>
      <c r="F229" s="68"/>
      <c r="G229" s="68"/>
      <c r="H229" s="68"/>
      <c r="I229" s="65">
        <f t="shared" si="10"/>
        <v>13429.11</v>
      </c>
    </row>
    <row r="230" spans="1:9" ht="20.25" customHeight="1" x14ac:dyDescent="0.3">
      <c r="A230" s="72" t="s">
        <v>320</v>
      </c>
      <c r="B230" s="82"/>
      <c r="C230" s="66"/>
      <c r="E230" s="65">
        <v>1800.61</v>
      </c>
      <c r="F230" s="68"/>
      <c r="G230" s="68"/>
      <c r="H230" s="68"/>
      <c r="I230" s="65">
        <f t="shared" si="10"/>
        <v>1800.61</v>
      </c>
    </row>
    <row r="231" spans="1:9" ht="20.25" customHeight="1" x14ac:dyDescent="0.3">
      <c r="A231" s="72" t="s">
        <v>321</v>
      </c>
      <c r="B231" s="77" t="s">
        <v>91</v>
      </c>
      <c r="C231" s="66">
        <f>3333.33+6666.66</f>
        <v>9999.99</v>
      </c>
      <c r="E231" s="65">
        <v>127.2</v>
      </c>
      <c r="F231" s="68"/>
      <c r="G231" s="68"/>
      <c r="H231" s="68"/>
      <c r="I231" s="65">
        <f t="shared" si="10"/>
        <v>10127.19</v>
      </c>
    </row>
    <row r="232" spans="1:9" ht="20.25" customHeight="1" x14ac:dyDescent="0.3">
      <c r="A232" s="72" t="s">
        <v>322</v>
      </c>
      <c r="B232" s="75" t="s">
        <v>89</v>
      </c>
      <c r="C232" s="66"/>
      <c r="E232" s="65">
        <v>5609.97</v>
      </c>
      <c r="F232" s="68"/>
      <c r="G232" s="68"/>
      <c r="H232" s="68"/>
      <c r="I232" s="65">
        <f t="shared" si="10"/>
        <v>5609.97</v>
      </c>
    </row>
    <row r="233" spans="1:9" ht="20.25" customHeight="1" x14ac:dyDescent="0.3">
      <c r="A233" s="72" t="s">
        <v>323</v>
      </c>
      <c r="B233" s="75" t="s">
        <v>352</v>
      </c>
      <c r="C233" s="66">
        <f>4525.01+1740.23+17777.76+8888.88</f>
        <v>32931.879999999997</v>
      </c>
      <c r="E233" s="65">
        <v>2373.8200000000002</v>
      </c>
      <c r="F233" s="68"/>
      <c r="G233" s="68"/>
      <c r="H233" s="68"/>
      <c r="I233" s="65">
        <f t="shared" si="10"/>
        <v>35305.699999999997</v>
      </c>
    </row>
    <row r="234" spans="1:9" ht="20.25" customHeight="1" x14ac:dyDescent="0.3">
      <c r="A234" s="72" t="s">
        <v>324</v>
      </c>
      <c r="B234" s="77" t="s">
        <v>112</v>
      </c>
      <c r="C234" s="66">
        <v>1388.89</v>
      </c>
      <c r="E234" s="65">
        <v>130</v>
      </c>
      <c r="F234" s="68"/>
      <c r="G234" s="68"/>
      <c r="H234" s="68"/>
      <c r="I234" s="65">
        <f t="shared" si="10"/>
        <v>1518.89</v>
      </c>
    </row>
    <row r="235" spans="1:9" ht="20.25" customHeight="1" x14ac:dyDescent="0.3">
      <c r="A235" s="72" t="s">
        <v>325</v>
      </c>
      <c r="B235" s="77" t="s">
        <v>95</v>
      </c>
      <c r="C235" s="66">
        <v>8333.32</v>
      </c>
      <c r="E235" s="65">
        <v>687.93</v>
      </c>
      <c r="F235" s="68"/>
      <c r="G235" s="68"/>
      <c r="H235" s="68"/>
      <c r="I235" s="65">
        <f t="shared" si="10"/>
        <v>9021.25</v>
      </c>
    </row>
    <row r="236" spans="1:9" ht="20.25" customHeight="1" x14ac:dyDescent="0.3">
      <c r="A236" s="72" t="s">
        <v>326</v>
      </c>
      <c r="B236" s="81" t="s">
        <v>87</v>
      </c>
      <c r="C236" s="66">
        <v>5555.56</v>
      </c>
      <c r="E236" s="65">
        <v>1525.07</v>
      </c>
      <c r="F236" s="68"/>
      <c r="G236" s="68"/>
      <c r="H236" s="68"/>
      <c r="I236" s="65">
        <f t="shared" si="10"/>
        <v>7080.63</v>
      </c>
    </row>
    <row r="237" spans="1:9" ht="20.25" customHeight="1" x14ac:dyDescent="0.3">
      <c r="A237" s="72" t="s">
        <v>327</v>
      </c>
      <c r="B237" s="77" t="s">
        <v>112</v>
      </c>
      <c r="C237" s="66">
        <f>10416.68+10416.68</f>
        <v>20833.36</v>
      </c>
      <c r="E237" s="65">
        <v>1300</v>
      </c>
      <c r="F237" s="68"/>
      <c r="G237" s="68"/>
      <c r="H237" s="68"/>
      <c r="I237" s="65">
        <f t="shared" si="10"/>
        <v>22133.360000000001</v>
      </c>
    </row>
    <row r="238" spans="1:9" ht="20.25" customHeight="1" x14ac:dyDescent="0.3">
      <c r="A238" s="72" t="s">
        <v>328</v>
      </c>
      <c r="B238" s="77" t="s">
        <v>112</v>
      </c>
      <c r="C238" s="66">
        <f>1388.89+1388.89</f>
        <v>2777.78</v>
      </c>
      <c r="E238" s="65"/>
      <c r="F238" s="68"/>
      <c r="G238" s="68"/>
      <c r="H238" s="68"/>
      <c r="I238" s="65">
        <f t="shared" si="10"/>
        <v>2777.78</v>
      </c>
    </row>
    <row r="239" spans="1:9" ht="20.25" customHeight="1" x14ac:dyDescent="0.3">
      <c r="A239" s="72" t="s">
        <v>329</v>
      </c>
      <c r="B239" s="82" t="s">
        <v>103</v>
      </c>
      <c r="C239" s="66">
        <f>4166.67+1041.67+1388.89+2220.84</f>
        <v>8818.07</v>
      </c>
      <c r="E239" s="65">
        <v>3552.8</v>
      </c>
      <c r="F239" s="68"/>
      <c r="G239" s="68"/>
      <c r="H239" s="68"/>
      <c r="I239" s="65">
        <f t="shared" si="10"/>
        <v>12370.869999999999</v>
      </c>
    </row>
    <row r="240" spans="1:9" ht="20.25" customHeight="1" x14ac:dyDescent="0.3">
      <c r="A240" s="72" t="s">
        <v>330</v>
      </c>
      <c r="B240" s="77" t="s">
        <v>95</v>
      </c>
      <c r="C240" s="66">
        <v>6249.99</v>
      </c>
      <c r="E240" s="65"/>
      <c r="F240" s="68"/>
      <c r="G240" s="68"/>
      <c r="H240" s="68"/>
      <c r="I240" s="65">
        <f t="shared" si="10"/>
        <v>6249.99</v>
      </c>
    </row>
    <row r="241" spans="1:9" ht="20.25" customHeight="1" x14ac:dyDescent="0.3">
      <c r="A241" s="72" t="s">
        <v>331</v>
      </c>
      <c r="B241" s="75" t="s">
        <v>89</v>
      </c>
      <c r="C241" s="66"/>
      <c r="E241" s="65">
        <v>1039.3499999999999</v>
      </c>
      <c r="F241" s="68"/>
      <c r="G241" s="68"/>
      <c r="H241" s="68"/>
      <c r="I241" s="65">
        <f t="shared" si="10"/>
        <v>1039.3499999999999</v>
      </c>
    </row>
    <row r="242" spans="1:9" ht="20.25" customHeight="1" x14ac:dyDescent="0.3">
      <c r="A242" s="72" t="s">
        <v>332</v>
      </c>
      <c r="B242" s="77" t="s">
        <v>95</v>
      </c>
      <c r="C242" s="66">
        <f>11736.14+14444.48</f>
        <v>26180.62</v>
      </c>
      <c r="E242" s="65">
        <v>1300</v>
      </c>
      <c r="F242" s="68"/>
      <c r="G242" s="68"/>
      <c r="H242" s="68"/>
      <c r="I242" s="65">
        <f t="shared" ref="I242:I261" si="11">C242+D242+E242+F242+G242+H242</f>
        <v>27480.62</v>
      </c>
    </row>
    <row r="243" spans="1:9" ht="20.25" customHeight="1" x14ac:dyDescent="0.3">
      <c r="A243" s="72" t="s">
        <v>333</v>
      </c>
      <c r="B243" s="77" t="s">
        <v>112</v>
      </c>
      <c r="C243" s="66">
        <v>902.78</v>
      </c>
      <c r="E243" s="65"/>
      <c r="F243" s="68"/>
      <c r="G243" s="68"/>
      <c r="H243" s="68"/>
      <c r="I243" s="65">
        <f t="shared" si="11"/>
        <v>902.78</v>
      </c>
    </row>
    <row r="244" spans="1:9" ht="20.25" customHeight="1" x14ac:dyDescent="0.3">
      <c r="A244" s="72" t="s">
        <v>334</v>
      </c>
      <c r="B244" s="75" t="s">
        <v>93</v>
      </c>
      <c r="C244" s="66">
        <f>13888.9+6250.01</f>
        <v>20138.91</v>
      </c>
      <c r="E244" s="65">
        <v>18631.689999999999</v>
      </c>
      <c r="F244" s="68"/>
      <c r="G244" s="68"/>
      <c r="H244" s="68"/>
      <c r="I244" s="65">
        <f t="shared" si="11"/>
        <v>38770.6</v>
      </c>
    </row>
    <row r="245" spans="1:9" ht="20.25" customHeight="1" x14ac:dyDescent="0.3">
      <c r="A245" s="72" t="s">
        <v>335</v>
      </c>
      <c r="B245" s="81" t="s">
        <v>87</v>
      </c>
      <c r="C245" s="66">
        <v>2777.78</v>
      </c>
      <c r="E245" s="65">
        <v>1624.46</v>
      </c>
      <c r="F245" s="68"/>
      <c r="G245" s="68"/>
      <c r="H245" s="68"/>
      <c r="I245" s="65">
        <f t="shared" si="11"/>
        <v>4402.24</v>
      </c>
    </row>
    <row r="246" spans="1:9" ht="20.25" customHeight="1" x14ac:dyDescent="0.3">
      <c r="A246" s="72" t="s">
        <v>336</v>
      </c>
      <c r="B246" s="82" t="s">
        <v>103</v>
      </c>
      <c r="C246" s="66">
        <v>2777.78</v>
      </c>
      <c r="E246" s="65">
        <v>53.74</v>
      </c>
      <c r="F246" s="68"/>
      <c r="G246" s="68"/>
      <c r="H246" s="68"/>
      <c r="I246" s="65">
        <f t="shared" si="11"/>
        <v>2831.52</v>
      </c>
    </row>
    <row r="247" spans="1:9" ht="20.25" customHeight="1" x14ac:dyDescent="0.3">
      <c r="A247" s="72" t="s">
        <v>337</v>
      </c>
      <c r="B247" s="77" t="s">
        <v>95</v>
      </c>
      <c r="C247" s="66">
        <v>20833.3</v>
      </c>
      <c r="E247" s="65">
        <v>633.36</v>
      </c>
      <c r="F247" s="68"/>
      <c r="G247" s="68"/>
      <c r="H247" s="68"/>
      <c r="I247" s="65">
        <f t="shared" si="11"/>
        <v>21466.66</v>
      </c>
    </row>
    <row r="248" spans="1:9" ht="20.25" customHeight="1" x14ac:dyDescent="0.3">
      <c r="A248" s="72" t="s">
        <v>338</v>
      </c>
      <c r="B248" s="77" t="s">
        <v>91</v>
      </c>
      <c r="C248" s="66">
        <v>2222.2199999999998</v>
      </c>
      <c r="E248" s="65"/>
      <c r="F248" s="68"/>
      <c r="G248" s="68"/>
      <c r="H248" s="68"/>
      <c r="I248" s="65">
        <f t="shared" si="11"/>
        <v>2222.2199999999998</v>
      </c>
    </row>
    <row r="249" spans="1:9" ht="20.25" customHeight="1" x14ac:dyDescent="0.3">
      <c r="A249" s="72" t="s">
        <v>339</v>
      </c>
      <c r="B249" s="75" t="s">
        <v>93</v>
      </c>
      <c r="C249" s="66">
        <f>1388.89+9722.23</f>
        <v>11111.119999999999</v>
      </c>
      <c r="E249" s="65">
        <v>2817.27</v>
      </c>
      <c r="F249" s="68"/>
      <c r="G249" s="68"/>
      <c r="H249" s="68"/>
      <c r="I249" s="65">
        <f t="shared" si="11"/>
        <v>13928.39</v>
      </c>
    </row>
    <row r="250" spans="1:9" ht="20.25" customHeight="1" x14ac:dyDescent="0.3">
      <c r="A250" s="72" t="s">
        <v>340</v>
      </c>
      <c r="B250" s="77" t="s">
        <v>112</v>
      </c>
      <c r="C250" s="66">
        <v>694.45</v>
      </c>
      <c r="E250" s="65"/>
      <c r="F250" s="68"/>
      <c r="G250" s="68"/>
      <c r="H250" s="68"/>
      <c r="I250" s="65">
        <f t="shared" si="11"/>
        <v>694.45</v>
      </c>
    </row>
    <row r="251" spans="1:9" ht="20.25" customHeight="1" x14ac:dyDescent="0.3">
      <c r="A251" s="72" t="s">
        <v>341</v>
      </c>
      <c r="B251" s="75" t="s">
        <v>93</v>
      </c>
      <c r="C251" s="66">
        <f>1388.89+2777.78</f>
        <v>4166.67</v>
      </c>
      <c r="E251" s="65">
        <v>381.55</v>
      </c>
      <c r="F251" s="68"/>
      <c r="G251" s="68"/>
      <c r="H251" s="68"/>
      <c r="I251" s="65">
        <f t="shared" si="11"/>
        <v>4548.22</v>
      </c>
    </row>
    <row r="252" spans="1:9" ht="20.25" customHeight="1" x14ac:dyDescent="0.3">
      <c r="A252" s="72" t="s">
        <v>342</v>
      </c>
      <c r="B252" s="81" t="s">
        <v>87</v>
      </c>
      <c r="C252" s="66">
        <f>3472.23+1388.89+740.28</f>
        <v>5601.4</v>
      </c>
      <c r="E252" s="65">
        <v>1266.72</v>
      </c>
      <c r="F252" s="68"/>
      <c r="G252" s="68"/>
      <c r="H252" s="68"/>
      <c r="I252" s="65">
        <f t="shared" si="11"/>
        <v>6868.12</v>
      </c>
    </row>
    <row r="253" spans="1:9" ht="20.25" customHeight="1" x14ac:dyDescent="0.3">
      <c r="A253" s="72" t="s">
        <v>343</v>
      </c>
      <c r="B253" s="82"/>
      <c r="C253" s="65"/>
      <c r="E253" s="65">
        <v>997.8</v>
      </c>
      <c r="F253" s="68"/>
      <c r="G253" s="68"/>
      <c r="H253" s="68"/>
      <c r="I253" s="65">
        <f t="shared" si="11"/>
        <v>997.8</v>
      </c>
    </row>
    <row r="254" spans="1:9" ht="20.25" customHeight="1" x14ac:dyDescent="0.3">
      <c r="A254" s="72" t="s">
        <v>344</v>
      </c>
      <c r="B254" s="75" t="s">
        <v>89</v>
      </c>
      <c r="C254" s="66"/>
      <c r="E254" s="65">
        <v>1316.27</v>
      </c>
      <c r="F254" s="68"/>
      <c r="G254" s="68"/>
      <c r="H254" s="68"/>
      <c r="I254" s="65">
        <f t="shared" si="11"/>
        <v>1316.27</v>
      </c>
    </row>
    <row r="255" spans="1:9" ht="20.25" customHeight="1" x14ac:dyDescent="0.3">
      <c r="A255" s="72" t="s">
        <v>345</v>
      </c>
      <c r="B255" s="81" t="s">
        <v>87</v>
      </c>
      <c r="C255" s="66">
        <f>2777.78+1388.89</f>
        <v>4166.67</v>
      </c>
      <c r="E255" s="65">
        <v>976.06</v>
      </c>
      <c r="F255" s="68"/>
      <c r="G255" s="68"/>
      <c r="H255" s="68"/>
      <c r="I255" s="65">
        <f t="shared" si="11"/>
        <v>5142.7299999999996</v>
      </c>
    </row>
    <row r="256" spans="1:9" ht="20.25" customHeight="1" x14ac:dyDescent="0.3">
      <c r="A256" s="72" t="s">
        <v>346</v>
      </c>
      <c r="B256" s="77" t="s">
        <v>95</v>
      </c>
      <c r="C256" s="66">
        <f>1354.17+10833.36+4513.9</f>
        <v>16701.43</v>
      </c>
      <c r="E256" s="65">
        <v>260</v>
      </c>
      <c r="F256" s="68"/>
      <c r="G256" s="68"/>
      <c r="H256" s="68"/>
      <c r="I256" s="65">
        <f t="shared" si="11"/>
        <v>16961.43</v>
      </c>
    </row>
    <row r="257" spans="1:24" ht="20.25" customHeight="1" x14ac:dyDescent="0.3">
      <c r="A257" s="72" t="s">
        <v>347</v>
      </c>
      <c r="B257" s="82" t="s">
        <v>103</v>
      </c>
      <c r="C257" s="66">
        <f>3472.23+694.44</f>
        <v>4166.67</v>
      </c>
      <c r="E257" s="65"/>
      <c r="F257" s="68"/>
      <c r="G257" s="68"/>
      <c r="H257" s="68"/>
      <c r="I257" s="65">
        <f t="shared" si="11"/>
        <v>4166.67</v>
      </c>
    </row>
    <row r="258" spans="1:24" ht="20.25" customHeight="1" x14ac:dyDescent="0.3">
      <c r="A258" s="72" t="s">
        <v>348</v>
      </c>
      <c r="B258" s="77" t="s">
        <v>112</v>
      </c>
      <c r="C258" s="66">
        <f>2777.78+4861.12+2083.34</f>
        <v>9722.24</v>
      </c>
      <c r="E258" s="65">
        <v>244.61</v>
      </c>
      <c r="F258" s="68"/>
      <c r="G258" s="68"/>
      <c r="H258" s="68"/>
      <c r="I258" s="65">
        <f t="shared" si="11"/>
        <v>9966.85</v>
      </c>
    </row>
    <row r="259" spans="1:24" ht="20.25" customHeight="1" x14ac:dyDescent="0.3">
      <c r="A259" s="72" t="s">
        <v>349</v>
      </c>
      <c r="B259" s="77" t="s">
        <v>112</v>
      </c>
      <c r="C259" s="64">
        <f>1388.89+1388.89</f>
        <v>2777.78</v>
      </c>
      <c r="E259" s="64"/>
      <c r="F259" s="68"/>
      <c r="G259" s="68"/>
      <c r="H259" s="68"/>
      <c r="I259" s="65">
        <f t="shared" si="11"/>
        <v>2777.78</v>
      </c>
    </row>
    <row r="260" spans="1:24" s="57" customFormat="1" ht="20.25" customHeight="1" x14ac:dyDescent="0.3">
      <c r="A260" s="72" t="s">
        <v>350</v>
      </c>
      <c r="B260" s="77" t="s">
        <v>95</v>
      </c>
      <c r="C260" s="67">
        <v>902.78</v>
      </c>
      <c r="E260" s="67"/>
      <c r="F260" s="69"/>
      <c r="G260" s="69"/>
      <c r="H260" s="69"/>
      <c r="I260" s="65">
        <f t="shared" si="11"/>
        <v>902.78</v>
      </c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98"/>
    </row>
    <row r="261" spans="1:24" s="55" customFormat="1" ht="20.25" customHeight="1" x14ac:dyDescent="0.25">
      <c r="A261" s="73" t="s">
        <v>85</v>
      </c>
      <c r="B261" s="78"/>
      <c r="C261" s="52">
        <f>SUM(C177:C260)</f>
        <v>566955.27000000025</v>
      </c>
      <c r="E261" s="52">
        <f>SUM(E177:E260)</f>
        <v>116047.15000000004</v>
      </c>
      <c r="F261" s="53"/>
      <c r="G261" s="47"/>
      <c r="H261" s="53"/>
      <c r="I261" s="89">
        <f t="shared" si="11"/>
        <v>683002.42000000027</v>
      </c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90"/>
    </row>
    <row r="262" spans="1:24" s="58" customFormat="1" ht="33" customHeight="1" x14ac:dyDescent="0.25">
      <c r="A262" s="365" t="s">
        <v>62</v>
      </c>
      <c r="B262" s="366"/>
      <c r="C262" s="170">
        <f>SUM(C48,C153,C174,C261)</f>
        <v>1615814.4500000004</v>
      </c>
      <c r="D262" s="170">
        <f t="shared" ref="D262:I262" si="12">SUM(D48,D153,D174,D261)</f>
        <v>22559.774999999998</v>
      </c>
      <c r="E262" s="170">
        <f t="shared" si="12"/>
        <v>277819.59000000008</v>
      </c>
      <c r="F262" s="170">
        <f t="shared" si="12"/>
        <v>153219.57</v>
      </c>
      <c r="G262" s="170">
        <f>SUM(G48,G153,G174,G261)</f>
        <v>132500</v>
      </c>
      <c r="H262" s="170">
        <f t="shared" si="12"/>
        <v>381500.01</v>
      </c>
      <c r="I262" s="170">
        <f t="shared" si="12"/>
        <v>2577360.5950000002</v>
      </c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99"/>
    </row>
    <row r="263" spans="1:24" s="25" customFormat="1" x14ac:dyDescent="0.25">
      <c r="B263" s="79"/>
      <c r="C263" s="56"/>
      <c r="D263" s="56"/>
      <c r="E263" s="56"/>
      <c r="F263" s="56"/>
      <c r="G263" s="56"/>
      <c r="H263" s="56"/>
    </row>
    <row r="264" spans="1:24" s="25" customFormat="1" x14ac:dyDescent="0.25">
      <c r="B264" s="79"/>
      <c r="C264" s="56"/>
      <c r="D264" s="56"/>
      <c r="E264" s="56"/>
      <c r="F264" s="56"/>
      <c r="G264" s="56"/>
      <c r="H264" s="56"/>
    </row>
    <row r="265" spans="1:24" s="25" customFormat="1" x14ac:dyDescent="0.25">
      <c r="B265" s="79"/>
      <c r="C265" s="56"/>
      <c r="D265" s="56"/>
      <c r="E265" s="56"/>
      <c r="F265" s="56"/>
      <c r="G265" s="56"/>
      <c r="H265" s="56"/>
    </row>
    <row r="266" spans="1:24" s="25" customFormat="1" x14ac:dyDescent="0.25">
      <c r="B266" s="79"/>
      <c r="C266" s="56"/>
      <c r="D266" s="56"/>
      <c r="E266" s="56"/>
      <c r="F266" s="56"/>
      <c r="G266" s="56"/>
      <c r="H266" s="56"/>
    </row>
    <row r="267" spans="1:24" s="25" customFormat="1" x14ac:dyDescent="0.25">
      <c r="B267" s="79"/>
      <c r="C267" s="56"/>
      <c r="D267" s="56"/>
      <c r="E267" s="56"/>
      <c r="F267" s="56"/>
      <c r="G267" s="56"/>
      <c r="H267" s="56"/>
    </row>
    <row r="268" spans="1:24" s="25" customFormat="1" x14ac:dyDescent="0.25">
      <c r="B268" s="79"/>
      <c r="C268" s="56"/>
      <c r="D268" s="56"/>
      <c r="E268" s="56"/>
      <c r="F268" s="56"/>
      <c r="G268" s="56"/>
      <c r="H268" s="56"/>
    </row>
    <row r="269" spans="1:24" s="25" customFormat="1" x14ac:dyDescent="0.25">
      <c r="B269" s="79"/>
      <c r="C269" s="56"/>
      <c r="D269" s="56"/>
      <c r="E269" s="56"/>
      <c r="F269" s="56"/>
      <c r="G269" s="56"/>
      <c r="H269" s="56"/>
    </row>
    <row r="270" spans="1:24" s="25" customFormat="1" x14ac:dyDescent="0.25">
      <c r="B270" s="79"/>
      <c r="C270" s="56"/>
      <c r="D270" s="56"/>
      <c r="E270" s="56"/>
      <c r="F270" s="56"/>
      <c r="G270" s="56"/>
      <c r="H270" s="56"/>
    </row>
    <row r="271" spans="1:24" s="25" customFormat="1" x14ac:dyDescent="0.25">
      <c r="B271" s="79"/>
      <c r="C271" s="56"/>
      <c r="D271" s="56"/>
      <c r="E271" s="56"/>
      <c r="F271" s="56"/>
      <c r="G271" s="56"/>
      <c r="H271" s="56"/>
    </row>
    <row r="272" spans="1:24" s="25" customFormat="1" x14ac:dyDescent="0.25">
      <c r="B272" s="79"/>
      <c r="C272" s="56"/>
      <c r="D272" s="56"/>
      <c r="E272" s="56"/>
      <c r="F272" s="56"/>
      <c r="G272" s="56"/>
      <c r="H272" s="56"/>
    </row>
    <row r="273" spans="2:8" s="25" customFormat="1" x14ac:dyDescent="0.25">
      <c r="B273" s="79"/>
      <c r="C273" s="56"/>
      <c r="D273" s="56"/>
      <c r="E273" s="56"/>
      <c r="F273" s="56"/>
      <c r="G273" s="56"/>
      <c r="H273" s="56"/>
    </row>
    <row r="274" spans="2:8" s="25" customFormat="1" x14ac:dyDescent="0.25">
      <c r="B274" s="79"/>
      <c r="C274" s="56"/>
      <c r="D274" s="56"/>
      <c r="E274" s="56"/>
      <c r="F274" s="56"/>
      <c r="G274" s="56"/>
      <c r="H274" s="56"/>
    </row>
    <row r="275" spans="2:8" s="25" customFormat="1" x14ac:dyDescent="0.25">
      <c r="B275" s="79"/>
      <c r="C275" s="56"/>
      <c r="D275" s="56"/>
      <c r="E275" s="56"/>
      <c r="F275" s="56"/>
      <c r="G275" s="56"/>
      <c r="H275" s="56"/>
    </row>
    <row r="276" spans="2:8" s="25" customFormat="1" x14ac:dyDescent="0.25">
      <c r="B276" s="79"/>
      <c r="C276" s="56"/>
      <c r="D276" s="56"/>
      <c r="E276" s="56"/>
      <c r="F276" s="56"/>
      <c r="G276" s="56"/>
      <c r="H276" s="56"/>
    </row>
    <row r="277" spans="2:8" s="25" customFormat="1" x14ac:dyDescent="0.25">
      <c r="B277" s="79"/>
      <c r="C277" s="56"/>
      <c r="D277" s="56"/>
      <c r="E277" s="56"/>
      <c r="F277" s="56"/>
      <c r="G277" s="56"/>
      <c r="H277" s="56"/>
    </row>
    <row r="278" spans="2:8" s="25" customFormat="1" x14ac:dyDescent="0.25">
      <c r="B278" s="79"/>
      <c r="C278" s="56"/>
      <c r="D278" s="56"/>
      <c r="E278" s="56"/>
      <c r="F278" s="56"/>
      <c r="G278" s="56"/>
      <c r="H278" s="56"/>
    </row>
    <row r="279" spans="2:8" s="25" customFormat="1" x14ac:dyDescent="0.25">
      <c r="B279" s="79"/>
      <c r="C279" s="56"/>
      <c r="D279" s="56"/>
      <c r="E279" s="56"/>
      <c r="F279" s="56"/>
      <c r="G279" s="56"/>
      <c r="H279" s="56"/>
    </row>
    <row r="280" spans="2:8" s="25" customFormat="1" x14ac:dyDescent="0.25">
      <c r="B280" s="79"/>
      <c r="C280" s="56"/>
      <c r="D280" s="56"/>
      <c r="E280" s="56"/>
      <c r="F280" s="56"/>
      <c r="G280" s="56"/>
      <c r="H280" s="56"/>
    </row>
    <row r="281" spans="2:8" s="25" customFormat="1" x14ac:dyDescent="0.25">
      <c r="B281" s="79"/>
      <c r="C281" s="56"/>
      <c r="D281" s="56"/>
      <c r="E281" s="56"/>
      <c r="F281" s="56"/>
      <c r="G281" s="56"/>
      <c r="H281" s="56"/>
    </row>
    <row r="282" spans="2:8" s="25" customFormat="1" x14ac:dyDescent="0.25">
      <c r="B282" s="79"/>
      <c r="C282" s="56"/>
      <c r="D282" s="56"/>
      <c r="E282" s="56"/>
      <c r="F282" s="56"/>
      <c r="G282" s="56"/>
      <c r="H282" s="56"/>
    </row>
    <row r="283" spans="2:8" s="25" customFormat="1" x14ac:dyDescent="0.25">
      <c r="B283" s="79"/>
      <c r="C283" s="56"/>
      <c r="D283" s="56"/>
      <c r="E283" s="56"/>
      <c r="F283" s="56"/>
      <c r="G283" s="56"/>
      <c r="H283" s="56"/>
    </row>
    <row r="284" spans="2:8" s="25" customFormat="1" x14ac:dyDescent="0.25">
      <c r="B284" s="79"/>
      <c r="C284" s="56"/>
      <c r="D284" s="56"/>
      <c r="E284" s="56"/>
      <c r="F284" s="56"/>
      <c r="G284" s="56"/>
      <c r="H284" s="56"/>
    </row>
    <row r="285" spans="2:8" s="25" customFormat="1" x14ac:dyDescent="0.25">
      <c r="B285" s="79"/>
      <c r="C285" s="56"/>
      <c r="D285" s="56"/>
      <c r="E285" s="56"/>
      <c r="F285" s="56"/>
      <c r="G285" s="56"/>
      <c r="H285" s="56"/>
    </row>
    <row r="286" spans="2:8" s="25" customFormat="1" x14ac:dyDescent="0.25">
      <c r="B286" s="79"/>
      <c r="C286" s="56"/>
      <c r="D286" s="56"/>
      <c r="E286" s="56"/>
      <c r="F286" s="56"/>
      <c r="G286" s="56"/>
      <c r="H286" s="56"/>
    </row>
    <row r="287" spans="2:8" s="25" customFormat="1" x14ac:dyDescent="0.25">
      <c r="B287" s="79"/>
      <c r="C287" s="56"/>
      <c r="D287" s="56"/>
      <c r="E287" s="56"/>
      <c r="F287" s="56"/>
      <c r="G287" s="56"/>
      <c r="H287" s="56"/>
    </row>
    <row r="288" spans="2:8" s="25" customFormat="1" x14ac:dyDescent="0.25">
      <c r="B288" s="79"/>
      <c r="C288" s="56"/>
      <c r="D288" s="56"/>
      <c r="E288" s="56"/>
      <c r="F288" s="56"/>
      <c r="G288" s="56"/>
      <c r="H288" s="56"/>
    </row>
    <row r="289" spans="2:8" s="25" customFormat="1" x14ac:dyDescent="0.25">
      <c r="B289" s="79"/>
      <c r="C289" s="56"/>
      <c r="D289" s="56"/>
      <c r="E289" s="56"/>
      <c r="F289" s="56"/>
      <c r="G289" s="56"/>
      <c r="H289" s="56"/>
    </row>
    <row r="290" spans="2:8" s="25" customFormat="1" x14ac:dyDescent="0.25">
      <c r="B290" s="79"/>
      <c r="C290" s="56"/>
      <c r="D290" s="56"/>
      <c r="E290" s="56"/>
      <c r="F290" s="56"/>
      <c r="G290" s="56"/>
      <c r="H290" s="56"/>
    </row>
    <row r="291" spans="2:8" s="25" customFormat="1" x14ac:dyDescent="0.25">
      <c r="B291" s="79"/>
      <c r="C291" s="56"/>
      <c r="D291" s="56"/>
      <c r="E291" s="56"/>
      <c r="F291" s="56"/>
      <c r="G291" s="56"/>
      <c r="H291" s="56"/>
    </row>
    <row r="292" spans="2:8" s="25" customFormat="1" x14ac:dyDescent="0.25">
      <c r="B292" s="79"/>
      <c r="C292" s="56"/>
      <c r="D292" s="56"/>
      <c r="E292" s="56"/>
      <c r="F292" s="56"/>
      <c r="G292" s="56"/>
      <c r="H292" s="56"/>
    </row>
    <row r="293" spans="2:8" s="25" customFormat="1" x14ac:dyDescent="0.25">
      <c r="B293" s="79"/>
      <c r="C293" s="56"/>
      <c r="D293" s="56"/>
      <c r="E293" s="56"/>
      <c r="F293" s="56"/>
      <c r="G293" s="56"/>
      <c r="H293" s="56"/>
    </row>
    <row r="294" spans="2:8" s="25" customFormat="1" x14ac:dyDescent="0.25">
      <c r="B294" s="79"/>
      <c r="C294" s="56"/>
      <c r="D294" s="56"/>
      <c r="E294" s="56"/>
      <c r="F294" s="56"/>
      <c r="G294" s="56"/>
      <c r="H294" s="56"/>
    </row>
    <row r="295" spans="2:8" s="25" customFormat="1" x14ac:dyDescent="0.25">
      <c r="B295" s="79"/>
      <c r="C295" s="56"/>
      <c r="D295" s="56"/>
      <c r="E295" s="56"/>
      <c r="F295" s="56"/>
      <c r="G295" s="56"/>
      <c r="H295" s="56"/>
    </row>
    <row r="296" spans="2:8" s="25" customFormat="1" x14ac:dyDescent="0.25">
      <c r="B296" s="79"/>
      <c r="C296" s="56"/>
      <c r="D296" s="56"/>
      <c r="E296" s="56"/>
      <c r="F296" s="56"/>
      <c r="G296" s="56"/>
      <c r="H296" s="56"/>
    </row>
    <row r="297" spans="2:8" s="25" customFormat="1" x14ac:dyDescent="0.25">
      <c r="B297" s="79"/>
      <c r="C297" s="56"/>
      <c r="D297" s="56"/>
      <c r="E297" s="56"/>
      <c r="F297" s="56"/>
      <c r="G297" s="56"/>
      <c r="H297" s="56"/>
    </row>
    <row r="298" spans="2:8" s="25" customFormat="1" x14ac:dyDescent="0.25">
      <c r="B298" s="79"/>
      <c r="C298" s="56"/>
      <c r="D298" s="56"/>
      <c r="E298" s="56"/>
      <c r="F298" s="56"/>
      <c r="G298" s="56"/>
      <c r="H298" s="56"/>
    </row>
    <row r="299" spans="2:8" s="25" customFormat="1" x14ac:dyDescent="0.25">
      <c r="B299" s="79"/>
      <c r="C299" s="56"/>
      <c r="D299" s="56"/>
      <c r="E299" s="56"/>
      <c r="F299" s="56"/>
      <c r="G299" s="56"/>
      <c r="H299" s="56"/>
    </row>
    <row r="300" spans="2:8" s="25" customFormat="1" x14ac:dyDescent="0.25">
      <c r="B300" s="79"/>
      <c r="C300" s="56"/>
      <c r="D300" s="56"/>
      <c r="E300" s="56"/>
      <c r="F300" s="56"/>
      <c r="G300" s="56"/>
      <c r="H300" s="56"/>
    </row>
    <row r="301" spans="2:8" s="25" customFormat="1" x14ac:dyDescent="0.25">
      <c r="B301" s="79"/>
      <c r="C301" s="56"/>
      <c r="D301" s="56"/>
      <c r="E301" s="56"/>
      <c r="F301" s="56"/>
      <c r="G301" s="56"/>
      <c r="H301" s="56"/>
    </row>
    <row r="302" spans="2:8" s="25" customFormat="1" x14ac:dyDescent="0.25">
      <c r="B302" s="79"/>
      <c r="C302" s="56"/>
      <c r="D302" s="56"/>
      <c r="E302" s="56"/>
      <c r="F302" s="56"/>
      <c r="G302" s="56"/>
      <c r="H302" s="56"/>
    </row>
    <row r="303" spans="2:8" s="25" customFormat="1" x14ac:dyDescent="0.25">
      <c r="B303" s="79"/>
      <c r="C303" s="56"/>
      <c r="D303" s="56"/>
      <c r="E303" s="56"/>
      <c r="F303" s="56"/>
      <c r="G303" s="56"/>
      <c r="H303" s="56"/>
    </row>
    <row r="304" spans="2:8" s="25" customFormat="1" x14ac:dyDescent="0.25">
      <c r="B304" s="79"/>
      <c r="C304" s="56"/>
      <c r="D304" s="56"/>
      <c r="E304" s="56"/>
      <c r="F304" s="56"/>
      <c r="G304" s="56"/>
      <c r="H304" s="56"/>
    </row>
    <row r="305" spans="2:8" s="25" customFormat="1" x14ac:dyDescent="0.25">
      <c r="B305" s="79"/>
      <c r="C305" s="56"/>
      <c r="D305" s="56"/>
      <c r="E305" s="56"/>
      <c r="F305" s="56"/>
      <c r="G305" s="56"/>
      <c r="H305" s="56"/>
    </row>
    <row r="306" spans="2:8" s="25" customFormat="1" x14ac:dyDescent="0.25">
      <c r="B306" s="79"/>
      <c r="C306" s="56"/>
      <c r="D306" s="56"/>
      <c r="E306" s="56"/>
      <c r="F306" s="56"/>
      <c r="G306" s="56"/>
      <c r="H306" s="56"/>
    </row>
    <row r="307" spans="2:8" s="25" customFormat="1" x14ac:dyDescent="0.25">
      <c r="B307" s="79"/>
      <c r="C307" s="56"/>
      <c r="D307" s="56"/>
      <c r="E307" s="56"/>
      <c r="F307" s="56"/>
      <c r="G307" s="56"/>
      <c r="H307" s="56"/>
    </row>
    <row r="308" spans="2:8" s="25" customFormat="1" x14ac:dyDescent="0.25">
      <c r="B308" s="79"/>
      <c r="C308" s="56"/>
      <c r="D308" s="56"/>
      <c r="E308" s="56"/>
      <c r="F308" s="56"/>
      <c r="G308" s="56"/>
      <c r="H308" s="56"/>
    </row>
    <row r="309" spans="2:8" s="25" customFormat="1" x14ac:dyDescent="0.25">
      <c r="B309" s="79"/>
      <c r="C309" s="56"/>
      <c r="D309" s="56"/>
      <c r="E309" s="56"/>
      <c r="F309" s="56"/>
      <c r="G309" s="56"/>
      <c r="H309" s="56"/>
    </row>
    <row r="310" spans="2:8" s="25" customFormat="1" x14ac:dyDescent="0.25">
      <c r="B310" s="79"/>
      <c r="C310" s="56"/>
      <c r="D310" s="56"/>
      <c r="E310" s="56"/>
      <c r="F310" s="56"/>
      <c r="G310" s="56"/>
      <c r="H310" s="56"/>
    </row>
    <row r="311" spans="2:8" s="25" customFormat="1" x14ac:dyDescent="0.25">
      <c r="B311" s="79"/>
      <c r="C311" s="56"/>
      <c r="D311" s="56"/>
      <c r="E311" s="56"/>
      <c r="F311" s="56"/>
      <c r="G311" s="56"/>
      <c r="H311" s="56"/>
    </row>
    <row r="312" spans="2:8" s="25" customFormat="1" x14ac:dyDescent="0.25">
      <c r="B312" s="79"/>
      <c r="C312" s="56"/>
      <c r="D312" s="56"/>
      <c r="E312" s="56"/>
      <c r="F312" s="56"/>
      <c r="G312" s="56"/>
      <c r="H312" s="56"/>
    </row>
    <row r="313" spans="2:8" s="25" customFormat="1" x14ac:dyDescent="0.25">
      <c r="B313" s="79"/>
      <c r="C313" s="56"/>
      <c r="D313" s="56"/>
      <c r="E313" s="56"/>
      <c r="F313" s="56"/>
      <c r="G313" s="56"/>
      <c r="H313" s="56"/>
    </row>
    <row r="314" spans="2:8" s="25" customFormat="1" x14ac:dyDescent="0.25">
      <c r="B314" s="79"/>
      <c r="C314" s="56"/>
      <c r="D314" s="56"/>
      <c r="E314" s="56"/>
      <c r="F314" s="56"/>
      <c r="G314" s="56"/>
      <c r="H314" s="56"/>
    </row>
    <row r="315" spans="2:8" s="25" customFormat="1" x14ac:dyDescent="0.25">
      <c r="B315" s="79"/>
      <c r="C315" s="56"/>
      <c r="D315" s="56"/>
      <c r="E315" s="56"/>
      <c r="F315" s="56"/>
      <c r="G315" s="56"/>
      <c r="H315" s="56"/>
    </row>
    <row r="316" spans="2:8" s="25" customFormat="1" x14ac:dyDescent="0.25">
      <c r="B316" s="79"/>
      <c r="C316" s="56"/>
      <c r="D316" s="56"/>
      <c r="E316" s="56"/>
      <c r="F316" s="56"/>
      <c r="G316" s="56"/>
      <c r="H316" s="56"/>
    </row>
    <row r="317" spans="2:8" s="25" customFormat="1" x14ac:dyDescent="0.25">
      <c r="B317" s="79"/>
      <c r="C317" s="56"/>
      <c r="D317" s="56"/>
      <c r="E317" s="56"/>
      <c r="F317" s="56"/>
      <c r="G317" s="56"/>
      <c r="H317" s="56"/>
    </row>
    <row r="318" spans="2:8" s="25" customFormat="1" x14ac:dyDescent="0.25">
      <c r="B318" s="79"/>
      <c r="C318" s="56"/>
      <c r="D318" s="56"/>
      <c r="E318" s="56"/>
      <c r="F318" s="56"/>
      <c r="G318" s="56"/>
      <c r="H318" s="56"/>
    </row>
    <row r="319" spans="2:8" s="25" customFormat="1" x14ac:dyDescent="0.25">
      <c r="B319" s="79"/>
      <c r="C319" s="56"/>
      <c r="D319" s="56"/>
      <c r="E319" s="56"/>
      <c r="F319" s="56"/>
      <c r="G319" s="56"/>
      <c r="H319" s="56"/>
    </row>
    <row r="320" spans="2:8" s="25" customFormat="1" x14ac:dyDescent="0.25">
      <c r="B320" s="79"/>
      <c r="C320" s="56"/>
      <c r="D320" s="56"/>
      <c r="E320" s="56"/>
      <c r="F320" s="56"/>
      <c r="G320" s="56"/>
      <c r="H320" s="56"/>
    </row>
    <row r="321" spans="2:8" s="25" customFormat="1" x14ac:dyDescent="0.25">
      <c r="B321" s="79"/>
      <c r="C321" s="56"/>
      <c r="D321" s="56"/>
      <c r="E321" s="56"/>
      <c r="F321" s="56"/>
      <c r="G321" s="56"/>
      <c r="H321" s="56"/>
    </row>
    <row r="322" spans="2:8" s="25" customFormat="1" x14ac:dyDescent="0.25">
      <c r="B322" s="79"/>
      <c r="C322" s="56"/>
      <c r="D322" s="56"/>
      <c r="E322" s="56"/>
      <c r="F322" s="56"/>
      <c r="G322" s="56"/>
      <c r="H322" s="56"/>
    </row>
    <row r="323" spans="2:8" s="25" customFormat="1" x14ac:dyDescent="0.25">
      <c r="B323" s="79"/>
      <c r="C323" s="56"/>
      <c r="D323" s="56"/>
      <c r="E323" s="56"/>
      <c r="F323" s="56"/>
      <c r="G323" s="56"/>
      <c r="H323" s="56"/>
    </row>
    <row r="324" spans="2:8" s="25" customFormat="1" x14ac:dyDescent="0.25">
      <c r="B324" s="79"/>
      <c r="C324" s="56"/>
      <c r="D324" s="56"/>
      <c r="E324" s="56"/>
      <c r="F324" s="56"/>
      <c r="G324" s="56"/>
      <c r="H324" s="56"/>
    </row>
    <row r="325" spans="2:8" s="25" customFormat="1" x14ac:dyDescent="0.25">
      <c r="B325" s="79"/>
      <c r="C325" s="56"/>
      <c r="D325" s="56"/>
      <c r="E325" s="56"/>
      <c r="F325" s="56"/>
      <c r="G325" s="56"/>
      <c r="H325" s="56"/>
    </row>
    <row r="326" spans="2:8" s="25" customFormat="1" x14ac:dyDescent="0.25">
      <c r="B326" s="79"/>
      <c r="C326" s="56"/>
      <c r="D326" s="56"/>
      <c r="E326" s="56"/>
      <c r="F326" s="56"/>
      <c r="G326" s="56"/>
      <c r="H326" s="56"/>
    </row>
    <row r="327" spans="2:8" s="25" customFormat="1" x14ac:dyDescent="0.25">
      <c r="B327" s="79"/>
      <c r="C327" s="56"/>
      <c r="D327" s="56"/>
      <c r="E327" s="56"/>
      <c r="F327" s="56"/>
      <c r="G327" s="56"/>
      <c r="H327" s="56"/>
    </row>
    <row r="328" spans="2:8" s="25" customFormat="1" x14ac:dyDescent="0.25">
      <c r="B328" s="79"/>
      <c r="C328" s="56"/>
      <c r="D328" s="56"/>
      <c r="E328" s="56"/>
      <c r="F328" s="56"/>
      <c r="G328" s="56"/>
      <c r="H328" s="56"/>
    </row>
    <row r="329" spans="2:8" s="25" customFormat="1" x14ac:dyDescent="0.25">
      <c r="B329" s="79"/>
      <c r="C329" s="56"/>
      <c r="D329" s="56"/>
      <c r="E329" s="56"/>
      <c r="F329" s="56"/>
      <c r="G329" s="56"/>
      <c r="H329" s="56"/>
    </row>
    <row r="330" spans="2:8" s="25" customFormat="1" x14ac:dyDescent="0.25">
      <c r="B330" s="79"/>
      <c r="C330" s="56"/>
      <c r="D330" s="56"/>
      <c r="E330" s="56"/>
      <c r="F330" s="56"/>
      <c r="G330" s="56"/>
      <c r="H330" s="56"/>
    </row>
    <row r="331" spans="2:8" s="25" customFormat="1" x14ac:dyDescent="0.25">
      <c r="B331" s="79"/>
      <c r="C331" s="56"/>
      <c r="D331" s="56"/>
      <c r="E331" s="56"/>
      <c r="F331" s="56"/>
      <c r="G331" s="56"/>
      <c r="H331" s="56"/>
    </row>
    <row r="332" spans="2:8" s="25" customFormat="1" x14ac:dyDescent="0.25">
      <c r="B332" s="79"/>
      <c r="C332" s="56"/>
      <c r="D332" s="56"/>
      <c r="E332" s="56"/>
      <c r="F332" s="56"/>
      <c r="G332" s="56"/>
      <c r="H332" s="56"/>
    </row>
    <row r="333" spans="2:8" s="25" customFormat="1" x14ac:dyDescent="0.25">
      <c r="B333" s="79"/>
      <c r="C333" s="56"/>
      <c r="D333" s="56"/>
      <c r="E333" s="56"/>
      <c r="F333" s="56"/>
      <c r="G333" s="56"/>
      <c r="H333" s="56"/>
    </row>
    <row r="334" spans="2:8" s="25" customFormat="1" x14ac:dyDescent="0.25">
      <c r="B334" s="79"/>
      <c r="C334" s="56"/>
      <c r="D334" s="56"/>
      <c r="E334" s="56"/>
      <c r="F334" s="56"/>
      <c r="G334" s="56"/>
      <c r="H334" s="56"/>
    </row>
    <row r="335" spans="2:8" s="25" customFormat="1" x14ac:dyDescent="0.25">
      <c r="B335" s="79"/>
      <c r="C335" s="56"/>
      <c r="D335" s="56"/>
      <c r="E335" s="56"/>
      <c r="F335" s="56"/>
      <c r="G335" s="56"/>
      <c r="H335" s="56"/>
    </row>
    <row r="336" spans="2:8" s="25" customFormat="1" x14ac:dyDescent="0.25">
      <c r="B336" s="79"/>
      <c r="C336" s="56"/>
      <c r="D336" s="56"/>
      <c r="E336" s="56"/>
      <c r="F336" s="56"/>
      <c r="G336" s="56"/>
      <c r="H336" s="56"/>
    </row>
    <row r="337" spans="2:8" s="25" customFormat="1" x14ac:dyDescent="0.25">
      <c r="B337" s="79"/>
      <c r="C337" s="56"/>
      <c r="D337" s="56"/>
      <c r="E337" s="56"/>
      <c r="F337" s="56"/>
      <c r="G337" s="56"/>
      <c r="H337" s="56"/>
    </row>
    <row r="338" spans="2:8" s="25" customFormat="1" x14ac:dyDescent="0.25">
      <c r="B338" s="79"/>
      <c r="C338" s="56"/>
      <c r="D338" s="56"/>
      <c r="E338" s="56"/>
      <c r="F338" s="56"/>
      <c r="G338" s="56"/>
      <c r="H338" s="56"/>
    </row>
    <row r="339" spans="2:8" s="25" customFormat="1" x14ac:dyDescent="0.25">
      <c r="B339" s="79"/>
      <c r="C339" s="56"/>
      <c r="D339" s="56"/>
      <c r="E339" s="56"/>
      <c r="F339" s="56"/>
      <c r="G339" s="56"/>
      <c r="H339" s="56"/>
    </row>
    <row r="340" spans="2:8" s="25" customFormat="1" x14ac:dyDescent="0.25">
      <c r="B340" s="79"/>
      <c r="C340" s="56"/>
      <c r="D340" s="56"/>
      <c r="E340" s="56"/>
      <c r="F340" s="56"/>
      <c r="G340" s="56"/>
      <c r="H340" s="56"/>
    </row>
    <row r="341" spans="2:8" s="25" customFormat="1" x14ac:dyDescent="0.25">
      <c r="B341" s="79"/>
      <c r="C341" s="56"/>
      <c r="D341" s="56"/>
      <c r="E341" s="56"/>
      <c r="F341" s="56"/>
      <c r="G341" s="56"/>
      <c r="H341" s="56"/>
    </row>
    <row r="342" spans="2:8" s="25" customFormat="1" x14ac:dyDescent="0.25">
      <c r="B342" s="79"/>
      <c r="C342" s="56"/>
      <c r="D342" s="56"/>
      <c r="E342" s="56"/>
      <c r="F342" s="56"/>
      <c r="G342" s="56"/>
      <c r="H342" s="56"/>
    </row>
    <row r="343" spans="2:8" s="25" customFormat="1" x14ac:dyDescent="0.25">
      <c r="B343" s="79"/>
      <c r="C343" s="56"/>
      <c r="D343" s="56"/>
      <c r="E343" s="56"/>
      <c r="F343" s="56"/>
      <c r="G343" s="56"/>
      <c r="H343" s="56"/>
    </row>
    <row r="344" spans="2:8" s="25" customFormat="1" x14ac:dyDescent="0.25">
      <c r="B344" s="79"/>
      <c r="C344" s="56"/>
      <c r="D344" s="56"/>
      <c r="E344" s="56"/>
      <c r="F344" s="56"/>
      <c r="G344" s="56"/>
      <c r="H344" s="56"/>
    </row>
    <row r="345" spans="2:8" s="25" customFormat="1" x14ac:dyDescent="0.25">
      <c r="B345" s="79"/>
      <c r="C345" s="56"/>
      <c r="D345" s="56"/>
      <c r="E345" s="56"/>
      <c r="F345" s="56"/>
      <c r="G345" s="56"/>
      <c r="H345" s="56"/>
    </row>
    <row r="346" spans="2:8" s="25" customFormat="1" x14ac:dyDescent="0.25">
      <c r="B346" s="79"/>
      <c r="C346" s="56"/>
      <c r="D346" s="56"/>
      <c r="E346" s="56"/>
      <c r="F346" s="56"/>
      <c r="G346" s="56"/>
      <c r="H346" s="56"/>
    </row>
    <row r="347" spans="2:8" s="25" customFormat="1" x14ac:dyDescent="0.25">
      <c r="B347" s="79"/>
      <c r="C347" s="56"/>
      <c r="D347" s="56"/>
      <c r="E347" s="56"/>
      <c r="F347" s="56"/>
      <c r="G347" s="56"/>
      <c r="H347" s="56"/>
    </row>
    <row r="348" spans="2:8" s="25" customFormat="1" x14ac:dyDescent="0.25">
      <c r="B348" s="79"/>
      <c r="C348" s="56"/>
      <c r="D348" s="56"/>
      <c r="E348" s="56"/>
      <c r="F348" s="56"/>
      <c r="G348" s="56"/>
      <c r="H348" s="56"/>
    </row>
    <row r="349" spans="2:8" s="25" customFormat="1" x14ac:dyDescent="0.25">
      <c r="B349" s="79"/>
      <c r="C349" s="56"/>
      <c r="D349" s="56"/>
      <c r="E349" s="56"/>
      <c r="F349" s="56"/>
      <c r="G349" s="56"/>
      <c r="H349" s="56"/>
    </row>
    <row r="350" spans="2:8" s="25" customFormat="1" x14ac:dyDescent="0.25">
      <c r="B350" s="79"/>
      <c r="C350" s="56"/>
      <c r="D350" s="56"/>
      <c r="E350" s="56"/>
      <c r="F350" s="56"/>
      <c r="G350" s="56"/>
      <c r="H350" s="56"/>
    </row>
    <row r="351" spans="2:8" s="25" customFormat="1" x14ac:dyDescent="0.25">
      <c r="B351" s="79"/>
      <c r="C351" s="56"/>
      <c r="D351" s="56"/>
      <c r="E351" s="56"/>
      <c r="F351" s="56"/>
      <c r="G351" s="56"/>
      <c r="H351" s="56"/>
    </row>
    <row r="352" spans="2:8" s="25" customFormat="1" x14ac:dyDescent="0.25">
      <c r="B352" s="79"/>
      <c r="C352" s="56"/>
      <c r="D352" s="56"/>
      <c r="E352" s="56"/>
      <c r="F352" s="56"/>
      <c r="G352" s="56"/>
      <c r="H352" s="56"/>
    </row>
    <row r="353" spans="2:8" s="25" customFormat="1" x14ac:dyDescent="0.25">
      <c r="B353" s="79"/>
      <c r="C353" s="56"/>
      <c r="D353" s="56"/>
      <c r="E353" s="56"/>
      <c r="F353" s="56"/>
      <c r="G353" s="56"/>
      <c r="H353" s="56"/>
    </row>
    <row r="354" spans="2:8" s="25" customFormat="1" x14ac:dyDescent="0.25">
      <c r="B354" s="79"/>
      <c r="C354" s="56"/>
      <c r="D354" s="56"/>
      <c r="E354" s="56"/>
      <c r="F354" s="56"/>
      <c r="G354" s="56"/>
      <c r="H354" s="56"/>
    </row>
    <row r="355" spans="2:8" s="25" customFormat="1" x14ac:dyDescent="0.25">
      <c r="B355" s="79"/>
      <c r="C355" s="56"/>
      <c r="D355" s="56"/>
      <c r="E355" s="56"/>
      <c r="F355" s="56"/>
      <c r="G355" s="56"/>
      <c r="H355" s="56"/>
    </row>
    <row r="356" spans="2:8" s="25" customFormat="1" x14ac:dyDescent="0.25">
      <c r="B356" s="79"/>
      <c r="C356" s="56"/>
      <c r="D356" s="56"/>
      <c r="E356" s="56"/>
      <c r="F356" s="56"/>
      <c r="G356" s="56"/>
      <c r="H356" s="56"/>
    </row>
    <row r="357" spans="2:8" s="25" customFormat="1" x14ac:dyDescent="0.25">
      <c r="B357" s="79"/>
      <c r="C357" s="56"/>
      <c r="D357" s="56"/>
      <c r="E357" s="56"/>
      <c r="F357" s="56"/>
      <c r="G357" s="56"/>
      <c r="H357" s="56"/>
    </row>
    <row r="358" spans="2:8" s="25" customFormat="1" x14ac:dyDescent="0.25">
      <c r="B358" s="79"/>
      <c r="C358" s="56"/>
      <c r="D358" s="56"/>
      <c r="E358" s="56"/>
      <c r="F358" s="56"/>
      <c r="G358" s="56"/>
      <c r="H358" s="56"/>
    </row>
    <row r="359" spans="2:8" s="25" customFormat="1" x14ac:dyDescent="0.25">
      <c r="B359" s="79"/>
      <c r="C359" s="56"/>
      <c r="D359" s="56"/>
      <c r="E359" s="56"/>
      <c r="F359" s="56"/>
      <c r="G359" s="56"/>
      <c r="H359" s="56"/>
    </row>
    <row r="360" spans="2:8" s="25" customFormat="1" x14ac:dyDescent="0.25">
      <c r="B360" s="79"/>
      <c r="C360" s="56"/>
      <c r="D360" s="56"/>
      <c r="E360" s="56"/>
      <c r="F360" s="56"/>
      <c r="G360" s="56"/>
      <c r="H360" s="56"/>
    </row>
    <row r="361" spans="2:8" s="25" customFormat="1" x14ac:dyDescent="0.25">
      <c r="B361" s="79"/>
      <c r="C361" s="56"/>
      <c r="D361" s="56"/>
      <c r="E361" s="56"/>
      <c r="F361" s="56"/>
      <c r="G361" s="56"/>
      <c r="H361" s="56"/>
    </row>
    <row r="362" spans="2:8" s="25" customFormat="1" x14ac:dyDescent="0.25">
      <c r="B362" s="79"/>
      <c r="C362" s="56"/>
      <c r="D362" s="56"/>
      <c r="E362" s="56"/>
      <c r="F362" s="56"/>
      <c r="G362" s="56"/>
      <c r="H362" s="56"/>
    </row>
    <row r="363" spans="2:8" s="25" customFormat="1" x14ac:dyDescent="0.25">
      <c r="B363" s="79"/>
      <c r="C363" s="56"/>
      <c r="D363" s="56"/>
      <c r="E363" s="56"/>
      <c r="F363" s="56"/>
      <c r="G363" s="56"/>
      <c r="H363" s="56"/>
    </row>
    <row r="364" spans="2:8" s="25" customFormat="1" x14ac:dyDescent="0.25">
      <c r="B364" s="79"/>
      <c r="C364" s="56"/>
      <c r="D364" s="56"/>
      <c r="E364" s="56"/>
      <c r="F364" s="56"/>
      <c r="G364" s="56"/>
      <c r="H364" s="56"/>
    </row>
    <row r="365" spans="2:8" s="25" customFormat="1" x14ac:dyDescent="0.25">
      <c r="B365" s="79"/>
      <c r="C365" s="56"/>
      <c r="D365" s="56"/>
      <c r="E365" s="56"/>
      <c r="F365" s="56"/>
      <c r="G365" s="56"/>
      <c r="H365" s="56"/>
    </row>
    <row r="366" spans="2:8" s="25" customFormat="1" x14ac:dyDescent="0.25">
      <c r="B366" s="79"/>
      <c r="C366" s="56"/>
      <c r="D366" s="56"/>
      <c r="E366" s="56"/>
      <c r="F366" s="56"/>
      <c r="G366" s="56"/>
      <c r="H366" s="56"/>
    </row>
    <row r="367" spans="2:8" s="25" customFormat="1" x14ac:dyDescent="0.25">
      <c r="B367" s="79"/>
      <c r="C367" s="56"/>
      <c r="D367" s="56"/>
      <c r="E367" s="56"/>
      <c r="F367" s="56"/>
      <c r="G367" s="56"/>
      <c r="H367" s="56"/>
    </row>
    <row r="368" spans="2:8" s="25" customFormat="1" x14ac:dyDescent="0.25">
      <c r="B368" s="79"/>
      <c r="C368" s="56"/>
      <c r="D368" s="56"/>
      <c r="E368" s="56"/>
      <c r="F368" s="56"/>
      <c r="G368" s="56"/>
      <c r="H368" s="56"/>
    </row>
    <row r="369" spans="2:8" s="25" customFormat="1" x14ac:dyDescent="0.25">
      <c r="B369" s="79"/>
      <c r="C369" s="56"/>
      <c r="D369" s="56"/>
      <c r="E369" s="56"/>
      <c r="F369" s="56"/>
      <c r="G369" s="56"/>
      <c r="H369" s="56"/>
    </row>
    <row r="370" spans="2:8" s="25" customFormat="1" x14ac:dyDescent="0.25">
      <c r="B370" s="79"/>
      <c r="C370" s="56"/>
      <c r="D370" s="56"/>
      <c r="E370" s="56"/>
      <c r="F370" s="56"/>
      <c r="G370" s="56"/>
      <c r="H370" s="56"/>
    </row>
    <row r="371" spans="2:8" s="25" customFormat="1" x14ac:dyDescent="0.25">
      <c r="B371" s="79"/>
      <c r="C371" s="56"/>
      <c r="D371" s="56"/>
      <c r="E371" s="56"/>
      <c r="F371" s="56"/>
      <c r="G371" s="56"/>
      <c r="H371" s="56"/>
    </row>
    <row r="372" spans="2:8" s="25" customFormat="1" x14ac:dyDescent="0.25">
      <c r="B372" s="79"/>
      <c r="C372" s="56"/>
      <c r="D372" s="56"/>
      <c r="E372" s="56"/>
      <c r="F372" s="56"/>
      <c r="G372" s="56"/>
      <c r="H372" s="56"/>
    </row>
    <row r="373" spans="2:8" s="25" customFormat="1" x14ac:dyDescent="0.25">
      <c r="B373" s="79"/>
      <c r="C373" s="56"/>
      <c r="D373" s="56"/>
      <c r="E373" s="56"/>
      <c r="F373" s="56"/>
      <c r="G373" s="56"/>
      <c r="H373" s="56"/>
    </row>
    <row r="374" spans="2:8" s="25" customFormat="1" x14ac:dyDescent="0.25">
      <c r="B374" s="79"/>
      <c r="C374" s="56"/>
      <c r="D374" s="56"/>
      <c r="E374" s="56"/>
      <c r="F374" s="56"/>
      <c r="G374" s="56"/>
      <c r="H374" s="56"/>
    </row>
    <row r="375" spans="2:8" s="25" customFormat="1" x14ac:dyDescent="0.25">
      <c r="B375" s="79"/>
      <c r="C375" s="56"/>
      <c r="D375" s="56"/>
      <c r="E375" s="56"/>
      <c r="F375" s="56"/>
      <c r="G375" s="56"/>
      <c r="H375" s="56"/>
    </row>
    <row r="376" spans="2:8" s="25" customFormat="1" x14ac:dyDescent="0.25">
      <c r="B376" s="79"/>
      <c r="C376" s="56"/>
      <c r="D376" s="56"/>
      <c r="E376" s="56"/>
      <c r="F376" s="56"/>
      <c r="G376" s="56"/>
      <c r="H376" s="56"/>
    </row>
    <row r="377" spans="2:8" s="25" customFormat="1" x14ac:dyDescent="0.25">
      <c r="B377" s="79"/>
      <c r="C377" s="56"/>
      <c r="D377" s="56"/>
      <c r="E377" s="56"/>
      <c r="F377" s="56"/>
      <c r="G377" s="56"/>
      <c r="H377" s="56"/>
    </row>
    <row r="378" spans="2:8" s="25" customFormat="1" x14ac:dyDescent="0.25">
      <c r="B378" s="79"/>
      <c r="C378" s="56"/>
      <c r="D378" s="56"/>
      <c r="E378" s="56"/>
      <c r="F378" s="56"/>
      <c r="G378" s="56"/>
      <c r="H378" s="56"/>
    </row>
    <row r="379" spans="2:8" s="25" customFormat="1" x14ac:dyDescent="0.25">
      <c r="B379" s="79"/>
      <c r="C379" s="56"/>
      <c r="D379" s="56"/>
      <c r="E379" s="56"/>
      <c r="F379" s="56"/>
      <c r="G379" s="56"/>
      <c r="H379" s="56"/>
    </row>
    <row r="380" spans="2:8" s="25" customFormat="1" x14ac:dyDescent="0.25">
      <c r="B380" s="79"/>
      <c r="C380" s="56"/>
      <c r="D380" s="56"/>
      <c r="E380" s="56"/>
      <c r="F380" s="56"/>
      <c r="G380" s="56"/>
      <c r="H380" s="56"/>
    </row>
    <row r="381" spans="2:8" s="25" customFormat="1" x14ac:dyDescent="0.25">
      <c r="B381" s="79"/>
      <c r="C381" s="56"/>
      <c r="D381" s="56"/>
      <c r="E381" s="56"/>
      <c r="F381" s="56"/>
      <c r="G381" s="56"/>
      <c r="H381" s="56"/>
    </row>
    <row r="382" spans="2:8" s="25" customFormat="1" x14ac:dyDescent="0.25">
      <c r="B382" s="79"/>
      <c r="C382" s="56"/>
      <c r="D382" s="56"/>
      <c r="E382" s="56"/>
      <c r="F382" s="56"/>
      <c r="G382" s="56"/>
      <c r="H382" s="56"/>
    </row>
    <row r="383" spans="2:8" s="25" customFormat="1" x14ac:dyDescent="0.25">
      <c r="B383" s="79"/>
      <c r="C383" s="56"/>
      <c r="D383" s="56"/>
      <c r="E383" s="56"/>
      <c r="F383" s="56"/>
      <c r="G383" s="56"/>
      <c r="H383" s="56"/>
    </row>
    <row r="384" spans="2:8" s="25" customFormat="1" x14ac:dyDescent="0.25">
      <c r="B384" s="79"/>
      <c r="C384" s="56"/>
      <c r="D384" s="56"/>
      <c r="E384" s="56"/>
      <c r="F384" s="56"/>
      <c r="G384" s="56"/>
      <c r="H384" s="56"/>
    </row>
    <row r="385" spans="2:8" s="25" customFormat="1" x14ac:dyDescent="0.25">
      <c r="B385" s="79"/>
      <c r="C385" s="56"/>
      <c r="D385" s="56"/>
      <c r="E385" s="56"/>
      <c r="F385" s="56"/>
      <c r="G385" s="56"/>
      <c r="H385" s="56"/>
    </row>
    <row r="386" spans="2:8" s="25" customFormat="1" x14ac:dyDescent="0.25">
      <c r="B386" s="79"/>
      <c r="C386" s="56"/>
      <c r="D386" s="56"/>
      <c r="E386" s="56"/>
      <c r="F386" s="56"/>
      <c r="G386" s="56"/>
      <c r="H386" s="56"/>
    </row>
    <row r="387" spans="2:8" s="25" customFormat="1" x14ac:dyDescent="0.25">
      <c r="B387" s="79"/>
      <c r="C387" s="56"/>
      <c r="D387" s="56"/>
      <c r="E387" s="56"/>
      <c r="F387" s="56"/>
      <c r="G387" s="56"/>
      <c r="H387" s="56"/>
    </row>
    <row r="388" spans="2:8" s="25" customFormat="1" x14ac:dyDescent="0.25">
      <c r="B388" s="79"/>
      <c r="C388" s="56"/>
      <c r="D388" s="56"/>
      <c r="E388" s="56"/>
      <c r="F388" s="56"/>
      <c r="G388" s="56"/>
      <c r="H388" s="56"/>
    </row>
    <row r="389" spans="2:8" s="25" customFormat="1" x14ac:dyDescent="0.25">
      <c r="B389" s="79"/>
      <c r="C389" s="56"/>
      <c r="D389" s="56"/>
      <c r="E389" s="56"/>
      <c r="F389" s="56"/>
      <c r="G389" s="56"/>
      <c r="H389" s="56"/>
    </row>
    <row r="390" spans="2:8" s="25" customFormat="1" x14ac:dyDescent="0.25">
      <c r="B390" s="79"/>
      <c r="C390" s="56"/>
      <c r="D390" s="56"/>
      <c r="E390" s="56"/>
      <c r="F390" s="56"/>
      <c r="G390" s="56"/>
      <c r="H390" s="56"/>
    </row>
    <row r="391" spans="2:8" s="25" customFormat="1" x14ac:dyDescent="0.25">
      <c r="B391" s="79"/>
      <c r="C391" s="56"/>
      <c r="D391" s="56"/>
      <c r="E391" s="56"/>
      <c r="F391" s="56"/>
      <c r="G391" s="56"/>
      <c r="H391" s="56"/>
    </row>
    <row r="392" spans="2:8" s="25" customFormat="1" x14ac:dyDescent="0.25">
      <c r="B392" s="79"/>
      <c r="C392" s="56"/>
      <c r="D392" s="56"/>
      <c r="E392" s="56"/>
      <c r="F392" s="56"/>
      <c r="G392" s="56"/>
      <c r="H392" s="56"/>
    </row>
    <row r="393" spans="2:8" s="25" customFormat="1" x14ac:dyDescent="0.25">
      <c r="B393" s="79"/>
      <c r="C393" s="56"/>
      <c r="D393" s="56"/>
      <c r="E393" s="56"/>
      <c r="F393" s="56"/>
      <c r="G393" s="56"/>
      <c r="H393" s="56"/>
    </row>
    <row r="394" spans="2:8" s="25" customFormat="1" x14ac:dyDescent="0.25">
      <c r="B394" s="79"/>
      <c r="C394" s="56"/>
      <c r="D394" s="56"/>
      <c r="E394" s="56"/>
      <c r="F394" s="56"/>
      <c r="G394" s="56"/>
      <c r="H394" s="56"/>
    </row>
    <row r="395" spans="2:8" s="25" customFormat="1" x14ac:dyDescent="0.25">
      <c r="B395" s="79"/>
      <c r="C395" s="56"/>
      <c r="D395" s="56"/>
      <c r="E395" s="56"/>
      <c r="F395" s="56"/>
      <c r="G395" s="56"/>
      <c r="H395" s="56"/>
    </row>
    <row r="396" spans="2:8" s="25" customFormat="1" x14ac:dyDescent="0.25">
      <c r="B396" s="79"/>
      <c r="C396" s="56"/>
      <c r="D396" s="56"/>
      <c r="E396" s="56"/>
      <c r="F396" s="56"/>
      <c r="G396" s="56"/>
      <c r="H396" s="56"/>
    </row>
    <row r="397" spans="2:8" s="25" customFormat="1" x14ac:dyDescent="0.25">
      <c r="B397" s="79"/>
      <c r="C397" s="56"/>
      <c r="D397" s="56"/>
      <c r="E397" s="56"/>
      <c r="F397" s="56"/>
      <c r="G397" s="56"/>
      <c r="H397" s="56"/>
    </row>
    <row r="398" spans="2:8" s="25" customFormat="1" x14ac:dyDescent="0.25">
      <c r="B398" s="79"/>
      <c r="C398" s="56"/>
      <c r="D398" s="56"/>
      <c r="E398" s="56"/>
      <c r="F398" s="56"/>
      <c r="G398" s="56"/>
      <c r="H398" s="56"/>
    </row>
    <row r="399" spans="2:8" s="25" customFormat="1" x14ac:dyDescent="0.25">
      <c r="B399" s="79"/>
      <c r="C399" s="56"/>
      <c r="D399" s="56"/>
      <c r="E399" s="56"/>
      <c r="F399" s="56"/>
      <c r="G399" s="56"/>
      <c r="H399" s="56"/>
    </row>
    <row r="400" spans="2:8" s="25" customFormat="1" x14ac:dyDescent="0.25">
      <c r="B400" s="79"/>
      <c r="C400" s="56"/>
      <c r="D400" s="56"/>
      <c r="E400" s="56"/>
      <c r="F400" s="56"/>
      <c r="G400" s="56"/>
      <c r="H400" s="56"/>
    </row>
    <row r="401" spans="2:8" s="25" customFormat="1" x14ac:dyDescent="0.25">
      <c r="B401" s="79"/>
      <c r="C401" s="56"/>
      <c r="D401" s="56"/>
      <c r="E401" s="56"/>
      <c r="F401" s="56"/>
      <c r="G401" s="56"/>
      <c r="H401" s="56"/>
    </row>
    <row r="402" spans="2:8" s="25" customFormat="1" x14ac:dyDescent="0.25">
      <c r="B402" s="79"/>
      <c r="C402" s="56"/>
      <c r="D402" s="56"/>
      <c r="E402" s="56"/>
      <c r="F402" s="56"/>
      <c r="G402" s="56"/>
      <c r="H402" s="56"/>
    </row>
    <row r="403" spans="2:8" s="25" customFormat="1" x14ac:dyDescent="0.25">
      <c r="B403" s="79"/>
      <c r="C403" s="56"/>
      <c r="D403" s="56"/>
      <c r="E403" s="56"/>
      <c r="F403" s="56"/>
      <c r="G403" s="56"/>
      <c r="H403" s="56"/>
    </row>
    <row r="404" spans="2:8" s="25" customFormat="1" x14ac:dyDescent="0.25">
      <c r="B404" s="79"/>
      <c r="C404" s="56"/>
      <c r="D404" s="56"/>
      <c r="E404" s="56"/>
      <c r="F404" s="56"/>
      <c r="G404" s="56"/>
      <c r="H404" s="56"/>
    </row>
    <row r="405" spans="2:8" s="25" customFormat="1" x14ac:dyDescent="0.25">
      <c r="B405" s="79"/>
      <c r="C405" s="56"/>
      <c r="D405" s="56"/>
      <c r="E405" s="56"/>
      <c r="F405" s="56"/>
      <c r="G405" s="56"/>
      <c r="H405" s="56"/>
    </row>
    <row r="406" spans="2:8" s="25" customFormat="1" x14ac:dyDescent="0.25">
      <c r="B406" s="79"/>
      <c r="C406" s="56"/>
      <c r="D406" s="56"/>
      <c r="E406" s="56"/>
      <c r="F406" s="56"/>
      <c r="G406" s="56"/>
      <c r="H406" s="56"/>
    </row>
    <row r="407" spans="2:8" s="25" customFormat="1" x14ac:dyDescent="0.25">
      <c r="B407" s="79"/>
      <c r="C407" s="56"/>
      <c r="D407" s="56"/>
      <c r="E407" s="56"/>
      <c r="F407" s="56"/>
      <c r="G407" s="56"/>
      <c r="H407" s="56"/>
    </row>
    <row r="408" spans="2:8" s="25" customFormat="1" x14ac:dyDescent="0.25">
      <c r="B408" s="79"/>
      <c r="C408" s="56"/>
      <c r="D408" s="56"/>
      <c r="E408" s="56"/>
      <c r="F408" s="56"/>
      <c r="G408" s="56"/>
      <c r="H408" s="56"/>
    </row>
    <row r="409" spans="2:8" s="25" customFormat="1" x14ac:dyDescent="0.25">
      <c r="B409" s="79"/>
      <c r="C409" s="56"/>
      <c r="D409" s="56"/>
      <c r="E409" s="56"/>
      <c r="F409" s="56"/>
      <c r="G409" s="56"/>
      <c r="H409" s="56"/>
    </row>
    <row r="410" spans="2:8" s="25" customFormat="1" x14ac:dyDescent="0.25">
      <c r="B410" s="79"/>
      <c r="C410" s="56"/>
      <c r="D410" s="56"/>
      <c r="E410" s="56"/>
      <c r="F410" s="56"/>
      <c r="G410" s="56"/>
      <c r="H410" s="56"/>
    </row>
    <row r="411" spans="2:8" s="25" customFormat="1" x14ac:dyDescent="0.25">
      <c r="B411" s="79"/>
      <c r="C411" s="56"/>
      <c r="D411" s="56"/>
      <c r="E411" s="56"/>
      <c r="F411" s="56"/>
      <c r="G411" s="56"/>
      <c r="H411" s="56"/>
    </row>
    <row r="412" spans="2:8" s="25" customFormat="1" x14ac:dyDescent="0.25">
      <c r="B412" s="79"/>
      <c r="C412" s="56"/>
      <c r="D412" s="56"/>
      <c r="E412" s="56"/>
      <c r="F412" s="56"/>
      <c r="G412" s="56"/>
      <c r="H412" s="56"/>
    </row>
    <row r="413" spans="2:8" s="25" customFormat="1" x14ac:dyDescent="0.25">
      <c r="B413" s="79"/>
      <c r="C413" s="56"/>
      <c r="D413" s="56"/>
      <c r="E413" s="56"/>
      <c r="F413" s="56"/>
      <c r="G413" s="56"/>
      <c r="H413" s="56"/>
    </row>
    <row r="414" spans="2:8" s="25" customFormat="1" x14ac:dyDescent="0.25">
      <c r="B414" s="79"/>
      <c r="C414" s="56"/>
      <c r="D414" s="56"/>
      <c r="E414" s="56"/>
      <c r="F414" s="56"/>
      <c r="G414" s="56"/>
      <c r="H414" s="56"/>
    </row>
    <row r="415" spans="2:8" s="25" customFormat="1" x14ac:dyDescent="0.25">
      <c r="B415" s="79"/>
      <c r="C415" s="56"/>
      <c r="D415" s="56"/>
      <c r="E415" s="56"/>
      <c r="F415" s="56"/>
      <c r="G415" s="56"/>
      <c r="H415" s="56"/>
    </row>
    <row r="416" spans="2:8" s="25" customFormat="1" x14ac:dyDescent="0.25">
      <c r="B416" s="79"/>
      <c r="C416" s="56"/>
      <c r="D416" s="56"/>
      <c r="E416" s="56"/>
      <c r="F416" s="56"/>
      <c r="G416" s="56"/>
      <c r="H416" s="56"/>
    </row>
    <row r="417" spans="2:8" s="25" customFormat="1" x14ac:dyDescent="0.25">
      <c r="B417" s="79"/>
      <c r="C417" s="56"/>
      <c r="D417" s="56"/>
      <c r="E417" s="56"/>
      <c r="F417" s="56"/>
      <c r="G417" s="56"/>
      <c r="H417" s="56"/>
    </row>
    <row r="418" spans="2:8" s="25" customFormat="1" x14ac:dyDescent="0.25">
      <c r="B418" s="79"/>
      <c r="C418" s="56"/>
      <c r="D418" s="56"/>
      <c r="E418" s="56"/>
      <c r="F418" s="56"/>
      <c r="G418" s="56"/>
      <c r="H418" s="56"/>
    </row>
    <row r="419" spans="2:8" s="25" customFormat="1" x14ac:dyDescent="0.25">
      <c r="B419" s="79"/>
      <c r="C419" s="56"/>
      <c r="D419" s="56"/>
      <c r="E419" s="56"/>
      <c r="F419" s="56"/>
      <c r="G419" s="56"/>
      <c r="H419" s="56"/>
    </row>
    <row r="420" spans="2:8" s="25" customFormat="1" x14ac:dyDescent="0.25">
      <c r="B420" s="79"/>
      <c r="C420" s="56"/>
      <c r="D420" s="56"/>
      <c r="E420" s="56"/>
      <c r="F420" s="56"/>
      <c r="G420" s="56"/>
      <c r="H420" s="56"/>
    </row>
    <row r="421" spans="2:8" s="25" customFormat="1" x14ac:dyDescent="0.25">
      <c r="B421" s="79"/>
      <c r="C421" s="56"/>
      <c r="D421" s="56"/>
      <c r="E421" s="56"/>
      <c r="F421" s="56"/>
      <c r="G421" s="56"/>
      <c r="H421" s="56"/>
    </row>
    <row r="422" spans="2:8" s="25" customFormat="1" x14ac:dyDescent="0.25">
      <c r="B422" s="79"/>
      <c r="C422" s="56"/>
      <c r="D422" s="56"/>
      <c r="E422" s="56"/>
      <c r="F422" s="56"/>
      <c r="G422" s="56"/>
      <c r="H422" s="56"/>
    </row>
    <row r="423" spans="2:8" s="25" customFormat="1" x14ac:dyDescent="0.25">
      <c r="B423" s="79"/>
      <c r="C423" s="56"/>
      <c r="D423" s="56"/>
      <c r="E423" s="56"/>
      <c r="F423" s="56"/>
      <c r="G423" s="56"/>
      <c r="H423" s="56"/>
    </row>
    <row r="424" spans="2:8" s="25" customFormat="1" x14ac:dyDescent="0.25">
      <c r="B424" s="79"/>
      <c r="C424" s="56"/>
      <c r="D424" s="56"/>
      <c r="E424" s="56"/>
      <c r="F424" s="56"/>
      <c r="G424" s="56"/>
      <c r="H424" s="56"/>
    </row>
    <row r="425" spans="2:8" s="25" customFormat="1" x14ac:dyDescent="0.25">
      <c r="B425" s="79"/>
      <c r="C425" s="56"/>
      <c r="D425" s="56"/>
      <c r="E425" s="56"/>
      <c r="F425" s="56"/>
      <c r="G425" s="56"/>
      <c r="H425" s="56"/>
    </row>
    <row r="426" spans="2:8" s="25" customFormat="1" x14ac:dyDescent="0.25">
      <c r="B426" s="79"/>
      <c r="C426" s="56"/>
      <c r="D426" s="56"/>
      <c r="E426" s="56"/>
      <c r="F426" s="56"/>
      <c r="G426" s="56"/>
      <c r="H426" s="56"/>
    </row>
    <row r="427" spans="2:8" s="25" customFormat="1" x14ac:dyDescent="0.25">
      <c r="B427" s="79"/>
      <c r="C427" s="56"/>
      <c r="D427" s="56"/>
      <c r="E427" s="56"/>
      <c r="F427" s="56"/>
      <c r="G427" s="56"/>
      <c r="H427" s="56"/>
    </row>
    <row r="428" spans="2:8" s="25" customFormat="1" x14ac:dyDescent="0.25">
      <c r="B428" s="79"/>
      <c r="C428" s="56"/>
      <c r="D428" s="56"/>
      <c r="E428" s="56"/>
      <c r="F428" s="56"/>
      <c r="G428" s="56"/>
      <c r="H428" s="56"/>
    </row>
    <row r="429" spans="2:8" s="25" customFormat="1" x14ac:dyDescent="0.25">
      <c r="B429" s="79"/>
      <c r="C429" s="56"/>
      <c r="D429" s="56"/>
      <c r="E429" s="56"/>
      <c r="F429" s="56"/>
      <c r="G429" s="56"/>
      <c r="H429" s="56"/>
    </row>
    <row r="430" spans="2:8" s="25" customFormat="1" x14ac:dyDescent="0.25">
      <c r="B430" s="79"/>
      <c r="C430" s="56"/>
      <c r="D430" s="56"/>
      <c r="E430" s="56"/>
      <c r="F430" s="56"/>
      <c r="G430" s="56"/>
      <c r="H430" s="56"/>
    </row>
    <row r="431" spans="2:8" s="25" customFormat="1" x14ac:dyDescent="0.25">
      <c r="B431" s="79"/>
      <c r="C431" s="56"/>
      <c r="D431" s="56"/>
      <c r="E431" s="56"/>
      <c r="F431" s="56"/>
      <c r="G431" s="56"/>
      <c r="H431" s="56"/>
    </row>
    <row r="432" spans="2:8" s="25" customFormat="1" x14ac:dyDescent="0.25">
      <c r="B432" s="79"/>
      <c r="C432" s="56"/>
      <c r="D432" s="56"/>
      <c r="E432" s="56"/>
      <c r="F432" s="56"/>
      <c r="G432" s="56"/>
      <c r="H432" s="56"/>
    </row>
    <row r="433" spans="2:8" s="25" customFormat="1" x14ac:dyDescent="0.25">
      <c r="B433" s="79"/>
      <c r="C433" s="56"/>
      <c r="D433" s="56"/>
      <c r="E433" s="56"/>
      <c r="F433" s="56"/>
      <c r="G433" s="56"/>
      <c r="H433" s="56"/>
    </row>
    <row r="434" spans="2:8" s="25" customFormat="1" x14ac:dyDescent="0.25">
      <c r="B434" s="79"/>
      <c r="C434" s="56"/>
      <c r="D434" s="56"/>
      <c r="E434" s="56"/>
      <c r="F434" s="56"/>
      <c r="G434" s="56"/>
      <c r="H434" s="56"/>
    </row>
    <row r="435" spans="2:8" s="25" customFormat="1" x14ac:dyDescent="0.25">
      <c r="B435" s="79"/>
      <c r="C435" s="56"/>
      <c r="D435" s="56"/>
      <c r="E435" s="56"/>
      <c r="F435" s="56"/>
      <c r="G435" s="56"/>
      <c r="H435" s="56"/>
    </row>
    <row r="436" spans="2:8" s="25" customFormat="1" x14ac:dyDescent="0.25">
      <c r="B436" s="79"/>
      <c r="C436" s="56"/>
      <c r="D436" s="56"/>
      <c r="E436" s="56"/>
      <c r="F436" s="56"/>
      <c r="G436" s="56"/>
      <c r="H436" s="56"/>
    </row>
    <row r="437" spans="2:8" s="25" customFormat="1" x14ac:dyDescent="0.25">
      <c r="B437" s="79"/>
      <c r="C437" s="56"/>
      <c r="D437" s="56"/>
      <c r="E437" s="56"/>
      <c r="F437" s="56"/>
      <c r="G437" s="56"/>
      <c r="H437" s="56"/>
    </row>
    <row r="438" spans="2:8" s="25" customFormat="1" x14ac:dyDescent="0.25">
      <c r="B438" s="79"/>
      <c r="C438" s="56"/>
      <c r="D438" s="56"/>
      <c r="E438" s="56"/>
      <c r="F438" s="56"/>
      <c r="G438" s="56"/>
      <c r="H438" s="56"/>
    </row>
    <row r="439" spans="2:8" s="25" customFormat="1" x14ac:dyDescent="0.25">
      <c r="B439" s="79"/>
      <c r="C439" s="56"/>
      <c r="D439" s="56"/>
      <c r="E439" s="56"/>
      <c r="F439" s="56"/>
      <c r="G439" s="56"/>
      <c r="H439" s="56"/>
    </row>
    <row r="440" spans="2:8" s="25" customFormat="1" x14ac:dyDescent="0.25">
      <c r="B440" s="79"/>
      <c r="C440" s="56"/>
      <c r="D440" s="56"/>
      <c r="E440" s="56"/>
      <c r="F440" s="56"/>
      <c r="G440" s="56"/>
      <c r="H440" s="56"/>
    </row>
    <row r="441" spans="2:8" s="25" customFormat="1" x14ac:dyDescent="0.25">
      <c r="B441" s="79"/>
      <c r="C441" s="56"/>
      <c r="D441" s="56"/>
      <c r="E441" s="56"/>
      <c r="F441" s="56"/>
      <c r="G441" s="56"/>
      <c r="H441" s="56"/>
    </row>
    <row r="442" spans="2:8" s="25" customFormat="1" x14ac:dyDescent="0.25">
      <c r="B442" s="79"/>
      <c r="C442" s="56"/>
      <c r="D442" s="56"/>
      <c r="E442" s="56"/>
      <c r="F442" s="56"/>
      <c r="G442" s="56"/>
      <c r="H442" s="56"/>
    </row>
    <row r="443" spans="2:8" s="25" customFormat="1" x14ac:dyDescent="0.25">
      <c r="B443" s="79"/>
      <c r="C443" s="56"/>
      <c r="D443" s="56"/>
      <c r="E443" s="56"/>
      <c r="F443" s="56"/>
      <c r="G443" s="56"/>
      <c r="H443" s="56"/>
    </row>
    <row r="444" spans="2:8" s="25" customFormat="1" x14ac:dyDescent="0.25">
      <c r="B444" s="79"/>
      <c r="C444" s="56"/>
      <c r="D444" s="56"/>
      <c r="E444" s="56"/>
      <c r="F444" s="56"/>
      <c r="G444" s="56"/>
      <c r="H444" s="56"/>
    </row>
    <row r="445" spans="2:8" s="25" customFormat="1" x14ac:dyDescent="0.25">
      <c r="B445" s="79"/>
      <c r="C445" s="56"/>
      <c r="D445" s="56"/>
      <c r="E445" s="56"/>
      <c r="F445" s="56"/>
      <c r="G445" s="56"/>
      <c r="H445" s="56"/>
    </row>
    <row r="446" spans="2:8" s="25" customFormat="1" x14ac:dyDescent="0.25">
      <c r="B446" s="79"/>
      <c r="C446" s="56"/>
      <c r="D446" s="56"/>
      <c r="E446" s="56"/>
      <c r="F446" s="56"/>
      <c r="G446" s="56"/>
      <c r="H446" s="56"/>
    </row>
    <row r="447" spans="2:8" s="25" customFormat="1" x14ac:dyDescent="0.25">
      <c r="B447" s="79"/>
      <c r="C447" s="56"/>
      <c r="D447" s="56"/>
      <c r="E447" s="56"/>
      <c r="F447" s="56"/>
      <c r="G447" s="56"/>
      <c r="H447" s="56"/>
    </row>
    <row r="448" spans="2:8" s="25" customFormat="1" x14ac:dyDescent="0.25">
      <c r="B448" s="79"/>
      <c r="C448" s="56"/>
      <c r="D448" s="56"/>
      <c r="E448" s="56"/>
      <c r="F448" s="56"/>
      <c r="G448" s="56"/>
      <c r="H448" s="56"/>
    </row>
    <row r="449" spans="2:8" s="25" customFormat="1" x14ac:dyDescent="0.25">
      <c r="B449" s="79"/>
      <c r="C449" s="56"/>
      <c r="D449" s="56"/>
      <c r="E449" s="56"/>
      <c r="F449" s="56"/>
      <c r="G449" s="56"/>
      <c r="H449" s="56"/>
    </row>
    <row r="450" spans="2:8" s="25" customFormat="1" x14ac:dyDescent="0.25">
      <c r="B450" s="79"/>
      <c r="C450" s="56"/>
      <c r="D450" s="56"/>
      <c r="E450" s="56"/>
      <c r="F450" s="56"/>
      <c r="G450" s="56"/>
      <c r="H450" s="56"/>
    </row>
    <row r="451" spans="2:8" s="25" customFormat="1" x14ac:dyDescent="0.25">
      <c r="B451" s="79"/>
      <c r="C451" s="56"/>
      <c r="D451" s="56"/>
      <c r="E451" s="56"/>
      <c r="F451" s="56"/>
      <c r="G451" s="56"/>
      <c r="H451" s="56"/>
    </row>
    <row r="452" spans="2:8" s="25" customFormat="1" x14ac:dyDescent="0.25">
      <c r="B452" s="79"/>
      <c r="C452" s="56"/>
      <c r="D452" s="56"/>
      <c r="E452" s="56"/>
      <c r="F452" s="56"/>
      <c r="G452" s="56"/>
      <c r="H452" s="56"/>
    </row>
    <row r="453" spans="2:8" s="25" customFormat="1" x14ac:dyDescent="0.25">
      <c r="B453" s="79"/>
      <c r="C453" s="56"/>
      <c r="D453" s="56"/>
      <c r="E453" s="56"/>
      <c r="F453" s="56"/>
      <c r="G453" s="56"/>
      <c r="H453" s="56"/>
    </row>
    <row r="454" spans="2:8" s="25" customFormat="1" x14ac:dyDescent="0.25">
      <c r="B454" s="79"/>
      <c r="C454" s="56"/>
      <c r="D454" s="56"/>
      <c r="E454" s="56"/>
      <c r="F454" s="56"/>
      <c r="G454" s="56"/>
      <c r="H454" s="56"/>
    </row>
    <row r="455" spans="2:8" s="25" customFormat="1" x14ac:dyDescent="0.25">
      <c r="B455" s="79"/>
      <c r="C455" s="56"/>
      <c r="D455" s="56"/>
      <c r="E455" s="56"/>
      <c r="F455" s="56"/>
      <c r="G455" s="56"/>
      <c r="H455" s="56"/>
    </row>
    <row r="456" spans="2:8" s="25" customFormat="1" x14ac:dyDescent="0.25">
      <c r="B456" s="79"/>
      <c r="C456" s="56"/>
      <c r="D456" s="56"/>
      <c r="E456" s="56"/>
      <c r="F456" s="56"/>
      <c r="G456" s="56"/>
      <c r="H456" s="56"/>
    </row>
    <row r="457" spans="2:8" s="25" customFormat="1" x14ac:dyDescent="0.25">
      <c r="B457" s="79"/>
      <c r="C457" s="56"/>
      <c r="D457" s="56"/>
      <c r="E457" s="56"/>
      <c r="F457" s="56"/>
      <c r="G457" s="56"/>
      <c r="H457" s="56"/>
    </row>
    <row r="458" spans="2:8" s="25" customFormat="1" x14ac:dyDescent="0.25">
      <c r="B458" s="79"/>
      <c r="C458" s="56"/>
      <c r="D458" s="56"/>
      <c r="E458" s="56"/>
      <c r="F458" s="56"/>
      <c r="G458" s="56"/>
      <c r="H458" s="56"/>
    </row>
    <row r="459" spans="2:8" s="25" customFormat="1" x14ac:dyDescent="0.25">
      <c r="B459" s="79"/>
      <c r="C459" s="56"/>
      <c r="D459" s="56"/>
      <c r="E459" s="56"/>
      <c r="F459" s="56"/>
      <c r="G459" s="56"/>
      <c r="H459" s="56"/>
    </row>
    <row r="460" spans="2:8" s="25" customFormat="1" x14ac:dyDescent="0.25">
      <c r="B460" s="79"/>
      <c r="C460" s="56"/>
      <c r="D460" s="56"/>
      <c r="E460" s="56"/>
      <c r="F460" s="56"/>
      <c r="G460" s="56"/>
      <c r="H460" s="56"/>
    </row>
    <row r="461" spans="2:8" s="25" customFormat="1" x14ac:dyDescent="0.25">
      <c r="B461" s="79"/>
      <c r="C461" s="56"/>
      <c r="D461" s="56"/>
      <c r="E461" s="56"/>
      <c r="F461" s="56"/>
      <c r="G461" s="56"/>
      <c r="H461" s="56"/>
    </row>
    <row r="462" spans="2:8" s="25" customFormat="1" x14ac:dyDescent="0.25">
      <c r="B462" s="79"/>
      <c r="C462" s="56"/>
      <c r="D462" s="56"/>
      <c r="E462" s="56"/>
      <c r="F462" s="56"/>
      <c r="G462" s="56"/>
      <c r="H462" s="56"/>
    </row>
    <row r="463" spans="2:8" s="25" customFormat="1" x14ac:dyDescent="0.25">
      <c r="B463" s="79"/>
      <c r="C463" s="56"/>
      <c r="D463" s="56"/>
      <c r="E463" s="56"/>
      <c r="F463" s="56"/>
      <c r="G463" s="56"/>
      <c r="H463" s="56"/>
    </row>
    <row r="464" spans="2:8" s="25" customFormat="1" x14ac:dyDescent="0.25">
      <c r="B464" s="79"/>
      <c r="C464" s="56"/>
      <c r="D464" s="56"/>
      <c r="E464" s="56"/>
      <c r="F464" s="56"/>
      <c r="G464" s="56"/>
      <c r="H464" s="56"/>
    </row>
    <row r="465" spans="2:8" s="25" customFormat="1" x14ac:dyDescent="0.25">
      <c r="B465" s="79"/>
      <c r="C465" s="56"/>
      <c r="D465" s="56"/>
      <c r="E465" s="56"/>
      <c r="F465" s="56"/>
      <c r="G465" s="56"/>
      <c r="H465" s="56"/>
    </row>
    <row r="466" spans="2:8" s="25" customFormat="1" x14ac:dyDescent="0.25">
      <c r="B466" s="79"/>
      <c r="C466" s="56"/>
      <c r="D466" s="56"/>
      <c r="E466" s="56"/>
      <c r="F466" s="56"/>
      <c r="G466" s="56"/>
      <c r="H466" s="56"/>
    </row>
    <row r="467" spans="2:8" s="25" customFormat="1" x14ac:dyDescent="0.25">
      <c r="B467" s="79"/>
      <c r="C467" s="56"/>
      <c r="D467" s="56"/>
      <c r="E467" s="56"/>
      <c r="F467" s="56"/>
      <c r="G467" s="56"/>
      <c r="H467" s="56"/>
    </row>
    <row r="468" spans="2:8" s="25" customFormat="1" x14ac:dyDescent="0.25">
      <c r="B468" s="79"/>
      <c r="C468" s="56"/>
      <c r="D468" s="56"/>
      <c r="E468" s="56"/>
      <c r="F468" s="56"/>
      <c r="G468" s="56"/>
      <c r="H468" s="56"/>
    </row>
    <row r="469" spans="2:8" s="25" customFormat="1" x14ac:dyDescent="0.25">
      <c r="B469" s="79"/>
      <c r="C469" s="56"/>
      <c r="D469" s="56"/>
      <c r="E469" s="56"/>
      <c r="F469" s="56"/>
      <c r="G469" s="56"/>
      <c r="H469" s="56"/>
    </row>
    <row r="470" spans="2:8" s="25" customFormat="1" x14ac:dyDescent="0.25">
      <c r="B470" s="79"/>
      <c r="C470" s="56"/>
      <c r="D470" s="56"/>
      <c r="E470" s="56"/>
      <c r="F470" s="56"/>
      <c r="G470" s="56"/>
      <c r="H470" s="56"/>
    </row>
    <row r="471" spans="2:8" s="25" customFormat="1" x14ac:dyDescent="0.25">
      <c r="B471" s="79"/>
      <c r="C471" s="56"/>
      <c r="D471" s="56"/>
      <c r="E471" s="56"/>
      <c r="F471" s="56"/>
      <c r="G471" s="56"/>
      <c r="H471" s="56"/>
    </row>
    <row r="472" spans="2:8" s="25" customFormat="1" x14ac:dyDescent="0.25">
      <c r="B472" s="79"/>
      <c r="C472" s="56"/>
      <c r="D472" s="56"/>
      <c r="E472" s="56"/>
      <c r="F472" s="56"/>
      <c r="G472" s="56"/>
      <c r="H472" s="56"/>
    </row>
    <row r="473" spans="2:8" s="25" customFormat="1" x14ac:dyDescent="0.25">
      <c r="B473" s="79"/>
      <c r="C473" s="56"/>
      <c r="D473" s="56"/>
      <c r="E473" s="56"/>
      <c r="F473" s="56"/>
      <c r="G473" s="56"/>
      <c r="H473" s="56"/>
    </row>
    <row r="474" spans="2:8" s="25" customFormat="1" x14ac:dyDescent="0.25">
      <c r="B474" s="79"/>
      <c r="C474" s="56"/>
      <c r="D474" s="56"/>
      <c r="E474" s="56"/>
      <c r="F474" s="56"/>
      <c r="G474" s="56"/>
      <c r="H474" s="56"/>
    </row>
    <row r="475" spans="2:8" s="25" customFormat="1" x14ac:dyDescent="0.25">
      <c r="B475" s="79"/>
      <c r="C475" s="56"/>
      <c r="D475" s="56"/>
      <c r="E475" s="56"/>
      <c r="F475" s="56"/>
      <c r="G475" s="56"/>
      <c r="H475" s="56"/>
    </row>
    <row r="476" spans="2:8" s="25" customFormat="1" x14ac:dyDescent="0.25">
      <c r="B476" s="79"/>
      <c r="C476" s="56"/>
      <c r="D476" s="56"/>
      <c r="E476" s="56"/>
      <c r="F476" s="56"/>
      <c r="G476" s="56"/>
      <c r="H476" s="56"/>
    </row>
    <row r="477" spans="2:8" s="25" customFormat="1" x14ac:dyDescent="0.25">
      <c r="B477" s="79"/>
      <c r="C477" s="56"/>
      <c r="D477" s="56"/>
      <c r="E477" s="56"/>
      <c r="F477" s="56"/>
      <c r="G477" s="56"/>
      <c r="H477" s="56"/>
    </row>
    <row r="478" spans="2:8" s="25" customFormat="1" x14ac:dyDescent="0.25">
      <c r="B478" s="79"/>
      <c r="C478" s="56"/>
      <c r="D478" s="56"/>
      <c r="E478" s="56"/>
      <c r="F478" s="56"/>
      <c r="G478" s="56"/>
      <c r="H478" s="56"/>
    </row>
    <row r="479" spans="2:8" s="25" customFormat="1" x14ac:dyDescent="0.25">
      <c r="B479" s="79"/>
      <c r="C479" s="56"/>
      <c r="D479" s="56"/>
      <c r="E479" s="56"/>
      <c r="F479" s="56"/>
      <c r="G479" s="56"/>
      <c r="H479" s="56"/>
    </row>
    <row r="480" spans="2:8" s="25" customFormat="1" x14ac:dyDescent="0.25">
      <c r="B480" s="79"/>
      <c r="C480" s="56"/>
      <c r="D480" s="56"/>
      <c r="E480" s="56"/>
      <c r="F480" s="56"/>
      <c r="G480" s="56"/>
      <c r="H480" s="56"/>
    </row>
    <row r="481" spans="2:8" s="25" customFormat="1" x14ac:dyDescent="0.25">
      <c r="B481" s="79"/>
      <c r="C481" s="56"/>
      <c r="D481" s="56"/>
      <c r="E481" s="56"/>
      <c r="F481" s="56"/>
      <c r="G481" s="56"/>
      <c r="H481" s="56"/>
    </row>
    <row r="482" spans="2:8" s="25" customFormat="1" x14ac:dyDescent="0.25">
      <c r="B482" s="79"/>
      <c r="C482" s="56"/>
      <c r="D482" s="56"/>
      <c r="E482" s="56"/>
      <c r="F482" s="56"/>
      <c r="G482" s="56"/>
      <c r="H482" s="56"/>
    </row>
    <row r="483" spans="2:8" s="25" customFormat="1" x14ac:dyDescent="0.25">
      <c r="B483" s="79"/>
      <c r="C483" s="56"/>
      <c r="D483" s="56"/>
      <c r="E483" s="56"/>
      <c r="F483" s="56"/>
      <c r="G483" s="56"/>
      <c r="H483" s="56"/>
    </row>
    <row r="484" spans="2:8" s="25" customFormat="1" x14ac:dyDescent="0.25">
      <c r="B484" s="79"/>
      <c r="C484" s="56"/>
      <c r="D484" s="56"/>
      <c r="E484" s="56"/>
      <c r="F484" s="56"/>
      <c r="G484" s="56"/>
      <c r="H484" s="56"/>
    </row>
    <row r="485" spans="2:8" s="25" customFormat="1" x14ac:dyDescent="0.25">
      <c r="B485" s="79"/>
      <c r="C485" s="56"/>
      <c r="D485" s="56"/>
      <c r="E485" s="56"/>
      <c r="F485" s="56"/>
      <c r="G485" s="56"/>
      <c r="H485" s="56"/>
    </row>
    <row r="486" spans="2:8" s="25" customFormat="1" x14ac:dyDescent="0.25">
      <c r="B486" s="79"/>
      <c r="C486" s="56"/>
      <c r="D486" s="56"/>
      <c r="E486" s="56"/>
      <c r="F486" s="56"/>
      <c r="G486" s="56"/>
      <c r="H486" s="56"/>
    </row>
    <row r="487" spans="2:8" s="25" customFormat="1" x14ac:dyDescent="0.25">
      <c r="B487" s="79"/>
      <c r="C487" s="56"/>
      <c r="D487" s="56"/>
      <c r="E487" s="56"/>
      <c r="F487" s="56"/>
      <c r="G487" s="56"/>
      <c r="H487" s="56"/>
    </row>
    <row r="488" spans="2:8" s="25" customFormat="1" x14ac:dyDescent="0.25">
      <c r="B488" s="79"/>
      <c r="C488" s="56"/>
      <c r="D488" s="56"/>
      <c r="E488" s="56"/>
      <c r="F488" s="56"/>
      <c r="G488" s="56"/>
      <c r="H488" s="56"/>
    </row>
    <row r="489" spans="2:8" s="25" customFormat="1" x14ac:dyDescent="0.25">
      <c r="B489" s="79"/>
      <c r="C489" s="56"/>
      <c r="D489" s="56"/>
      <c r="E489" s="56"/>
      <c r="F489" s="56"/>
      <c r="G489" s="56"/>
      <c r="H489" s="56"/>
    </row>
    <row r="490" spans="2:8" s="25" customFormat="1" x14ac:dyDescent="0.25">
      <c r="B490" s="79"/>
      <c r="C490" s="56"/>
      <c r="D490" s="56"/>
      <c r="E490" s="56"/>
      <c r="F490" s="56"/>
      <c r="G490" s="56"/>
      <c r="H490" s="56"/>
    </row>
    <row r="491" spans="2:8" s="25" customFormat="1" x14ac:dyDescent="0.25">
      <c r="B491" s="79"/>
      <c r="C491" s="56"/>
      <c r="D491" s="56"/>
      <c r="E491" s="56"/>
      <c r="F491" s="56"/>
      <c r="G491" s="56"/>
      <c r="H491" s="56"/>
    </row>
    <row r="492" spans="2:8" s="25" customFormat="1" x14ac:dyDescent="0.25">
      <c r="B492" s="79"/>
      <c r="C492" s="56"/>
      <c r="D492" s="56"/>
      <c r="E492" s="56"/>
      <c r="F492" s="56"/>
      <c r="G492" s="56"/>
      <c r="H492" s="56"/>
    </row>
    <row r="493" spans="2:8" s="25" customFormat="1" x14ac:dyDescent="0.25">
      <c r="B493" s="79"/>
      <c r="C493" s="56"/>
      <c r="D493" s="56"/>
      <c r="E493" s="56"/>
      <c r="F493" s="56"/>
      <c r="G493" s="56"/>
      <c r="H493" s="56"/>
    </row>
    <row r="494" spans="2:8" s="25" customFormat="1" x14ac:dyDescent="0.25">
      <c r="B494" s="79"/>
      <c r="C494" s="56"/>
      <c r="D494" s="56"/>
      <c r="E494" s="56"/>
      <c r="F494" s="56"/>
      <c r="G494" s="56"/>
      <c r="H494" s="56"/>
    </row>
    <row r="495" spans="2:8" s="25" customFormat="1" x14ac:dyDescent="0.25">
      <c r="B495" s="79"/>
      <c r="C495" s="56"/>
      <c r="D495" s="56"/>
      <c r="E495" s="56"/>
      <c r="F495" s="56"/>
      <c r="G495" s="56"/>
      <c r="H495" s="56"/>
    </row>
    <row r="496" spans="2:8" s="25" customFormat="1" x14ac:dyDescent="0.25">
      <c r="B496" s="79"/>
      <c r="C496" s="56"/>
      <c r="D496" s="56"/>
      <c r="E496" s="56"/>
      <c r="F496" s="56"/>
      <c r="G496" s="56"/>
      <c r="H496" s="56"/>
    </row>
    <row r="497" spans="2:8" s="25" customFormat="1" x14ac:dyDescent="0.25">
      <c r="B497" s="79"/>
      <c r="C497" s="56"/>
      <c r="D497" s="56"/>
      <c r="E497" s="56"/>
      <c r="F497" s="56"/>
      <c r="G497" s="56"/>
      <c r="H497" s="56"/>
    </row>
    <row r="498" spans="2:8" s="25" customFormat="1" x14ac:dyDescent="0.25">
      <c r="B498" s="79"/>
      <c r="C498" s="56"/>
      <c r="D498" s="56"/>
      <c r="E498" s="56"/>
      <c r="F498" s="56"/>
      <c r="G498" s="56"/>
      <c r="H498" s="56"/>
    </row>
    <row r="499" spans="2:8" s="25" customFormat="1" x14ac:dyDescent="0.25">
      <c r="B499" s="79"/>
      <c r="C499" s="56"/>
      <c r="D499" s="56"/>
      <c r="E499" s="56"/>
      <c r="F499" s="56"/>
      <c r="G499" s="56"/>
      <c r="H499" s="56"/>
    </row>
    <row r="500" spans="2:8" s="25" customFormat="1" x14ac:dyDescent="0.25">
      <c r="B500" s="79"/>
      <c r="C500" s="56"/>
      <c r="D500" s="56"/>
      <c r="E500" s="56"/>
      <c r="F500" s="56"/>
      <c r="G500" s="56"/>
      <c r="H500" s="56"/>
    </row>
    <row r="501" spans="2:8" s="25" customFormat="1" x14ac:dyDescent="0.25">
      <c r="B501" s="79"/>
      <c r="C501" s="56"/>
      <c r="D501" s="56"/>
      <c r="E501" s="56"/>
      <c r="F501" s="56"/>
      <c r="G501" s="56"/>
      <c r="H501" s="56"/>
    </row>
    <row r="502" spans="2:8" s="25" customFormat="1" x14ac:dyDescent="0.25">
      <c r="B502" s="79"/>
      <c r="C502" s="56"/>
      <c r="D502" s="56"/>
      <c r="E502" s="56"/>
      <c r="F502" s="56"/>
      <c r="G502" s="56"/>
      <c r="H502" s="56"/>
    </row>
    <row r="503" spans="2:8" s="25" customFormat="1" x14ac:dyDescent="0.25">
      <c r="B503" s="79"/>
      <c r="C503" s="56"/>
      <c r="D503" s="56"/>
      <c r="E503" s="56"/>
      <c r="F503" s="56"/>
      <c r="G503" s="56"/>
      <c r="H503" s="56"/>
    </row>
    <row r="504" spans="2:8" s="25" customFormat="1" x14ac:dyDescent="0.25">
      <c r="B504" s="79"/>
      <c r="C504" s="56"/>
      <c r="D504" s="56"/>
      <c r="E504" s="56"/>
      <c r="F504" s="56"/>
      <c r="G504" s="56"/>
      <c r="H504" s="56"/>
    </row>
    <row r="505" spans="2:8" s="25" customFormat="1" x14ac:dyDescent="0.25">
      <c r="B505" s="79"/>
      <c r="C505" s="56"/>
      <c r="D505" s="56"/>
      <c r="E505" s="56"/>
      <c r="F505" s="56"/>
      <c r="G505" s="56"/>
      <c r="H505" s="56"/>
    </row>
    <row r="506" spans="2:8" s="25" customFormat="1" x14ac:dyDescent="0.25">
      <c r="B506" s="79"/>
      <c r="C506" s="56"/>
      <c r="D506" s="56"/>
      <c r="E506" s="56"/>
      <c r="F506" s="56"/>
      <c r="G506" s="56"/>
      <c r="H506" s="56"/>
    </row>
    <row r="507" spans="2:8" s="25" customFormat="1" x14ac:dyDescent="0.25">
      <c r="B507" s="79"/>
      <c r="C507" s="56"/>
      <c r="D507" s="56"/>
      <c r="E507" s="56"/>
      <c r="F507" s="56"/>
      <c r="G507" s="56"/>
      <c r="H507" s="56"/>
    </row>
    <row r="508" spans="2:8" s="25" customFormat="1" x14ac:dyDescent="0.25">
      <c r="B508" s="79"/>
      <c r="C508" s="56"/>
      <c r="D508" s="56"/>
      <c r="E508" s="56"/>
      <c r="F508" s="56"/>
      <c r="G508" s="56"/>
      <c r="H508" s="56"/>
    </row>
    <row r="509" spans="2:8" s="25" customFormat="1" x14ac:dyDescent="0.25">
      <c r="B509" s="79"/>
      <c r="C509" s="56"/>
      <c r="D509" s="56"/>
      <c r="E509" s="56"/>
      <c r="F509" s="56"/>
      <c r="G509" s="56"/>
      <c r="H509" s="56"/>
    </row>
    <row r="510" spans="2:8" s="25" customFormat="1" x14ac:dyDescent="0.25">
      <c r="B510" s="79"/>
      <c r="C510" s="56"/>
      <c r="D510" s="56"/>
      <c r="E510" s="56"/>
      <c r="F510" s="56"/>
      <c r="G510" s="56"/>
      <c r="H510" s="56"/>
    </row>
    <row r="511" spans="2:8" s="25" customFormat="1" x14ac:dyDescent="0.25">
      <c r="B511" s="79"/>
      <c r="C511" s="56"/>
      <c r="D511" s="56"/>
      <c r="E511" s="56"/>
      <c r="F511" s="56"/>
      <c r="G511" s="56"/>
      <c r="H511" s="56"/>
    </row>
    <row r="512" spans="2:8" s="25" customFormat="1" x14ac:dyDescent="0.25">
      <c r="B512" s="79"/>
      <c r="C512" s="56"/>
      <c r="D512" s="56"/>
      <c r="E512" s="56"/>
      <c r="F512" s="56"/>
      <c r="G512" s="56"/>
      <c r="H512" s="56"/>
    </row>
    <row r="513" spans="2:8" s="25" customFormat="1" x14ac:dyDescent="0.25">
      <c r="B513" s="79"/>
      <c r="C513" s="56"/>
      <c r="D513" s="56"/>
      <c r="E513" s="56"/>
      <c r="F513" s="56"/>
      <c r="G513" s="56"/>
      <c r="H513" s="56"/>
    </row>
    <row r="514" spans="2:8" s="25" customFormat="1" x14ac:dyDescent="0.25">
      <c r="B514" s="79"/>
      <c r="C514" s="56"/>
      <c r="D514" s="56"/>
      <c r="E514" s="56"/>
      <c r="F514" s="56"/>
      <c r="G514" s="56"/>
      <c r="H514" s="56"/>
    </row>
    <row r="515" spans="2:8" s="25" customFormat="1" x14ac:dyDescent="0.25">
      <c r="B515" s="79"/>
      <c r="C515" s="56"/>
      <c r="D515" s="56"/>
      <c r="E515" s="56"/>
      <c r="F515" s="56"/>
      <c r="G515" s="56"/>
      <c r="H515" s="56"/>
    </row>
    <row r="516" spans="2:8" s="25" customFormat="1" x14ac:dyDescent="0.25">
      <c r="B516" s="79"/>
      <c r="C516" s="56"/>
      <c r="D516" s="56"/>
      <c r="E516" s="56"/>
      <c r="F516" s="56"/>
      <c r="G516" s="56"/>
      <c r="H516" s="56"/>
    </row>
    <row r="517" spans="2:8" s="25" customFormat="1" x14ac:dyDescent="0.25">
      <c r="B517" s="79"/>
      <c r="C517" s="56"/>
      <c r="D517" s="56"/>
      <c r="E517" s="56"/>
      <c r="F517" s="56"/>
      <c r="G517" s="56"/>
      <c r="H517" s="56"/>
    </row>
    <row r="518" spans="2:8" s="25" customFormat="1" x14ac:dyDescent="0.25">
      <c r="B518" s="79"/>
      <c r="C518" s="56"/>
      <c r="D518" s="56"/>
      <c r="E518" s="56"/>
      <c r="F518" s="56"/>
      <c r="G518" s="56"/>
      <c r="H518" s="56"/>
    </row>
    <row r="519" spans="2:8" s="25" customFormat="1" x14ac:dyDescent="0.25">
      <c r="B519" s="79"/>
      <c r="C519" s="56"/>
      <c r="D519" s="56"/>
      <c r="E519" s="56"/>
      <c r="F519" s="56"/>
      <c r="G519" s="56"/>
      <c r="H519" s="56"/>
    </row>
    <row r="520" spans="2:8" s="25" customFormat="1" x14ac:dyDescent="0.25">
      <c r="B520" s="79"/>
      <c r="C520" s="56"/>
      <c r="D520" s="56"/>
      <c r="E520" s="56"/>
      <c r="F520" s="56"/>
      <c r="G520" s="56"/>
      <c r="H520" s="56"/>
    </row>
    <row r="521" spans="2:8" s="25" customFormat="1" x14ac:dyDescent="0.25">
      <c r="B521" s="79"/>
      <c r="C521" s="56"/>
      <c r="D521" s="56"/>
      <c r="E521" s="56"/>
      <c r="F521" s="56"/>
      <c r="G521" s="56"/>
      <c r="H521" s="56"/>
    </row>
    <row r="522" spans="2:8" s="25" customFormat="1" x14ac:dyDescent="0.25">
      <c r="B522" s="79"/>
      <c r="C522" s="56"/>
      <c r="D522" s="56"/>
      <c r="E522" s="56"/>
      <c r="F522" s="56"/>
      <c r="G522" s="56"/>
      <c r="H522" s="56"/>
    </row>
    <row r="523" spans="2:8" s="25" customFormat="1" x14ac:dyDescent="0.25">
      <c r="B523" s="79"/>
      <c r="C523" s="56"/>
      <c r="D523" s="56"/>
      <c r="E523" s="56"/>
      <c r="F523" s="56"/>
      <c r="G523" s="56"/>
      <c r="H523" s="56"/>
    </row>
    <row r="524" spans="2:8" s="25" customFormat="1" x14ac:dyDescent="0.25">
      <c r="B524" s="79"/>
      <c r="C524" s="56"/>
      <c r="D524" s="56"/>
      <c r="E524" s="56"/>
      <c r="F524" s="56"/>
      <c r="G524" s="56"/>
      <c r="H524" s="56"/>
    </row>
    <row r="525" spans="2:8" s="25" customFormat="1" x14ac:dyDescent="0.25">
      <c r="B525" s="79"/>
      <c r="C525" s="56"/>
      <c r="D525" s="56"/>
      <c r="E525" s="56"/>
      <c r="F525" s="56"/>
      <c r="G525" s="56"/>
      <c r="H525" s="56"/>
    </row>
    <row r="526" spans="2:8" s="25" customFormat="1" x14ac:dyDescent="0.25">
      <c r="B526" s="79"/>
      <c r="C526" s="56"/>
      <c r="D526" s="56"/>
      <c r="E526" s="56"/>
      <c r="F526" s="56"/>
      <c r="G526" s="56"/>
      <c r="H526" s="56"/>
    </row>
    <row r="527" spans="2:8" s="25" customFormat="1" x14ac:dyDescent="0.25">
      <c r="B527" s="79"/>
      <c r="C527" s="56"/>
      <c r="D527" s="56"/>
      <c r="E527" s="56"/>
      <c r="F527" s="56"/>
      <c r="G527" s="56"/>
      <c r="H527" s="56"/>
    </row>
    <row r="528" spans="2:8" s="25" customFormat="1" x14ac:dyDescent="0.25">
      <c r="B528" s="79"/>
      <c r="C528" s="56"/>
      <c r="D528" s="56"/>
      <c r="E528" s="56"/>
      <c r="F528" s="56"/>
      <c r="G528" s="56"/>
      <c r="H528" s="56"/>
    </row>
    <row r="529" spans="2:8" s="25" customFormat="1" x14ac:dyDescent="0.25">
      <c r="B529" s="79"/>
      <c r="C529" s="56"/>
      <c r="D529" s="56"/>
      <c r="E529" s="56"/>
      <c r="F529" s="56"/>
      <c r="G529" s="56"/>
      <c r="H529" s="56"/>
    </row>
    <row r="530" spans="2:8" s="25" customFormat="1" x14ac:dyDescent="0.25">
      <c r="B530" s="79"/>
      <c r="C530" s="56"/>
      <c r="D530" s="56"/>
      <c r="E530" s="56"/>
      <c r="F530" s="56"/>
      <c r="G530" s="56"/>
      <c r="H530" s="56"/>
    </row>
    <row r="531" spans="2:8" s="25" customFormat="1" x14ac:dyDescent="0.25">
      <c r="B531" s="79"/>
      <c r="C531" s="56"/>
      <c r="D531" s="56"/>
      <c r="E531" s="56"/>
      <c r="F531" s="56"/>
      <c r="G531" s="56"/>
      <c r="H531" s="56"/>
    </row>
    <row r="532" spans="2:8" s="25" customFormat="1" x14ac:dyDescent="0.25">
      <c r="B532" s="79"/>
      <c r="C532" s="56"/>
      <c r="D532" s="56"/>
      <c r="E532" s="56"/>
      <c r="F532" s="56"/>
      <c r="G532" s="56"/>
      <c r="H532" s="56"/>
    </row>
    <row r="533" spans="2:8" s="25" customFormat="1" x14ac:dyDescent="0.25">
      <c r="B533" s="79"/>
      <c r="C533" s="56"/>
      <c r="D533" s="56"/>
      <c r="E533" s="56"/>
      <c r="F533" s="56"/>
      <c r="G533" s="56"/>
      <c r="H533" s="56"/>
    </row>
    <row r="534" spans="2:8" s="25" customFormat="1" x14ac:dyDescent="0.25">
      <c r="B534" s="79"/>
      <c r="C534" s="56"/>
      <c r="D534" s="56"/>
      <c r="E534" s="56"/>
      <c r="F534" s="56"/>
      <c r="G534" s="56"/>
      <c r="H534" s="56"/>
    </row>
    <row r="535" spans="2:8" s="25" customFormat="1" x14ac:dyDescent="0.25">
      <c r="B535" s="79"/>
      <c r="C535" s="56"/>
      <c r="D535" s="56"/>
      <c r="E535" s="56"/>
      <c r="F535" s="56"/>
      <c r="G535" s="56"/>
      <c r="H535" s="56"/>
    </row>
    <row r="536" spans="2:8" s="25" customFormat="1" x14ac:dyDescent="0.25">
      <c r="B536" s="79"/>
      <c r="C536" s="56"/>
      <c r="D536" s="56"/>
      <c r="E536" s="56"/>
      <c r="F536" s="56"/>
      <c r="G536" s="56"/>
      <c r="H536" s="56"/>
    </row>
    <row r="537" spans="2:8" s="25" customFormat="1" x14ac:dyDescent="0.25">
      <c r="B537" s="79"/>
      <c r="C537" s="56"/>
      <c r="D537" s="56"/>
      <c r="E537" s="56"/>
      <c r="F537" s="56"/>
      <c r="G537" s="56"/>
      <c r="H537" s="56"/>
    </row>
    <row r="538" spans="2:8" s="25" customFormat="1" x14ac:dyDescent="0.25">
      <c r="B538" s="79"/>
      <c r="C538" s="56"/>
      <c r="D538" s="56"/>
      <c r="E538" s="56"/>
      <c r="F538" s="56"/>
      <c r="G538" s="56"/>
      <c r="H538" s="56"/>
    </row>
    <row r="539" spans="2:8" s="25" customFormat="1" x14ac:dyDescent="0.25">
      <c r="B539" s="79"/>
      <c r="C539" s="56"/>
      <c r="D539" s="56"/>
      <c r="E539" s="56"/>
      <c r="F539" s="56"/>
      <c r="G539" s="56"/>
      <c r="H539" s="56"/>
    </row>
    <row r="540" spans="2:8" s="25" customFormat="1" x14ac:dyDescent="0.25">
      <c r="B540" s="79"/>
      <c r="C540" s="56"/>
      <c r="D540" s="56"/>
      <c r="E540" s="56"/>
      <c r="F540" s="56"/>
      <c r="G540" s="56"/>
      <c r="H540" s="56"/>
    </row>
    <row r="541" spans="2:8" s="25" customFormat="1" x14ac:dyDescent="0.25">
      <c r="B541" s="79"/>
      <c r="C541" s="56"/>
      <c r="D541" s="56"/>
      <c r="E541" s="56"/>
      <c r="F541" s="56"/>
      <c r="G541" s="56"/>
      <c r="H541" s="56"/>
    </row>
    <row r="542" spans="2:8" s="25" customFormat="1" x14ac:dyDescent="0.25">
      <c r="B542" s="79"/>
      <c r="C542" s="56"/>
      <c r="D542" s="56"/>
      <c r="E542" s="56"/>
      <c r="F542" s="56"/>
      <c r="G542" s="56"/>
      <c r="H542" s="56"/>
    </row>
    <row r="543" spans="2:8" s="25" customFormat="1" x14ac:dyDescent="0.25">
      <c r="B543" s="79"/>
      <c r="C543" s="56"/>
      <c r="D543" s="56"/>
      <c r="E543" s="56"/>
      <c r="F543" s="56"/>
      <c r="G543" s="56"/>
      <c r="H543" s="56"/>
    </row>
    <row r="544" spans="2:8" s="25" customFormat="1" x14ac:dyDescent="0.25">
      <c r="B544" s="79"/>
      <c r="C544" s="56"/>
      <c r="D544" s="56"/>
      <c r="E544" s="56"/>
      <c r="F544" s="56"/>
      <c r="G544" s="56"/>
      <c r="H544" s="56"/>
    </row>
    <row r="545" spans="2:8" s="25" customFormat="1" x14ac:dyDescent="0.25">
      <c r="B545" s="79"/>
      <c r="C545" s="56"/>
      <c r="D545" s="56"/>
      <c r="E545" s="56"/>
      <c r="F545" s="56"/>
      <c r="G545" s="56"/>
      <c r="H545" s="56"/>
    </row>
    <row r="546" spans="2:8" s="25" customFormat="1" x14ac:dyDescent="0.25">
      <c r="B546" s="79"/>
      <c r="C546" s="56"/>
      <c r="D546" s="56"/>
      <c r="E546" s="56"/>
      <c r="F546" s="56"/>
      <c r="G546" s="56"/>
      <c r="H546" s="56"/>
    </row>
    <row r="547" spans="2:8" s="25" customFormat="1" x14ac:dyDescent="0.25">
      <c r="B547" s="79"/>
      <c r="C547" s="56"/>
      <c r="D547" s="56"/>
      <c r="E547" s="56"/>
      <c r="F547" s="56"/>
      <c r="G547" s="56"/>
      <c r="H547" s="56"/>
    </row>
    <row r="548" spans="2:8" s="25" customFormat="1" x14ac:dyDescent="0.25">
      <c r="B548" s="79"/>
      <c r="C548" s="56"/>
      <c r="D548" s="56"/>
      <c r="E548" s="56"/>
      <c r="F548" s="56"/>
      <c r="G548" s="56"/>
      <c r="H548" s="56"/>
    </row>
    <row r="549" spans="2:8" s="25" customFormat="1" x14ac:dyDescent="0.25">
      <c r="B549" s="79"/>
      <c r="C549" s="56"/>
      <c r="D549" s="56"/>
      <c r="E549" s="56"/>
      <c r="F549" s="56"/>
      <c r="G549" s="56"/>
      <c r="H549" s="56"/>
    </row>
    <row r="550" spans="2:8" s="25" customFormat="1" x14ac:dyDescent="0.25">
      <c r="B550" s="79"/>
      <c r="C550" s="56"/>
      <c r="D550" s="56"/>
      <c r="E550" s="56"/>
      <c r="F550" s="56"/>
      <c r="G550" s="56"/>
      <c r="H550" s="56"/>
    </row>
    <row r="551" spans="2:8" s="25" customFormat="1" x14ac:dyDescent="0.25">
      <c r="B551" s="79"/>
      <c r="C551" s="56"/>
      <c r="D551" s="56"/>
      <c r="E551" s="56"/>
      <c r="F551" s="56"/>
      <c r="G551" s="56"/>
      <c r="H551" s="56"/>
    </row>
    <row r="552" spans="2:8" s="25" customFormat="1" x14ac:dyDescent="0.25">
      <c r="B552" s="79"/>
      <c r="C552" s="56"/>
      <c r="D552" s="56"/>
      <c r="E552" s="56"/>
      <c r="F552" s="56"/>
      <c r="G552" s="56"/>
      <c r="H552" s="56"/>
    </row>
    <row r="553" spans="2:8" s="25" customFormat="1" x14ac:dyDescent="0.25">
      <c r="B553" s="79"/>
      <c r="C553" s="56"/>
      <c r="D553" s="56"/>
      <c r="E553" s="56"/>
      <c r="F553" s="56"/>
      <c r="G553" s="56"/>
      <c r="H553" s="56"/>
    </row>
    <row r="554" spans="2:8" s="25" customFormat="1" x14ac:dyDescent="0.25">
      <c r="B554" s="79"/>
      <c r="C554" s="56"/>
      <c r="D554" s="56"/>
      <c r="E554" s="56"/>
      <c r="F554" s="56"/>
      <c r="G554" s="56"/>
      <c r="H554" s="56"/>
    </row>
    <row r="555" spans="2:8" s="25" customFormat="1" x14ac:dyDescent="0.25">
      <c r="B555" s="79"/>
      <c r="C555" s="56"/>
      <c r="D555" s="56"/>
      <c r="E555" s="56"/>
      <c r="F555" s="56"/>
      <c r="G555" s="56"/>
      <c r="H555" s="56"/>
    </row>
    <row r="556" spans="2:8" s="25" customFormat="1" x14ac:dyDescent="0.25">
      <c r="B556" s="79"/>
      <c r="C556" s="56"/>
      <c r="D556" s="56"/>
      <c r="E556" s="56"/>
      <c r="F556" s="56"/>
      <c r="G556" s="56"/>
      <c r="H556" s="56"/>
    </row>
    <row r="557" spans="2:8" s="25" customFormat="1" x14ac:dyDescent="0.25">
      <c r="B557" s="79"/>
      <c r="C557" s="56"/>
      <c r="D557" s="56"/>
      <c r="E557" s="56"/>
      <c r="F557" s="56"/>
      <c r="G557" s="56"/>
      <c r="H557" s="56"/>
    </row>
    <row r="558" spans="2:8" s="25" customFormat="1" x14ac:dyDescent="0.25">
      <c r="B558" s="79"/>
      <c r="C558" s="56"/>
      <c r="D558" s="56"/>
      <c r="E558" s="56"/>
      <c r="F558" s="56"/>
      <c r="G558" s="56"/>
      <c r="H558" s="56"/>
    </row>
    <row r="559" spans="2:8" s="25" customFormat="1" x14ac:dyDescent="0.25">
      <c r="B559" s="79"/>
      <c r="C559" s="56"/>
      <c r="D559" s="56"/>
      <c r="E559" s="56"/>
      <c r="F559" s="56"/>
      <c r="G559" s="56"/>
      <c r="H559" s="56"/>
    </row>
    <row r="560" spans="2:8" s="25" customFormat="1" x14ac:dyDescent="0.25">
      <c r="B560" s="79"/>
      <c r="C560" s="56"/>
      <c r="D560" s="56"/>
      <c r="E560" s="56"/>
      <c r="F560" s="56"/>
      <c r="G560" s="56"/>
      <c r="H560" s="56"/>
    </row>
    <row r="561" spans="2:8" s="25" customFormat="1" x14ac:dyDescent="0.25">
      <c r="B561" s="79"/>
      <c r="C561" s="56"/>
      <c r="D561" s="56"/>
      <c r="E561" s="56"/>
      <c r="F561" s="56"/>
      <c r="G561" s="56"/>
      <c r="H561" s="56"/>
    </row>
    <row r="562" spans="2:8" s="25" customFormat="1" x14ac:dyDescent="0.25">
      <c r="B562" s="79"/>
      <c r="C562" s="56"/>
      <c r="D562" s="56"/>
      <c r="E562" s="56"/>
      <c r="F562" s="56"/>
      <c r="G562" s="56"/>
      <c r="H562" s="56"/>
    </row>
    <row r="563" spans="2:8" s="25" customFormat="1" x14ac:dyDescent="0.25">
      <c r="B563" s="79"/>
      <c r="C563" s="56"/>
      <c r="D563" s="56"/>
      <c r="E563" s="56"/>
      <c r="F563" s="56"/>
      <c r="G563" s="56"/>
      <c r="H563" s="56"/>
    </row>
    <row r="564" spans="2:8" s="25" customFormat="1" x14ac:dyDescent="0.25">
      <c r="B564" s="79"/>
      <c r="C564" s="56"/>
      <c r="D564" s="56"/>
      <c r="E564" s="56"/>
      <c r="F564" s="56"/>
      <c r="G564" s="56"/>
      <c r="H564" s="56"/>
    </row>
    <row r="565" spans="2:8" s="25" customFormat="1" x14ac:dyDescent="0.25">
      <c r="B565" s="79"/>
      <c r="C565" s="56"/>
      <c r="D565" s="56"/>
      <c r="E565" s="56"/>
      <c r="F565" s="56"/>
      <c r="G565" s="56"/>
      <c r="H565" s="56"/>
    </row>
    <row r="566" spans="2:8" s="25" customFormat="1" x14ac:dyDescent="0.25">
      <c r="B566" s="79"/>
      <c r="C566" s="56"/>
      <c r="D566" s="56"/>
      <c r="E566" s="56"/>
      <c r="F566" s="56"/>
      <c r="G566" s="56"/>
      <c r="H566" s="56"/>
    </row>
    <row r="567" spans="2:8" s="25" customFormat="1" x14ac:dyDescent="0.25">
      <c r="B567" s="79"/>
      <c r="C567" s="56"/>
      <c r="D567" s="56"/>
      <c r="E567" s="56"/>
      <c r="F567" s="56"/>
      <c r="G567" s="56"/>
      <c r="H567" s="56"/>
    </row>
    <row r="568" spans="2:8" s="25" customFormat="1" x14ac:dyDescent="0.25">
      <c r="B568" s="79"/>
      <c r="C568" s="56"/>
      <c r="D568" s="56"/>
      <c r="E568" s="56"/>
      <c r="F568" s="56"/>
      <c r="G568" s="56"/>
      <c r="H568" s="56"/>
    </row>
    <row r="569" spans="2:8" s="25" customFormat="1" x14ac:dyDescent="0.25">
      <c r="B569" s="79"/>
      <c r="C569" s="56"/>
      <c r="D569" s="56"/>
      <c r="E569" s="56"/>
      <c r="F569" s="56"/>
      <c r="G569" s="56"/>
      <c r="H569" s="56"/>
    </row>
    <row r="570" spans="2:8" s="25" customFormat="1" x14ac:dyDescent="0.25">
      <c r="B570" s="79"/>
      <c r="C570" s="56"/>
      <c r="D570" s="56"/>
      <c r="E570" s="56"/>
      <c r="F570" s="56"/>
      <c r="G570" s="56"/>
      <c r="H570" s="56"/>
    </row>
    <row r="571" spans="2:8" s="25" customFormat="1" x14ac:dyDescent="0.25">
      <c r="B571" s="79"/>
      <c r="C571" s="56"/>
      <c r="D571" s="56"/>
      <c r="E571" s="56"/>
      <c r="F571" s="56"/>
      <c r="G571" s="56"/>
      <c r="H571" s="56"/>
    </row>
    <row r="572" spans="2:8" s="25" customFormat="1" x14ac:dyDescent="0.25">
      <c r="B572" s="79"/>
      <c r="C572" s="56"/>
      <c r="D572" s="56"/>
      <c r="E572" s="56"/>
      <c r="F572" s="56"/>
      <c r="G572" s="56"/>
      <c r="H572" s="56"/>
    </row>
    <row r="573" spans="2:8" s="25" customFormat="1" x14ac:dyDescent="0.25">
      <c r="B573" s="79"/>
      <c r="C573" s="56"/>
      <c r="D573" s="56"/>
      <c r="E573" s="56"/>
      <c r="F573" s="56"/>
      <c r="G573" s="56"/>
      <c r="H573" s="56"/>
    </row>
    <row r="574" spans="2:8" s="25" customFormat="1" x14ac:dyDescent="0.25">
      <c r="B574" s="79"/>
      <c r="C574" s="56"/>
      <c r="D574" s="56"/>
      <c r="E574" s="56"/>
      <c r="F574" s="56"/>
      <c r="G574" s="56"/>
      <c r="H574" s="56"/>
    </row>
    <row r="575" spans="2:8" s="25" customFormat="1" x14ac:dyDescent="0.25">
      <c r="B575" s="79"/>
      <c r="C575" s="56"/>
      <c r="D575" s="56"/>
      <c r="E575" s="56"/>
      <c r="F575" s="56"/>
      <c r="G575" s="56"/>
      <c r="H575" s="56"/>
    </row>
    <row r="576" spans="2:8" s="25" customFormat="1" x14ac:dyDescent="0.25">
      <c r="B576" s="79"/>
      <c r="C576" s="56"/>
      <c r="D576" s="56"/>
      <c r="E576" s="56"/>
      <c r="F576" s="56"/>
      <c r="G576" s="56"/>
      <c r="H576" s="56"/>
    </row>
    <row r="577" spans="2:8" s="25" customFormat="1" x14ac:dyDescent="0.25">
      <c r="B577" s="79"/>
      <c r="C577" s="56"/>
      <c r="D577" s="56"/>
      <c r="E577" s="56"/>
      <c r="F577" s="56"/>
      <c r="G577" s="56"/>
      <c r="H577" s="56"/>
    </row>
    <row r="578" spans="2:8" s="25" customFormat="1" x14ac:dyDescent="0.25">
      <c r="B578" s="79"/>
      <c r="C578" s="56"/>
      <c r="D578" s="56"/>
      <c r="E578" s="56"/>
      <c r="F578" s="56"/>
      <c r="G578" s="56"/>
      <c r="H578" s="56"/>
    </row>
    <row r="579" spans="2:8" s="25" customFormat="1" x14ac:dyDescent="0.25">
      <c r="B579" s="79"/>
      <c r="C579" s="56"/>
      <c r="D579" s="56"/>
      <c r="E579" s="56"/>
      <c r="F579" s="56"/>
      <c r="G579" s="56"/>
      <c r="H579" s="56"/>
    </row>
    <row r="580" spans="2:8" s="25" customFormat="1" x14ac:dyDescent="0.25">
      <c r="B580" s="79"/>
      <c r="C580" s="56"/>
      <c r="D580" s="56"/>
      <c r="E580" s="56"/>
      <c r="F580" s="56"/>
      <c r="G580" s="56"/>
      <c r="H580" s="56"/>
    </row>
    <row r="581" spans="2:8" s="25" customFormat="1" x14ac:dyDescent="0.25">
      <c r="B581" s="79"/>
      <c r="C581" s="56"/>
      <c r="D581" s="56"/>
      <c r="E581" s="56"/>
      <c r="F581" s="56"/>
      <c r="G581" s="56"/>
      <c r="H581" s="56"/>
    </row>
    <row r="582" spans="2:8" s="25" customFormat="1" x14ac:dyDescent="0.25">
      <c r="B582" s="79"/>
      <c r="C582" s="56"/>
      <c r="D582" s="56"/>
      <c r="E582" s="56"/>
      <c r="F582" s="56"/>
      <c r="G582" s="56"/>
      <c r="H582" s="56"/>
    </row>
    <row r="583" spans="2:8" s="25" customFormat="1" x14ac:dyDescent="0.25">
      <c r="B583" s="79"/>
      <c r="C583" s="56"/>
      <c r="D583" s="56"/>
      <c r="E583" s="56"/>
      <c r="F583" s="56"/>
      <c r="G583" s="56"/>
      <c r="H583" s="56"/>
    </row>
    <row r="584" spans="2:8" s="25" customFormat="1" x14ac:dyDescent="0.25">
      <c r="B584" s="79"/>
      <c r="C584" s="56"/>
      <c r="D584" s="56"/>
      <c r="E584" s="56"/>
      <c r="F584" s="56"/>
      <c r="G584" s="56"/>
      <c r="H584" s="56"/>
    </row>
    <row r="585" spans="2:8" s="25" customFormat="1" x14ac:dyDescent="0.25">
      <c r="B585" s="79"/>
      <c r="C585" s="56"/>
      <c r="D585" s="56"/>
      <c r="E585" s="56"/>
      <c r="F585" s="56"/>
      <c r="G585" s="56"/>
      <c r="H585" s="56"/>
    </row>
    <row r="586" spans="2:8" s="25" customFormat="1" x14ac:dyDescent="0.25">
      <c r="B586" s="79"/>
      <c r="C586" s="56"/>
      <c r="D586" s="56"/>
      <c r="E586" s="56"/>
      <c r="F586" s="56"/>
      <c r="G586" s="56"/>
      <c r="H586" s="56"/>
    </row>
    <row r="587" spans="2:8" s="25" customFormat="1" x14ac:dyDescent="0.25">
      <c r="B587" s="79"/>
      <c r="C587" s="56"/>
      <c r="D587" s="56"/>
      <c r="E587" s="56"/>
      <c r="F587" s="56"/>
      <c r="G587" s="56"/>
      <c r="H587" s="56"/>
    </row>
    <row r="588" spans="2:8" s="25" customFormat="1" x14ac:dyDescent="0.25">
      <c r="B588" s="79"/>
      <c r="C588" s="56"/>
      <c r="D588" s="56"/>
      <c r="E588" s="56"/>
      <c r="F588" s="56"/>
      <c r="G588" s="56"/>
      <c r="H588" s="56"/>
    </row>
    <row r="589" spans="2:8" s="25" customFormat="1" x14ac:dyDescent="0.25">
      <c r="B589" s="79"/>
      <c r="C589" s="56"/>
      <c r="D589" s="56"/>
      <c r="E589" s="56"/>
      <c r="F589" s="56"/>
      <c r="G589" s="56"/>
      <c r="H589" s="56"/>
    </row>
    <row r="590" spans="2:8" s="25" customFormat="1" x14ac:dyDescent="0.25">
      <c r="B590" s="79"/>
      <c r="C590" s="56"/>
      <c r="D590" s="56"/>
      <c r="E590" s="56"/>
      <c r="F590" s="56"/>
      <c r="G590" s="56"/>
      <c r="H590" s="56"/>
    </row>
    <row r="591" spans="2:8" s="25" customFormat="1" x14ac:dyDescent="0.25">
      <c r="B591" s="79"/>
      <c r="C591" s="56"/>
      <c r="D591" s="56"/>
      <c r="E591" s="56"/>
      <c r="F591" s="56"/>
      <c r="G591" s="56"/>
      <c r="H591" s="56"/>
    </row>
    <row r="592" spans="2:8" s="25" customFormat="1" x14ac:dyDescent="0.25">
      <c r="B592" s="79"/>
      <c r="C592" s="56"/>
      <c r="D592" s="56"/>
      <c r="E592" s="56"/>
      <c r="F592" s="56"/>
      <c r="G592" s="56"/>
      <c r="H592" s="56"/>
    </row>
    <row r="593" spans="2:8" s="25" customFormat="1" x14ac:dyDescent="0.25">
      <c r="B593" s="79"/>
      <c r="C593" s="56"/>
      <c r="D593" s="56"/>
      <c r="E593" s="56"/>
      <c r="F593" s="56"/>
      <c r="G593" s="56"/>
      <c r="H593" s="56"/>
    </row>
    <row r="594" spans="2:8" s="25" customFormat="1" x14ac:dyDescent="0.25">
      <c r="B594" s="79"/>
      <c r="C594" s="56"/>
      <c r="D594" s="56"/>
      <c r="E594" s="56"/>
      <c r="F594" s="56"/>
      <c r="G594" s="56"/>
      <c r="H594" s="56"/>
    </row>
    <row r="595" spans="2:8" s="25" customFormat="1" x14ac:dyDescent="0.25">
      <c r="B595" s="79"/>
      <c r="C595" s="56"/>
      <c r="D595" s="56"/>
      <c r="E595" s="56"/>
      <c r="F595" s="56"/>
      <c r="G595" s="56"/>
      <c r="H595" s="56"/>
    </row>
    <row r="596" spans="2:8" s="25" customFormat="1" x14ac:dyDescent="0.25">
      <c r="B596" s="79"/>
      <c r="C596" s="56"/>
      <c r="D596" s="56"/>
      <c r="E596" s="56"/>
      <c r="F596" s="56"/>
      <c r="G596" s="56"/>
      <c r="H596" s="56"/>
    </row>
    <row r="597" spans="2:8" s="25" customFormat="1" x14ac:dyDescent="0.25">
      <c r="B597" s="79"/>
      <c r="C597" s="56"/>
      <c r="D597" s="56"/>
      <c r="E597" s="56"/>
      <c r="F597" s="56"/>
      <c r="G597" s="56"/>
      <c r="H597" s="56"/>
    </row>
    <row r="598" spans="2:8" s="25" customFormat="1" x14ac:dyDescent="0.25">
      <c r="B598" s="79"/>
      <c r="C598" s="56"/>
      <c r="D598" s="56"/>
      <c r="E598" s="56"/>
      <c r="F598" s="56"/>
      <c r="G598" s="56"/>
      <c r="H598" s="56"/>
    </row>
    <row r="599" spans="2:8" s="25" customFormat="1" x14ac:dyDescent="0.25">
      <c r="B599" s="79"/>
      <c r="C599" s="56"/>
      <c r="D599" s="56"/>
      <c r="E599" s="56"/>
      <c r="F599" s="56"/>
      <c r="G599" s="56"/>
      <c r="H599" s="56"/>
    </row>
    <row r="600" spans="2:8" s="25" customFormat="1" x14ac:dyDescent="0.25">
      <c r="B600" s="79"/>
      <c r="C600" s="56"/>
      <c r="D600" s="56"/>
      <c r="E600" s="56"/>
      <c r="F600" s="56"/>
      <c r="G600" s="56"/>
      <c r="H600" s="56"/>
    </row>
    <row r="601" spans="2:8" s="25" customFormat="1" x14ac:dyDescent="0.25">
      <c r="B601" s="79"/>
      <c r="C601" s="56"/>
      <c r="D601" s="56"/>
      <c r="E601" s="56"/>
      <c r="F601" s="56"/>
      <c r="G601" s="56"/>
      <c r="H601" s="56"/>
    </row>
    <row r="602" spans="2:8" s="25" customFormat="1" x14ac:dyDescent="0.25">
      <c r="B602" s="79"/>
      <c r="C602" s="56"/>
      <c r="D602" s="56"/>
      <c r="E602" s="56"/>
      <c r="F602" s="56"/>
      <c r="G602" s="56"/>
      <c r="H602" s="56"/>
    </row>
    <row r="603" spans="2:8" s="25" customFormat="1" x14ac:dyDescent="0.25">
      <c r="B603" s="79"/>
      <c r="C603" s="56"/>
      <c r="D603" s="56"/>
      <c r="E603" s="56"/>
      <c r="F603" s="56"/>
      <c r="G603" s="56"/>
      <c r="H603" s="56"/>
    </row>
    <row r="604" spans="2:8" s="25" customFormat="1" x14ac:dyDescent="0.25">
      <c r="B604" s="79"/>
      <c r="C604" s="56"/>
      <c r="D604" s="56"/>
      <c r="E604" s="56"/>
      <c r="F604" s="56"/>
      <c r="G604" s="56"/>
      <c r="H604" s="56"/>
    </row>
    <row r="605" spans="2:8" s="25" customFormat="1" x14ac:dyDescent="0.25">
      <c r="B605" s="79"/>
      <c r="C605" s="56"/>
      <c r="D605" s="56"/>
      <c r="E605" s="56"/>
      <c r="F605" s="56"/>
      <c r="G605" s="56"/>
      <c r="H605" s="56"/>
    </row>
    <row r="606" spans="2:8" s="25" customFormat="1" x14ac:dyDescent="0.25">
      <c r="B606" s="79"/>
      <c r="C606" s="56"/>
      <c r="D606" s="56"/>
      <c r="E606" s="56"/>
      <c r="F606" s="56"/>
      <c r="G606" s="56"/>
      <c r="H606" s="56"/>
    </row>
    <row r="607" spans="2:8" s="25" customFormat="1" x14ac:dyDescent="0.25">
      <c r="B607" s="79"/>
      <c r="C607" s="56"/>
      <c r="D607" s="56"/>
      <c r="E607" s="56"/>
      <c r="F607" s="56"/>
      <c r="G607" s="56"/>
      <c r="H607" s="56"/>
    </row>
    <row r="608" spans="2:8" s="25" customFormat="1" x14ac:dyDescent="0.25">
      <c r="B608" s="79"/>
      <c r="C608" s="56"/>
      <c r="D608" s="56"/>
      <c r="E608" s="56"/>
      <c r="F608" s="56"/>
      <c r="G608" s="56"/>
      <c r="H608" s="56"/>
    </row>
    <row r="609" spans="2:8" s="25" customFormat="1" x14ac:dyDescent="0.25">
      <c r="B609" s="79"/>
      <c r="C609" s="56"/>
      <c r="D609" s="56"/>
      <c r="E609" s="56"/>
      <c r="F609" s="56"/>
      <c r="G609" s="56"/>
      <c r="H609" s="56"/>
    </row>
    <row r="610" spans="2:8" s="25" customFormat="1" x14ac:dyDescent="0.25">
      <c r="B610" s="79"/>
      <c r="C610" s="56"/>
      <c r="D610" s="56"/>
      <c r="E610" s="56"/>
      <c r="F610" s="56"/>
      <c r="G610" s="56"/>
      <c r="H610" s="56"/>
    </row>
    <row r="611" spans="2:8" s="25" customFormat="1" x14ac:dyDescent="0.25">
      <c r="B611" s="79"/>
      <c r="C611" s="56"/>
      <c r="D611" s="56"/>
      <c r="E611" s="56"/>
      <c r="F611" s="56"/>
      <c r="G611" s="56"/>
      <c r="H611" s="56"/>
    </row>
    <row r="612" spans="2:8" s="25" customFormat="1" x14ac:dyDescent="0.25">
      <c r="B612" s="79"/>
      <c r="C612" s="56"/>
      <c r="D612" s="56"/>
      <c r="E612" s="56"/>
      <c r="F612" s="56"/>
      <c r="G612" s="56"/>
      <c r="H612" s="56"/>
    </row>
    <row r="613" spans="2:8" s="25" customFormat="1" x14ac:dyDescent="0.25">
      <c r="B613" s="79"/>
      <c r="C613" s="56"/>
      <c r="D613" s="56"/>
      <c r="E613" s="56"/>
      <c r="F613" s="56"/>
      <c r="G613" s="56"/>
      <c r="H613" s="56"/>
    </row>
    <row r="614" spans="2:8" s="25" customFormat="1" x14ac:dyDescent="0.25">
      <c r="B614" s="79"/>
      <c r="C614" s="56"/>
      <c r="D614" s="56"/>
      <c r="E614" s="56"/>
      <c r="F614" s="56"/>
      <c r="G614" s="56"/>
      <c r="H614" s="56"/>
    </row>
    <row r="615" spans="2:8" s="25" customFormat="1" x14ac:dyDescent="0.25">
      <c r="B615" s="79"/>
      <c r="C615" s="56"/>
      <c r="D615" s="56"/>
      <c r="E615" s="56"/>
      <c r="F615" s="56"/>
      <c r="G615" s="56"/>
      <c r="H615" s="56"/>
    </row>
    <row r="616" spans="2:8" s="25" customFormat="1" x14ac:dyDescent="0.25">
      <c r="B616" s="79"/>
      <c r="C616" s="56"/>
      <c r="D616" s="56"/>
      <c r="E616" s="56"/>
      <c r="F616" s="56"/>
      <c r="G616" s="56"/>
      <c r="H616" s="56"/>
    </row>
    <row r="617" spans="2:8" s="25" customFormat="1" x14ac:dyDescent="0.25">
      <c r="B617" s="79"/>
      <c r="C617" s="56"/>
      <c r="D617" s="56"/>
      <c r="E617" s="56"/>
      <c r="F617" s="56"/>
      <c r="G617" s="56"/>
      <c r="H617" s="56"/>
    </row>
    <row r="618" spans="2:8" s="25" customFormat="1" x14ac:dyDescent="0.25">
      <c r="B618" s="79"/>
      <c r="C618" s="56"/>
      <c r="D618" s="56"/>
      <c r="E618" s="56"/>
      <c r="F618" s="56"/>
      <c r="G618" s="56"/>
      <c r="H618" s="56"/>
    </row>
    <row r="619" spans="2:8" s="25" customFormat="1" x14ac:dyDescent="0.25">
      <c r="B619" s="79"/>
      <c r="C619" s="56"/>
      <c r="D619" s="56"/>
      <c r="E619" s="56"/>
      <c r="F619" s="56"/>
      <c r="G619" s="56"/>
      <c r="H619" s="56"/>
    </row>
    <row r="620" spans="2:8" s="25" customFormat="1" x14ac:dyDescent="0.25">
      <c r="B620" s="79"/>
      <c r="C620" s="56"/>
      <c r="D620" s="56"/>
      <c r="E620" s="56"/>
      <c r="F620" s="56"/>
      <c r="G620" s="56"/>
      <c r="H620" s="56"/>
    </row>
    <row r="621" spans="2:8" s="25" customFormat="1" x14ac:dyDescent="0.25">
      <c r="B621" s="79"/>
      <c r="C621" s="56"/>
      <c r="D621" s="56"/>
      <c r="E621" s="56"/>
      <c r="F621" s="56"/>
      <c r="G621" s="56"/>
      <c r="H621" s="56"/>
    </row>
    <row r="622" spans="2:8" s="25" customFormat="1" x14ac:dyDescent="0.25">
      <c r="B622" s="79"/>
      <c r="C622" s="56"/>
      <c r="D622" s="56"/>
      <c r="E622" s="56"/>
      <c r="F622" s="56"/>
      <c r="G622" s="56"/>
      <c r="H622" s="56"/>
    </row>
    <row r="623" spans="2:8" s="25" customFormat="1" x14ac:dyDescent="0.25">
      <c r="B623" s="79"/>
      <c r="C623" s="56"/>
      <c r="D623" s="56"/>
      <c r="E623" s="56"/>
      <c r="F623" s="56"/>
      <c r="G623" s="56"/>
      <c r="H623" s="56"/>
    </row>
    <row r="624" spans="2:8" s="25" customFormat="1" x14ac:dyDescent="0.25">
      <c r="B624" s="79"/>
      <c r="C624" s="56"/>
      <c r="D624" s="56"/>
      <c r="E624" s="56"/>
      <c r="F624" s="56"/>
      <c r="G624" s="56"/>
      <c r="H624" s="56"/>
    </row>
    <row r="625" spans="2:8" s="25" customFormat="1" x14ac:dyDescent="0.25">
      <c r="B625" s="79"/>
      <c r="C625" s="56"/>
      <c r="D625" s="56"/>
      <c r="E625" s="56"/>
      <c r="F625" s="56"/>
      <c r="G625" s="56"/>
      <c r="H625" s="56"/>
    </row>
    <row r="626" spans="2:8" s="25" customFormat="1" x14ac:dyDescent="0.25">
      <c r="B626" s="79"/>
      <c r="C626" s="56"/>
      <c r="D626" s="56"/>
      <c r="E626" s="56"/>
      <c r="F626" s="56"/>
      <c r="G626" s="56"/>
      <c r="H626" s="56"/>
    </row>
    <row r="627" spans="2:8" s="25" customFormat="1" x14ac:dyDescent="0.25">
      <c r="B627" s="79"/>
      <c r="C627" s="56"/>
      <c r="D627" s="56"/>
      <c r="E627" s="56"/>
      <c r="F627" s="56"/>
      <c r="G627" s="56"/>
      <c r="H627" s="56"/>
    </row>
    <row r="628" spans="2:8" s="25" customFormat="1" x14ac:dyDescent="0.25">
      <c r="B628" s="79"/>
      <c r="C628" s="56"/>
      <c r="D628" s="56"/>
      <c r="E628" s="56"/>
      <c r="F628" s="56"/>
      <c r="G628" s="56"/>
      <c r="H628" s="56"/>
    </row>
    <row r="629" spans="2:8" s="25" customFormat="1" x14ac:dyDescent="0.25">
      <c r="B629" s="79"/>
      <c r="C629" s="56"/>
      <c r="D629" s="56"/>
      <c r="E629" s="56"/>
      <c r="F629" s="56"/>
      <c r="G629" s="56"/>
      <c r="H629" s="56"/>
    </row>
    <row r="630" spans="2:8" s="25" customFormat="1" x14ac:dyDescent="0.25">
      <c r="B630" s="79"/>
      <c r="C630" s="56"/>
      <c r="D630" s="56"/>
      <c r="E630" s="56"/>
      <c r="F630" s="56"/>
      <c r="G630" s="56"/>
      <c r="H630" s="56"/>
    </row>
    <row r="631" spans="2:8" s="25" customFormat="1" x14ac:dyDescent="0.25">
      <c r="B631" s="79"/>
      <c r="C631" s="56"/>
      <c r="D631" s="56"/>
      <c r="E631" s="56"/>
      <c r="F631" s="56"/>
      <c r="G631" s="56"/>
      <c r="H631" s="56"/>
    </row>
    <row r="632" spans="2:8" s="25" customFormat="1" x14ac:dyDescent="0.25">
      <c r="B632" s="79"/>
      <c r="C632" s="56"/>
      <c r="D632" s="56"/>
      <c r="E632" s="56"/>
      <c r="F632" s="56"/>
      <c r="G632" s="56"/>
      <c r="H632" s="56"/>
    </row>
    <row r="633" spans="2:8" s="25" customFormat="1" x14ac:dyDescent="0.25">
      <c r="B633" s="79"/>
      <c r="C633" s="56"/>
      <c r="D633" s="56"/>
      <c r="E633" s="56"/>
      <c r="F633" s="56"/>
      <c r="G633" s="56"/>
      <c r="H633" s="56"/>
    </row>
    <row r="634" spans="2:8" s="25" customFormat="1" x14ac:dyDescent="0.25">
      <c r="B634" s="79"/>
      <c r="C634" s="56"/>
      <c r="D634" s="56"/>
      <c r="E634" s="56"/>
      <c r="F634" s="56"/>
      <c r="G634" s="56"/>
      <c r="H634" s="56"/>
    </row>
    <row r="635" spans="2:8" s="25" customFormat="1" x14ac:dyDescent="0.25">
      <c r="B635" s="79"/>
      <c r="C635" s="56"/>
      <c r="D635" s="56"/>
      <c r="E635" s="56"/>
      <c r="F635" s="56"/>
      <c r="G635" s="56"/>
      <c r="H635" s="56"/>
    </row>
    <row r="636" spans="2:8" s="25" customFormat="1" x14ac:dyDescent="0.25">
      <c r="B636" s="79"/>
      <c r="C636" s="56"/>
      <c r="D636" s="56"/>
      <c r="E636" s="56"/>
      <c r="F636" s="56"/>
      <c r="G636" s="56"/>
      <c r="H636" s="56"/>
    </row>
    <row r="637" spans="2:8" s="25" customFormat="1" x14ac:dyDescent="0.25">
      <c r="B637" s="79"/>
      <c r="C637" s="56"/>
      <c r="D637" s="56"/>
      <c r="E637" s="56"/>
      <c r="F637" s="56"/>
      <c r="G637" s="56"/>
      <c r="H637" s="56"/>
    </row>
    <row r="638" spans="2:8" s="25" customFormat="1" x14ac:dyDescent="0.25">
      <c r="B638" s="79"/>
      <c r="C638" s="56"/>
      <c r="D638" s="56"/>
      <c r="E638" s="56"/>
      <c r="F638" s="56"/>
      <c r="G638" s="56"/>
      <c r="H638" s="56"/>
    </row>
    <row r="639" spans="2:8" s="25" customFormat="1" x14ac:dyDescent="0.25">
      <c r="B639" s="79"/>
      <c r="C639" s="56"/>
      <c r="D639" s="56"/>
      <c r="E639" s="56"/>
      <c r="F639" s="56"/>
      <c r="G639" s="56"/>
      <c r="H639" s="56"/>
    </row>
    <row r="640" spans="2:8" s="25" customFormat="1" x14ac:dyDescent="0.25">
      <c r="B640" s="79"/>
      <c r="C640" s="56"/>
      <c r="D640" s="56"/>
      <c r="E640" s="56"/>
      <c r="F640" s="56"/>
      <c r="G640" s="56"/>
      <c r="H640" s="56"/>
    </row>
    <row r="641" spans="2:8" s="25" customFormat="1" x14ac:dyDescent="0.25">
      <c r="B641" s="79"/>
      <c r="C641" s="56"/>
      <c r="D641" s="56"/>
      <c r="E641" s="56"/>
      <c r="F641" s="56"/>
      <c r="G641" s="56"/>
      <c r="H641" s="56"/>
    </row>
    <row r="642" spans="2:8" s="25" customFormat="1" x14ac:dyDescent="0.25">
      <c r="B642" s="79"/>
      <c r="C642" s="56"/>
      <c r="D642" s="56"/>
      <c r="E642" s="56"/>
      <c r="F642" s="56"/>
      <c r="G642" s="56"/>
      <c r="H642" s="56"/>
    </row>
    <row r="643" spans="2:8" s="25" customFormat="1" x14ac:dyDescent="0.25">
      <c r="B643" s="79"/>
      <c r="C643" s="56"/>
      <c r="D643" s="56"/>
      <c r="E643" s="56"/>
      <c r="F643" s="56"/>
      <c r="G643" s="56"/>
      <c r="H643" s="56"/>
    </row>
    <row r="644" spans="2:8" s="25" customFormat="1" x14ac:dyDescent="0.25">
      <c r="B644" s="79"/>
      <c r="C644" s="56"/>
      <c r="D644" s="56"/>
      <c r="E644" s="56"/>
      <c r="F644" s="56"/>
      <c r="G644" s="56"/>
      <c r="H644" s="56"/>
    </row>
    <row r="645" spans="2:8" s="25" customFormat="1" x14ac:dyDescent="0.25">
      <c r="B645" s="79"/>
      <c r="C645" s="56"/>
      <c r="D645" s="56"/>
      <c r="E645" s="56"/>
      <c r="F645" s="56"/>
      <c r="G645" s="56"/>
      <c r="H645" s="56"/>
    </row>
    <row r="646" spans="2:8" s="25" customFormat="1" x14ac:dyDescent="0.25">
      <c r="B646" s="79"/>
      <c r="C646" s="56"/>
      <c r="D646" s="56"/>
      <c r="E646" s="56"/>
      <c r="F646" s="56"/>
      <c r="G646" s="56"/>
      <c r="H646" s="56"/>
    </row>
    <row r="647" spans="2:8" s="25" customFormat="1" x14ac:dyDescent="0.25">
      <c r="B647" s="79"/>
      <c r="C647" s="56"/>
      <c r="D647" s="56"/>
      <c r="E647" s="56"/>
      <c r="F647" s="56"/>
      <c r="G647" s="56"/>
      <c r="H647" s="56"/>
    </row>
    <row r="648" spans="2:8" s="25" customFormat="1" x14ac:dyDescent="0.25">
      <c r="B648" s="79"/>
      <c r="C648" s="56"/>
      <c r="D648" s="56"/>
      <c r="E648" s="56"/>
      <c r="F648" s="56"/>
      <c r="G648" s="56"/>
      <c r="H648" s="56"/>
    </row>
    <row r="649" spans="2:8" s="25" customFormat="1" x14ac:dyDescent="0.25">
      <c r="B649" s="79"/>
      <c r="C649" s="56"/>
      <c r="D649" s="56"/>
      <c r="E649" s="56"/>
      <c r="F649" s="56"/>
      <c r="G649" s="56"/>
      <c r="H649" s="56"/>
    </row>
    <row r="650" spans="2:8" s="25" customFormat="1" x14ac:dyDescent="0.25">
      <c r="B650" s="79"/>
      <c r="C650" s="56"/>
      <c r="D650" s="56"/>
      <c r="E650" s="56"/>
      <c r="F650" s="56"/>
      <c r="G650" s="56"/>
      <c r="H650" s="56"/>
    </row>
    <row r="651" spans="2:8" s="25" customFormat="1" x14ac:dyDescent="0.25">
      <c r="B651" s="79"/>
      <c r="C651" s="56"/>
      <c r="D651" s="56"/>
      <c r="E651" s="56"/>
      <c r="F651" s="56"/>
      <c r="G651" s="56"/>
      <c r="H651" s="56"/>
    </row>
    <row r="652" spans="2:8" s="25" customFormat="1" x14ac:dyDescent="0.25">
      <c r="B652" s="79"/>
      <c r="C652" s="56"/>
      <c r="D652" s="56"/>
      <c r="E652" s="56"/>
      <c r="F652" s="56"/>
      <c r="G652" s="56"/>
      <c r="H652" s="56"/>
    </row>
    <row r="653" spans="2:8" s="25" customFormat="1" x14ac:dyDescent="0.25">
      <c r="B653" s="79"/>
      <c r="C653" s="56"/>
      <c r="D653" s="56"/>
      <c r="E653" s="56"/>
      <c r="F653" s="56"/>
      <c r="G653" s="56"/>
      <c r="H653" s="56"/>
    </row>
    <row r="654" spans="2:8" s="25" customFormat="1" x14ac:dyDescent="0.25">
      <c r="B654" s="79"/>
      <c r="C654" s="56"/>
      <c r="D654" s="56"/>
      <c r="E654" s="56"/>
      <c r="F654" s="56"/>
      <c r="G654" s="56"/>
      <c r="H654" s="56"/>
    </row>
    <row r="655" spans="2:8" s="25" customFormat="1" x14ac:dyDescent="0.25">
      <c r="B655" s="79"/>
      <c r="C655" s="56"/>
      <c r="D655" s="56"/>
      <c r="E655" s="56"/>
      <c r="F655" s="56"/>
      <c r="G655" s="56"/>
      <c r="H655" s="56"/>
    </row>
    <row r="656" spans="2:8" s="25" customFormat="1" x14ac:dyDescent="0.25">
      <c r="B656" s="79"/>
      <c r="C656" s="56"/>
      <c r="D656" s="56"/>
      <c r="E656" s="56"/>
      <c r="F656" s="56"/>
      <c r="G656" s="56"/>
      <c r="H656" s="56"/>
    </row>
    <row r="657" spans="2:8" s="25" customFormat="1" x14ac:dyDescent="0.25">
      <c r="B657" s="79"/>
      <c r="C657" s="56"/>
      <c r="D657" s="56"/>
      <c r="E657" s="56"/>
      <c r="F657" s="56"/>
      <c r="G657" s="56"/>
      <c r="H657" s="56"/>
    </row>
    <row r="658" spans="2:8" s="25" customFormat="1" x14ac:dyDescent="0.25">
      <c r="B658" s="79"/>
      <c r="C658" s="56"/>
      <c r="D658" s="56"/>
      <c r="E658" s="56"/>
      <c r="F658" s="56"/>
      <c r="G658" s="56"/>
      <c r="H658" s="56"/>
    </row>
    <row r="659" spans="2:8" s="25" customFormat="1" x14ac:dyDescent="0.25">
      <c r="B659" s="79"/>
      <c r="C659" s="56"/>
      <c r="D659" s="56"/>
      <c r="E659" s="56"/>
      <c r="F659" s="56"/>
      <c r="G659" s="56"/>
      <c r="H659" s="56"/>
    </row>
    <row r="660" spans="2:8" s="25" customFormat="1" x14ac:dyDescent="0.25">
      <c r="B660" s="79"/>
      <c r="C660" s="56"/>
      <c r="D660" s="56"/>
      <c r="E660" s="56"/>
      <c r="F660" s="56"/>
      <c r="G660" s="56"/>
      <c r="H660" s="56"/>
    </row>
    <row r="661" spans="2:8" s="25" customFormat="1" x14ac:dyDescent="0.25">
      <c r="B661" s="79"/>
      <c r="C661" s="56"/>
      <c r="D661" s="56"/>
      <c r="E661" s="56"/>
      <c r="F661" s="56"/>
      <c r="G661" s="56"/>
      <c r="H661" s="56"/>
    </row>
    <row r="662" spans="2:8" s="25" customFormat="1" x14ac:dyDescent="0.25">
      <c r="B662" s="79"/>
      <c r="C662" s="56"/>
      <c r="D662" s="56"/>
      <c r="E662" s="56"/>
      <c r="F662" s="56"/>
      <c r="G662" s="56"/>
      <c r="H662" s="56"/>
    </row>
    <row r="663" spans="2:8" s="25" customFormat="1" x14ac:dyDescent="0.25">
      <c r="B663" s="79"/>
      <c r="C663" s="56"/>
      <c r="D663" s="56"/>
      <c r="E663" s="56"/>
      <c r="F663" s="56"/>
      <c r="G663" s="56"/>
      <c r="H663" s="56"/>
    </row>
    <row r="664" spans="2:8" s="25" customFormat="1" x14ac:dyDescent="0.25">
      <c r="B664" s="79"/>
      <c r="C664" s="56"/>
      <c r="D664" s="56"/>
      <c r="E664" s="56"/>
      <c r="F664" s="56"/>
      <c r="G664" s="56"/>
      <c r="H664" s="56"/>
    </row>
    <row r="665" spans="2:8" s="25" customFormat="1" x14ac:dyDescent="0.25">
      <c r="B665" s="79"/>
      <c r="C665" s="56"/>
      <c r="D665" s="56"/>
      <c r="E665" s="56"/>
      <c r="F665" s="56"/>
      <c r="G665" s="56"/>
      <c r="H665" s="56"/>
    </row>
    <row r="666" spans="2:8" s="25" customFormat="1" x14ac:dyDescent="0.25">
      <c r="B666" s="79"/>
      <c r="C666" s="56"/>
      <c r="D666" s="56"/>
      <c r="E666" s="56"/>
      <c r="F666" s="56"/>
      <c r="G666" s="56"/>
      <c r="H666" s="56"/>
    </row>
    <row r="667" spans="2:8" s="25" customFormat="1" x14ac:dyDescent="0.25">
      <c r="B667" s="79"/>
      <c r="C667" s="56"/>
      <c r="D667" s="56"/>
      <c r="E667" s="56"/>
      <c r="F667" s="56"/>
      <c r="G667" s="56"/>
      <c r="H667" s="56"/>
    </row>
    <row r="668" spans="2:8" s="25" customFormat="1" x14ac:dyDescent="0.25">
      <c r="B668" s="79"/>
      <c r="C668" s="56"/>
      <c r="D668" s="56"/>
      <c r="E668" s="56"/>
      <c r="F668" s="56"/>
      <c r="G668" s="56"/>
      <c r="H668" s="56"/>
    </row>
    <row r="669" spans="2:8" s="25" customFormat="1" x14ac:dyDescent="0.25">
      <c r="B669" s="79"/>
      <c r="C669" s="56"/>
      <c r="D669" s="56"/>
      <c r="E669" s="56"/>
      <c r="F669" s="56"/>
      <c r="G669" s="56"/>
      <c r="H669" s="56"/>
    </row>
    <row r="670" spans="2:8" s="25" customFormat="1" x14ac:dyDescent="0.25">
      <c r="B670" s="79"/>
      <c r="C670" s="56"/>
      <c r="D670" s="56"/>
      <c r="E670" s="56"/>
      <c r="F670" s="56"/>
      <c r="G670" s="56"/>
      <c r="H670" s="56"/>
    </row>
    <row r="671" spans="2:8" s="25" customFormat="1" x14ac:dyDescent="0.25">
      <c r="B671" s="79"/>
      <c r="C671" s="56"/>
      <c r="D671" s="56"/>
      <c r="E671" s="56"/>
      <c r="F671" s="56"/>
      <c r="G671" s="56"/>
      <c r="H671" s="56"/>
    </row>
    <row r="672" spans="2:8" s="25" customFormat="1" x14ac:dyDescent="0.25">
      <c r="B672" s="79"/>
      <c r="C672" s="56"/>
      <c r="D672" s="56"/>
      <c r="E672" s="56"/>
      <c r="F672" s="56"/>
      <c r="G672" s="56"/>
      <c r="H672" s="56"/>
    </row>
    <row r="673" spans="2:8" s="25" customFormat="1" x14ac:dyDescent="0.25">
      <c r="B673" s="79"/>
      <c r="C673" s="56"/>
      <c r="D673" s="56"/>
      <c r="E673" s="56"/>
      <c r="F673" s="56"/>
      <c r="G673" s="56"/>
      <c r="H673" s="56"/>
    </row>
    <row r="674" spans="2:8" s="25" customFormat="1" x14ac:dyDescent="0.25">
      <c r="B674" s="79"/>
      <c r="C674" s="56"/>
      <c r="D674" s="56"/>
      <c r="E674" s="56"/>
      <c r="F674" s="56"/>
      <c r="G674" s="56"/>
      <c r="H674" s="56"/>
    </row>
    <row r="675" spans="2:8" s="25" customFormat="1" x14ac:dyDescent="0.25">
      <c r="B675" s="79"/>
      <c r="C675" s="56"/>
      <c r="D675" s="56"/>
      <c r="E675" s="56"/>
      <c r="F675" s="56"/>
      <c r="G675" s="56"/>
      <c r="H675" s="56"/>
    </row>
    <row r="676" spans="2:8" s="25" customFormat="1" x14ac:dyDescent="0.25">
      <c r="B676" s="79"/>
      <c r="C676" s="56"/>
      <c r="D676" s="56"/>
      <c r="E676" s="56"/>
      <c r="F676" s="56"/>
      <c r="G676" s="56"/>
      <c r="H676" s="56"/>
    </row>
    <row r="677" spans="2:8" s="25" customFormat="1" x14ac:dyDescent="0.25">
      <c r="B677" s="79"/>
      <c r="C677" s="56"/>
      <c r="D677" s="56"/>
      <c r="E677" s="56"/>
      <c r="F677" s="56"/>
      <c r="G677" s="56"/>
      <c r="H677" s="56"/>
    </row>
    <row r="678" spans="2:8" s="25" customFormat="1" x14ac:dyDescent="0.25">
      <c r="B678" s="79"/>
      <c r="C678" s="56"/>
      <c r="D678" s="56"/>
      <c r="E678" s="56"/>
      <c r="F678" s="56"/>
      <c r="G678" s="56"/>
      <c r="H678" s="56"/>
    </row>
    <row r="679" spans="2:8" s="25" customFormat="1" x14ac:dyDescent="0.25">
      <c r="B679" s="79"/>
      <c r="C679" s="56"/>
      <c r="D679" s="56"/>
      <c r="E679" s="56"/>
      <c r="F679" s="56"/>
      <c r="G679" s="56"/>
      <c r="H679" s="56"/>
    </row>
    <row r="680" spans="2:8" s="25" customFormat="1" x14ac:dyDescent="0.25">
      <c r="B680" s="79"/>
      <c r="C680" s="56"/>
      <c r="D680" s="56"/>
      <c r="E680" s="56"/>
      <c r="F680" s="56"/>
      <c r="G680" s="56"/>
      <c r="H680" s="56"/>
    </row>
    <row r="681" spans="2:8" s="25" customFormat="1" x14ac:dyDescent="0.25">
      <c r="B681" s="79"/>
      <c r="C681" s="56"/>
      <c r="D681" s="56"/>
      <c r="E681" s="56"/>
      <c r="F681" s="56"/>
      <c r="G681" s="56"/>
      <c r="H681" s="56"/>
    </row>
    <row r="682" spans="2:8" s="25" customFormat="1" x14ac:dyDescent="0.25">
      <c r="B682" s="79"/>
      <c r="C682" s="56"/>
      <c r="D682" s="56"/>
      <c r="E682" s="56"/>
      <c r="F682" s="56"/>
      <c r="G682" s="56"/>
      <c r="H682" s="56"/>
    </row>
    <row r="683" spans="2:8" s="25" customFormat="1" x14ac:dyDescent="0.25">
      <c r="B683" s="79"/>
      <c r="C683" s="56"/>
      <c r="D683" s="56"/>
      <c r="E683" s="56"/>
      <c r="F683" s="56"/>
      <c r="G683" s="56"/>
      <c r="H683" s="56"/>
    </row>
    <row r="684" spans="2:8" s="25" customFormat="1" x14ac:dyDescent="0.25">
      <c r="B684" s="79"/>
      <c r="C684" s="56"/>
      <c r="D684" s="56"/>
      <c r="E684" s="56"/>
      <c r="F684" s="56"/>
      <c r="G684" s="56"/>
      <c r="H684" s="56"/>
    </row>
    <row r="685" spans="2:8" s="25" customFormat="1" x14ac:dyDescent="0.25">
      <c r="B685" s="79"/>
      <c r="C685" s="56"/>
      <c r="D685" s="56"/>
      <c r="E685" s="56"/>
      <c r="F685" s="56"/>
      <c r="G685" s="56"/>
      <c r="H685" s="56"/>
    </row>
    <row r="686" spans="2:8" s="25" customFormat="1" x14ac:dyDescent="0.25">
      <c r="B686" s="79"/>
      <c r="C686" s="56"/>
      <c r="D686" s="56"/>
      <c r="E686" s="56"/>
      <c r="F686" s="56"/>
      <c r="G686" s="56"/>
      <c r="H686" s="56"/>
    </row>
    <row r="687" spans="2:8" s="25" customFormat="1" x14ac:dyDescent="0.25">
      <c r="B687" s="79"/>
      <c r="C687" s="56"/>
      <c r="D687" s="56"/>
      <c r="E687" s="56"/>
      <c r="F687" s="56"/>
      <c r="G687" s="56"/>
      <c r="H687" s="56"/>
    </row>
    <row r="688" spans="2:8" s="25" customFormat="1" x14ac:dyDescent="0.25">
      <c r="B688" s="79"/>
      <c r="C688" s="56"/>
      <c r="D688" s="56"/>
      <c r="E688" s="56"/>
      <c r="F688" s="56"/>
      <c r="G688" s="56"/>
      <c r="H688" s="56"/>
    </row>
    <row r="689" spans="2:8" s="25" customFormat="1" x14ac:dyDescent="0.25">
      <c r="B689" s="79"/>
      <c r="C689" s="56"/>
      <c r="D689" s="56"/>
      <c r="E689" s="56"/>
      <c r="F689" s="56"/>
      <c r="G689" s="56"/>
      <c r="H689" s="56"/>
    </row>
    <row r="690" spans="2:8" s="25" customFormat="1" x14ac:dyDescent="0.25">
      <c r="B690" s="79"/>
      <c r="C690" s="56"/>
      <c r="D690" s="56"/>
      <c r="E690" s="56"/>
      <c r="F690" s="56"/>
      <c r="G690" s="56"/>
      <c r="H690" s="56"/>
    </row>
    <row r="691" spans="2:8" s="25" customFormat="1" x14ac:dyDescent="0.25">
      <c r="B691" s="79"/>
      <c r="C691" s="56"/>
      <c r="D691" s="56"/>
      <c r="E691" s="56"/>
      <c r="F691" s="56"/>
      <c r="G691" s="56"/>
      <c r="H691" s="56"/>
    </row>
    <row r="692" spans="2:8" s="25" customFormat="1" x14ac:dyDescent="0.25">
      <c r="B692" s="79"/>
      <c r="C692" s="56"/>
      <c r="D692" s="56"/>
      <c r="E692" s="56"/>
      <c r="F692" s="56"/>
      <c r="G692" s="56"/>
      <c r="H692" s="56"/>
    </row>
    <row r="693" spans="2:8" s="25" customFormat="1" x14ac:dyDescent="0.25">
      <c r="B693" s="79"/>
      <c r="C693" s="56"/>
      <c r="D693" s="56"/>
      <c r="E693" s="56"/>
      <c r="F693" s="56"/>
      <c r="G693" s="56"/>
      <c r="H693" s="56"/>
    </row>
    <row r="694" spans="2:8" s="25" customFormat="1" x14ac:dyDescent="0.25">
      <c r="B694" s="79"/>
      <c r="C694" s="56"/>
      <c r="D694" s="56"/>
      <c r="E694" s="56"/>
      <c r="F694" s="56"/>
      <c r="G694" s="56"/>
      <c r="H694" s="56"/>
    </row>
    <row r="695" spans="2:8" s="25" customFormat="1" x14ac:dyDescent="0.25">
      <c r="B695" s="79"/>
      <c r="C695" s="56"/>
      <c r="D695" s="56"/>
      <c r="E695" s="56"/>
      <c r="F695" s="56"/>
      <c r="G695" s="56"/>
      <c r="H695" s="56"/>
    </row>
    <row r="696" spans="2:8" s="25" customFormat="1" x14ac:dyDescent="0.25">
      <c r="B696" s="79"/>
      <c r="C696" s="56"/>
      <c r="D696" s="56"/>
      <c r="E696" s="56"/>
      <c r="F696" s="56"/>
      <c r="G696" s="56"/>
      <c r="H696" s="56"/>
    </row>
    <row r="697" spans="2:8" s="25" customFormat="1" x14ac:dyDescent="0.25">
      <c r="B697" s="79"/>
      <c r="C697" s="56"/>
      <c r="D697" s="56"/>
      <c r="E697" s="56"/>
      <c r="F697" s="56"/>
      <c r="G697" s="56"/>
      <c r="H697" s="56"/>
    </row>
    <row r="698" spans="2:8" s="25" customFormat="1" x14ac:dyDescent="0.25">
      <c r="B698" s="79"/>
      <c r="C698" s="56"/>
      <c r="D698" s="56"/>
      <c r="E698" s="56"/>
      <c r="F698" s="56"/>
      <c r="G698" s="56"/>
      <c r="H698" s="56"/>
    </row>
    <row r="699" spans="2:8" s="25" customFormat="1" x14ac:dyDescent="0.25">
      <c r="B699" s="79"/>
      <c r="C699" s="56"/>
      <c r="D699" s="56"/>
      <c r="E699" s="56"/>
      <c r="F699" s="56"/>
      <c r="G699" s="56"/>
      <c r="H699" s="56"/>
    </row>
    <row r="700" spans="2:8" s="25" customFormat="1" x14ac:dyDescent="0.25">
      <c r="B700" s="79"/>
      <c r="C700" s="56"/>
      <c r="D700" s="56"/>
      <c r="E700" s="56"/>
      <c r="F700" s="56"/>
      <c r="G700" s="56"/>
      <c r="H700" s="56"/>
    </row>
    <row r="701" spans="2:8" s="25" customFormat="1" x14ac:dyDescent="0.25">
      <c r="B701" s="79"/>
      <c r="C701" s="56"/>
      <c r="D701" s="56"/>
      <c r="E701" s="56"/>
      <c r="F701" s="56"/>
      <c r="G701" s="56"/>
      <c r="H701" s="56"/>
    </row>
    <row r="702" spans="2:8" s="25" customFormat="1" x14ac:dyDescent="0.25">
      <c r="B702" s="79"/>
      <c r="C702" s="56"/>
      <c r="D702" s="56"/>
      <c r="E702" s="56"/>
      <c r="F702" s="56"/>
      <c r="G702" s="56"/>
      <c r="H702" s="56"/>
    </row>
    <row r="703" spans="2:8" s="25" customFormat="1" x14ac:dyDescent="0.25">
      <c r="B703" s="79"/>
      <c r="C703" s="56"/>
      <c r="D703" s="56"/>
      <c r="E703" s="56"/>
      <c r="F703" s="56"/>
      <c r="G703" s="56"/>
      <c r="H703" s="56"/>
    </row>
    <row r="704" spans="2:8" s="25" customFormat="1" x14ac:dyDescent="0.25">
      <c r="B704" s="79"/>
      <c r="C704" s="56"/>
      <c r="D704" s="56"/>
      <c r="E704" s="56"/>
      <c r="F704" s="56"/>
      <c r="G704" s="56"/>
      <c r="H704" s="56"/>
    </row>
    <row r="705" spans="2:8" s="25" customFormat="1" x14ac:dyDescent="0.25">
      <c r="B705" s="79"/>
      <c r="C705" s="56"/>
      <c r="D705" s="56"/>
      <c r="E705" s="56"/>
      <c r="F705" s="56"/>
      <c r="G705" s="56"/>
      <c r="H705" s="56"/>
    </row>
    <row r="706" spans="2:8" s="25" customFormat="1" x14ac:dyDescent="0.25">
      <c r="B706" s="79"/>
      <c r="C706" s="56"/>
      <c r="D706" s="56"/>
      <c r="E706" s="56"/>
      <c r="F706" s="56"/>
      <c r="G706" s="56"/>
      <c r="H706" s="56"/>
    </row>
    <row r="707" spans="2:8" s="25" customFormat="1" x14ac:dyDescent="0.25">
      <c r="B707" s="79"/>
      <c r="C707" s="56"/>
      <c r="D707" s="56"/>
      <c r="E707" s="56"/>
      <c r="F707" s="56"/>
      <c r="G707" s="56"/>
      <c r="H707" s="56"/>
    </row>
    <row r="708" spans="2:8" s="25" customFormat="1" x14ac:dyDescent="0.25">
      <c r="B708" s="79"/>
      <c r="C708" s="56"/>
      <c r="D708" s="56"/>
      <c r="E708" s="56"/>
      <c r="F708" s="56"/>
      <c r="G708" s="56"/>
      <c r="H708" s="56"/>
    </row>
    <row r="709" spans="2:8" s="25" customFormat="1" x14ac:dyDescent="0.25">
      <c r="B709" s="79"/>
      <c r="C709" s="56"/>
      <c r="D709" s="56"/>
      <c r="E709" s="56"/>
      <c r="F709" s="56"/>
      <c r="G709" s="56"/>
      <c r="H709" s="56"/>
    </row>
    <row r="710" spans="2:8" s="25" customFormat="1" x14ac:dyDescent="0.25">
      <c r="B710" s="79"/>
      <c r="C710" s="56"/>
      <c r="D710" s="56"/>
      <c r="E710" s="56"/>
      <c r="F710" s="56"/>
      <c r="G710" s="56"/>
      <c r="H710" s="56"/>
    </row>
    <row r="711" spans="2:8" s="25" customFormat="1" x14ac:dyDescent="0.25">
      <c r="B711" s="79"/>
      <c r="C711" s="56"/>
      <c r="D711" s="56"/>
      <c r="E711" s="56"/>
      <c r="F711" s="56"/>
      <c r="G711" s="56"/>
      <c r="H711" s="56"/>
    </row>
    <row r="712" spans="2:8" s="25" customFormat="1" x14ac:dyDescent="0.25">
      <c r="B712" s="79"/>
      <c r="C712" s="56"/>
      <c r="D712" s="56"/>
      <c r="E712" s="56"/>
      <c r="F712" s="56"/>
      <c r="G712" s="56"/>
      <c r="H712" s="56"/>
    </row>
    <row r="713" spans="2:8" s="25" customFormat="1" x14ac:dyDescent="0.25">
      <c r="B713" s="79"/>
      <c r="C713" s="56"/>
      <c r="D713" s="56"/>
      <c r="E713" s="56"/>
      <c r="F713" s="56"/>
      <c r="G713" s="56"/>
      <c r="H713" s="56"/>
    </row>
    <row r="714" spans="2:8" s="25" customFormat="1" x14ac:dyDescent="0.25">
      <c r="B714" s="79"/>
      <c r="C714" s="56"/>
      <c r="D714" s="56"/>
      <c r="E714" s="56"/>
      <c r="F714" s="56"/>
      <c r="G714" s="56"/>
      <c r="H714" s="56"/>
    </row>
    <row r="715" spans="2:8" s="25" customFormat="1" x14ac:dyDescent="0.25">
      <c r="B715" s="79"/>
      <c r="C715" s="56"/>
      <c r="D715" s="56"/>
      <c r="E715" s="56"/>
      <c r="F715" s="56"/>
      <c r="G715" s="56"/>
      <c r="H715" s="56"/>
    </row>
    <row r="716" spans="2:8" s="25" customFormat="1" x14ac:dyDescent="0.25">
      <c r="B716" s="79"/>
      <c r="C716" s="56"/>
      <c r="D716" s="56"/>
      <c r="E716" s="56"/>
      <c r="F716" s="56"/>
      <c r="G716" s="56"/>
      <c r="H716" s="56"/>
    </row>
    <row r="717" spans="2:8" s="25" customFormat="1" x14ac:dyDescent="0.25">
      <c r="B717" s="79"/>
      <c r="C717" s="56"/>
      <c r="D717" s="56"/>
      <c r="E717" s="56"/>
      <c r="F717" s="56"/>
      <c r="G717" s="56"/>
      <c r="H717" s="56"/>
    </row>
    <row r="718" spans="2:8" s="25" customFormat="1" x14ac:dyDescent="0.25">
      <c r="B718" s="79"/>
      <c r="C718" s="56"/>
      <c r="D718" s="56"/>
      <c r="E718" s="56"/>
      <c r="F718" s="56"/>
      <c r="G718" s="56"/>
      <c r="H718" s="56"/>
    </row>
    <row r="719" spans="2:8" s="25" customFormat="1" x14ac:dyDescent="0.25">
      <c r="B719" s="79"/>
      <c r="C719" s="56"/>
      <c r="D719" s="56"/>
      <c r="E719" s="56"/>
      <c r="F719" s="56"/>
      <c r="G719" s="56"/>
      <c r="H719" s="56"/>
    </row>
    <row r="720" spans="2:8" s="25" customFormat="1" x14ac:dyDescent="0.25">
      <c r="B720" s="79"/>
      <c r="C720" s="56"/>
      <c r="D720" s="56"/>
      <c r="E720" s="56"/>
      <c r="F720" s="56"/>
      <c r="G720" s="56"/>
      <c r="H720" s="56"/>
    </row>
    <row r="721" spans="2:8" s="25" customFormat="1" x14ac:dyDescent="0.25">
      <c r="B721" s="79"/>
      <c r="C721" s="56"/>
      <c r="D721" s="56"/>
      <c r="E721" s="56"/>
      <c r="F721" s="56"/>
      <c r="G721" s="56"/>
      <c r="H721" s="56"/>
    </row>
    <row r="722" spans="2:8" s="25" customFormat="1" x14ac:dyDescent="0.25">
      <c r="B722" s="79"/>
      <c r="C722" s="56"/>
      <c r="D722" s="56"/>
      <c r="E722" s="56"/>
      <c r="F722" s="56"/>
      <c r="G722" s="56"/>
      <c r="H722" s="56"/>
    </row>
    <row r="723" spans="2:8" s="25" customFormat="1" x14ac:dyDescent="0.25">
      <c r="B723" s="79"/>
      <c r="C723" s="56"/>
      <c r="D723" s="56"/>
      <c r="E723" s="56"/>
      <c r="F723" s="56"/>
      <c r="G723" s="56"/>
      <c r="H723" s="56"/>
    </row>
    <row r="724" spans="2:8" s="25" customFormat="1" x14ac:dyDescent="0.25">
      <c r="B724" s="79"/>
      <c r="C724" s="56"/>
      <c r="D724" s="56"/>
      <c r="E724" s="56"/>
      <c r="F724" s="56"/>
      <c r="G724" s="56"/>
      <c r="H724" s="56"/>
    </row>
    <row r="725" spans="2:8" s="25" customFormat="1" x14ac:dyDescent="0.25">
      <c r="B725" s="79"/>
      <c r="C725" s="56"/>
      <c r="D725" s="56"/>
      <c r="E725" s="56"/>
      <c r="F725" s="56"/>
      <c r="G725" s="56"/>
      <c r="H725" s="56"/>
    </row>
    <row r="726" spans="2:8" s="25" customFormat="1" x14ac:dyDescent="0.25">
      <c r="B726" s="79"/>
      <c r="C726" s="56"/>
      <c r="D726" s="56"/>
      <c r="E726" s="56"/>
      <c r="F726" s="56"/>
      <c r="G726" s="56"/>
      <c r="H726" s="56"/>
    </row>
    <row r="727" spans="2:8" s="25" customFormat="1" x14ac:dyDescent="0.25">
      <c r="B727" s="79"/>
      <c r="C727" s="56"/>
      <c r="D727" s="56"/>
      <c r="E727" s="56"/>
      <c r="F727" s="56"/>
      <c r="G727" s="56"/>
      <c r="H727" s="56"/>
    </row>
    <row r="728" spans="2:8" s="25" customFormat="1" x14ac:dyDescent="0.25">
      <c r="B728" s="79"/>
      <c r="C728" s="56"/>
      <c r="D728" s="56"/>
      <c r="E728" s="56"/>
      <c r="F728" s="56"/>
      <c r="G728" s="56"/>
      <c r="H728" s="56"/>
    </row>
    <row r="729" spans="2:8" s="25" customFormat="1" x14ac:dyDescent="0.25">
      <c r="B729" s="79"/>
      <c r="C729" s="56"/>
      <c r="D729" s="56"/>
      <c r="E729" s="56"/>
      <c r="F729" s="56"/>
      <c r="G729" s="56"/>
      <c r="H729" s="56"/>
    </row>
    <row r="730" spans="2:8" s="25" customFormat="1" x14ac:dyDescent="0.25">
      <c r="B730" s="79"/>
      <c r="C730" s="56"/>
      <c r="D730" s="56"/>
      <c r="E730" s="56"/>
      <c r="F730" s="56"/>
      <c r="G730" s="56"/>
      <c r="H730" s="56"/>
    </row>
    <row r="731" spans="2:8" s="25" customFormat="1" x14ac:dyDescent="0.25">
      <c r="B731" s="79"/>
      <c r="C731" s="56"/>
      <c r="D731" s="56"/>
      <c r="E731" s="56"/>
      <c r="F731" s="56"/>
      <c r="G731" s="56"/>
      <c r="H731" s="56"/>
    </row>
    <row r="732" spans="2:8" s="25" customFormat="1" x14ac:dyDescent="0.25">
      <c r="B732" s="79"/>
      <c r="C732" s="56"/>
      <c r="D732" s="56"/>
      <c r="E732" s="56"/>
      <c r="F732" s="56"/>
      <c r="G732" s="56"/>
      <c r="H732" s="56"/>
    </row>
    <row r="733" spans="2:8" s="25" customFormat="1" x14ac:dyDescent="0.25">
      <c r="B733" s="79"/>
      <c r="C733" s="56"/>
      <c r="D733" s="56"/>
      <c r="E733" s="56"/>
      <c r="F733" s="56"/>
      <c r="G733" s="56"/>
      <c r="H733" s="56"/>
    </row>
    <row r="734" spans="2:8" s="25" customFormat="1" x14ac:dyDescent="0.25">
      <c r="B734" s="79"/>
      <c r="C734" s="56"/>
      <c r="D734" s="56"/>
      <c r="E734" s="56"/>
      <c r="F734" s="56"/>
      <c r="G734" s="56"/>
      <c r="H734" s="56"/>
    </row>
    <row r="735" spans="2:8" s="25" customFormat="1" x14ac:dyDescent="0.25">
      <c r="B735" s="79"/>
      <c r="C735" s="56"/>
      <c r="D735" s="56"/>
      <c r="E735" s="56"/>
      <c r="F735" s="56"/>
      <c r="G735" s="56"/>
      <c r="H735" s="56"/>
    </row>
    <row r="736" spans="2:8" s="25" customFormat="1" x14ac:dyDescent="0.25">
      <c r="B736" s="79"/>
      <c r="C736" s="56"/>
      <c r="D736" s="56"/>
      <c r="E736" s="56"/>
      <c r="F736" s="56"/>
      <c r="G736" s="56"/>
      <c r="H736" s="56"/>
    </row>
    <row r="737" spans="2:8" s="25" customFormat="1" x14ac:dyDescent="0.25">
      <c r="B737" s="79"/>
      <c r="C737" s="56"/>
      <c r="D737" s="56"/>
      <c r="E737" s="56"/>
      <c r="F737" s="56"/>
      <c r="G737" s="56"/>
      <c r="H737" s="56"/>
    </row>
    <row r="738" spans="2:8" s="25" customFormat="1" x14ac:dyDescent="0.25">
      <c r="B738" s="79"/>
      <c r="C738" s="56"/>
      <c r="D738" s="56"/>
      <c r="E738" s="56"/>
      <c r="F738" s="56"/>
      <c r="G738" s="56"/>
      <c r="H738" s="56"/>
    </row>
    <row r="739" spans="2:8" s="25" customFormat="1" x14ac:dyDescent="0.25">
      <c r="B739" s="79"/>
      <c r="C739" s="56"/>
      <c r="D739" s="56"/>
      <c r="E739" s="56"/>
      <c r="F739" s="56"/>
      <c r="G739" s="56"/>
      <c r="H739" s="56"/>
    </row>
    <row r="740" spans="2:8" s="25" customFormat="1" x14ac:dyDescent="0.25">
      <c r="B740" s="79"/>
      <c r="C740" s="56"/>
      <c r="D740" s="56"/>
      <c r="E740" s="56"/>
      <c r="F740" s="56"/>
      <c r="G740" s="56"/>
      <c r="H740" s="56"/>
    </row>
    <row r="741" spans="2:8" s="25" customFormat="1" x14ac:dyDescent="0.25">
      <c r="B741" s="79"/>
      <c r="C741" s="56"/>
      <c r="D741" s="56"/>
      <c r="E741" s="56"/>
      <c r="F741" s="56"/>
      <c r="G741" s="56"/>
      <c r="H741" s="56"/>
    </row>
    <row r="742" spans="2:8" s="25" customFormat="1" x14ac:dyDescent="0.25">
      <c r="B742" s="79"/>
      <c r="C742" s="56"/>
      <c r="D742" s="56"/>
      <c r="E742" s="56"/>
      <c r="F742" s="56"/>
      <c r="G742" s="56"/>
      <c r="H742" s="56"/>
    </row>
    <row r="743" spans="2:8" s="25" customFormat="1" x14ac:dyDescent="0.25">
      <c r="B743" s="79"/>
      <c r="C743" s="56"/>
      <c r="D743" s="56"/>
      <c r="E743" s="56"/>
      <c r="F743" s="56"/>
      <c r="G743" s="56"/>
      <c r="H743" s="56"/>
    </row>
    <row r="744" spans="2:8" s="25" customFormat="1" x14ac:dyDescent="0.25">
      <c r="B744" s="79"/>
      <c r="C744" s="56"/>
      <c r="D744" s="56"/>
      <c r="E744" s="56"/>
      <c r="F744" s="56"/>
      <c r="G744" s="56"/>
      <c r="H744" s="56"/>
    </row>
    <row r="745" spans="2:8" s="25" customFormat="1" x14ac:dyDescent="0.25">
      <c r="B745" s="79"/>
      <c r="C745" s="56"/>
      <c r="D745" s="56"/>
      <c r="E745" s="56"/>
      <c r="F745" s="56"/>
      <c r="G745" s="56"/>
      <c r="H745" s="56"/>
    </row>
    <row r="746" spans="2:8" s="25" customFormat="1" x14ac:dyDescent="0.25">
      <c r="B746" s="79"/>
      <c r="C746" s="56"/>
      <c r="D746" s="56"/>
      <c r="E746" s="56"/>
      <c r="F746" s="56"/>
      <c r="G746" s="56"/>
      <c r="H746" s="56"/>
    </row>
    <row r="747" spans="2:8" s="25" customFormat="1" x14ac:dyDescent="0.25">
      <c r="B747" s="79"/>
      <c r="C747" s="56"/>
      <c r="D747" s="56"/>
      <c r="E747" s="56"/>
      <c r="F747" s="56"/>
      <c r="G747" s="56"/>
      <c r="H747" s="56"/>
    </row>
    <row r="748" spans="2:8" s="25" customFormat="1" x14ac:dyDescent="0.25">
      <c r="B748" s="79"/>
      <c r="C748" s="56"/>
      <c r="D748" s="56"/>
      <c r="E748" s="56"/>
      <c r="F748" s="56"/>
      <c r="G748" s="56"/>
      <c r="H748" s="56"/>
    </row>
    <row r="749" spans="2:8" s="25" customFormat="1" x14ac:dyDescent="0.25">
      <c r="B749" s="79"/>
      <c r="C749" s="56"/>
      <c r="D749" s="56"/>
      <c r="E749" s="56"/>
      <c r="F749" s="56"/>
      <c r="G749" s="56"/>
      <c r="H749" s="56"/>
    </row>
    <row r="750" spans="2:8" s="25" customFormat="1" x14ac:dyDescent="0.25">
      <c r="B750" s="79"/>
      <c r="C750" s="56"/>
      <c r="D750" s="56"/>
      <c r="E750" s="56"/>
      <c r="F750" s="56"/>
      <c r="G750" s="56"/>
      <c r="H750" s="56"/>
    </row>
    <row r="751" spans="2:8" s="25" customFormat="1" x14ac:dyDescent="0.25">
      <c r="B751" s="79"/>
      <c r="C751" s="56"/>
      <c r="D751" s="56"/>
      <c r="E751" s="56"/>
      <c r="F751" s="56"/>
      <c r="G751" s="56"/>
      <c r="H751" s="56"/>
    </row>
    <row r="752" spans="2:8" s="25" customFormat="1" x14ac:dyDescent="0.25">
      <c r="B752" s="79"/>
      <c r="C752" s="56"/>
      <c r="D752" s="56"/>
      <c r="E752" s="56"/>
      <c r="F752" s="56"/>
      <c r="G752" s="56"/>
      <c r="H752" s="56"/>
    </row>
    <row r="753" spans="2:8" s="25" customFormat="1" x14ac:dyDescent="0.25">
      <c r="B753" s="79"/>
      <c r="C753" s="56"/>
      <c r="D753" s="56"/>
      <c r="E753" s="56"/>
      <c r="F753" s="56"/>
      <c r="G753" s="56"/>
      <c r="H753" s="56"/>
    </row>
    <row r="754" spans="2:8" s="25" customFormat="1" x14ac:dyDescent="0.25">
      <c r="B754" s="79"/>
      <c r="C754" s="56"/>
      <c r="D754" s="56"/>
      <c r="E754" s="56"/>
      <c r="F754" s="56"/>
      <c r="G754" s="56"/>
      <c r="H754" s="56"/>
    </row>
    <row r="755" spans="2:8" s="25" customFormat="1" x14ac:dyDescent="0.25">
      <c r="B755" s="79"/>
      <c r="C755" s="56"/>
      <c r="D755" s="56"/>
      <c r="E755" s="56"/>
      <c r="F755" s="56"/>
      <c r="G755" s="56"/>
      <c r="H755" s="56"/>
    </row>
    <row r="756" spans="2:8" s="25" customFormat="1" x14ac:dyDescent="0.25">
      <c r="B756" s="79"/>
      <c r="C756" s="56"/>
      <c r="D756" s="56"/>
      <c r="E756" s="56"/>
      <c r="F756" s="56"/>
      <c r="G756" s="56"/>
      <c r="H756" s="56"/>
    </row>
    <row r="757" spans="2:8" s="25" customFormat="1" x14ac:dyDescent="0.25">
      <c r="B757" s="79"/>
      <c r="C757" s="56"/>
      <c r="D757" s="56"/>
      <c r="E757" s="56"/>
      <c r="F757" s="56"/>
      <c r="G757" s="56"/>
      <c r="H757" s="56"/>
    </row>
    <row r="758" spans="2:8" s="25" customFormat="1" x14ac:dyDescent="0.25">
      <c r="B758" s="79"/>
      <c r="C758" s="56"/>
      <c r="D758" s="56"/>
      <c r="E758" s="56"/>
      <c r="F758" s="56"/>
      <c r="G758" s="56"/>
      <c r="H758" s="56"/>
    </row>
    <row r="759" spans="2:8" s="25" customFormat="1" x14ac:dyDescent="0.25">
      <c r="B759" s="79"/>
      <c r="C759" s="56"/>
      <c r="D759" s="56"/>
      <c r="E759" s="56"/>
      <c r="F759" s="56"/>
      <c r="G759" s="56"/>
      <c r="H759" s="56"/>
    </row>
    <row r="760" spans="2:8" s="25" customFormat="1" x14ac:dyDescent="0.25">
      <c r="B760" s="79"/>
      <c r="C760" s="56"/>
      <c r="D760" s="56"/>
      <c r="E760" s="56"/>
      <c r="F760" s="56"/>
      <c r="G760" s="56"/>
      <c r="H760" s="56"/>
    </row>
    <row r="761" spans="2:8" s="25" customFormat="1" x14ac:dyDescent="0.25">
      <c r="B761" s="79"/>
      <c r="C761" s="56"/>
      <c r="D761" s="56"/>
      <c r="E761" s="56"/>
      <c r="F761" s="56"/>
      <c r="G761" s="56"/>
      <c r="H761" s="56"/>
    </row>
    <row r="762" spans="2:8" s="25" customFormat="1" x14ac:dyDescent="0.25">
      <c r="B762" s="79"/>
      <c r="C762" s="56"/>
      <c r="D762" s="56"/>
      <c r="E762" s="56"/>
      <c r="F762" s="56"/>
      <c r="G762" s="56"/>
      <c r="H762" s="56"/>
    </row>
    <row r="763" spans="2:8" s="25" customFormat="1" x14ac:dyDescent="0.25">
      <c r="B763" s="79"/>
      <c r="C763" s="56"/>
      <c r="D763" s="56"/>
      <c r="E763" s="56"/>
      <c r="F763" s="56"/>
      <c r="G763" s="56"/>
      <c r="H763" s="56"/>
    </row>
    <row r="764" spans="2:8" s="25" customFormat="1" x14ac:dyDescent="0.25">
      <c r="B764" s="79"/>
      <c r="C764" s="56"/>
      <c r="D764" s="56"/>
      <c r="E764" s="56"/>
      <c r="F764" s="56"/>
      <c r="G764" s="56"/>
      <c r="H764" s="56"/>
    </row>
    <row r="765" spans="2:8" s="25" customFormat="1" x14ac:dyDescent="0.25">
      <c r="B765" s="79"/>
      <c r="C765" s="56"/>
      <c r="D765" s="56"/>
      <c r="E765" s="56"/>
      <c r="F765" s="56"/>
      <c r="G765" s="56"/>
      <c r="H765" s="56"/>
    </row>
    <row r="766" spans="2:8" s="25" customFormat="1" x14ac:dyDescent="0.25">
      <c r="B766" s="79"/>
      <c r="C766" s="56"/>
      <c r="D766" s="56"/>
      <c r="E766" s="56"/>
      <c r="F766" s="56"/>
      <c r="G766" s="56"/>
      <c r="H766" s="56"/>
    </row>
    <row r="767" spans="2:8" s="25" customFormat="1" x14ac:dyDescent="0.25">
      <c r="B767" s="79"/>
      <c r="C767" s="56"/>
      <c r="D767" s="56"/>
      <c r="E767" s="56"/>
      <c r="F767" s="56"/>
      <c r="G767" s="56"/>
      <c r="H767" s="56"/>
    </row>
    <row r="768" spans="2:8" s="25" customFormat="1" x14ac:dyDescent="0.25">
      <c r="B768" s="79"/>
      <c r="C768" s="56"/>
      <c r="D768" s="56"/>
      <c r="E768" s="56"/>
      <c r="F768" s="56"/>
      <c r="G768" s="56"/>
      <c r="H768" s="56"/>
    </row>
    <row r="769" spans="2:8" s="25" customFormat="1" x14ac:dyDescent="0.25">
      <c r="B769" s="79"/>
      <c r="C769" s="56"/>
      <c r="D769" s="56"/>
      <c r="E769" s="56"/>
      <c r="F769" s="56"/>
      <c r="G769" s="56"/>
      <c r="H769" s="56"/>
    </row>
    <row r="770" spans="2:8" s="25" customFormat="1" x14ac:dyDescent="0.25">
      <c r="B770" s="79"/>
      <c r="C770" s="56"/>
      <c r="D770" s="56"/>
      <c r="E770" s="56"/>
      <c r="F770" s="56"/>
      <c r="G770" s="56"/>
      <c r="H770" s="56"/>
    </row>
    <row r="771" spans="2:8" s="25" customFormat="1" x14ac:dyDescent="0.25">
      <c r="B771" s="79"/>
      <c r="C771" s="56"/>
      <c r="D771" s="56"/>
      <c r="E771" s="56"/>
      <c r="F771" s="56"/>
      <c r="G771" s="56"/>
      <c r="H771" s="56"/>
    </row>
    <row r="772" spans="2:8" s="25" customFormat="1" x14ac:dyDescent="0.25">
      <c r="B772" s="79"/>
      <c r="C772" s="56"/>
      <c r="D772" s="56"/>
      <c r="E772" s="56"/>
      <c r="F772" s="56"/>
      <c r="G772" s="56"/>
      <c r="H772" s="56"/>
    </row>
    <row r="773" spans="2:8" s="25" customFormat="1" x14ac:dyDescent="0.25">
      <c r="B773" s="79"/>
      <c r="C773" s="56"/>
      <c r="D773" s="56"/>
      <c r="E773" s="56"/>
      <c r="F773" s="56"/>
      <c r="G773" s="56"/>
      <c r="H773" s="56"/>
    </row>
    <row r="774" spans="2:8" s="25" customFormat="1" x14ac:dyDescent="0.25">
      <c r="B774" s="79"/>
      <c r="C774" s="56"/>
      <c r="D774" s="56"/>
      <c r="E774" s="56"/>
      <c r="F774" s="56"/>
      <c r="G774" s="56"/>
      <c r="H774" s="56"/>
    </row>
    <row r="775" spans="2:8" s="25" customFormat="1" x14ac:dyDescent="0.25">
      <c r="B775" s="79"/>
      <c r="C775" s="56"/>
      <c r="D775" s="56"/>
      <c r="E775" s="56"/>
      <c r="F775" s="56"/>
      <c r="G775" s="56"/>
      <c r="H775" s="56"/>
    </row>
    <row r="776" spans="2:8" s="25" customFormat="1" x14ac:dyDescent="0.25">
      <c r="B776" s="79"/>
      <c r="C776" s="56"/>
      <c r="D776" s="56"/>
      <c r="E776" s="56"/>
      <c r="F776" s="56"/>
      <c r="G776" s="56"/>
      <c r="H776" s="56"/>
    </row>
    <row r="777" spans="2:8" s="25" customFormat="1" x14ac:dyDescent="0.25">
      <c r="B777" s="79"/>
      <c r="C777" s="56"/>
      <c r="D777" s="56"/>
      <c r="E777" s="56"/>
      <c r="F777" s="56"/>
      <c r="G777" s="56"/>
      <c r="H777" s="56"/>
    </row>
    <row r="778" spans="2:8" s="25" customFormat="1" x14ac:dyDescent="0.25">
      <c r="B778" s="79"/>
      <c r="C778" s="56"/>
      <c r="D778" s="56"/>
      <c r="E778" s="56"/>
      <c r="F778" s="56"/>
      <c r="G778" s="56"/>
      <c r="H778" s="56"/>
    </row>
    <row r="779" spans="2:8" s="25" customFormat="1" x14ac:dyDescent="0.25">
      <c r="B779" s="79"/>
      <c r="C779" s="56"/>
      <c r="D779" s="56"/>
      <c r="E779" s="56"/>
      <c r="F779" s="56"/>
      <c r="G779" s="56"/>
      <c r="H779" s="56"/>
    </row>
    <row r="780" spans="2:8" s="25" customFormat="1" x14ac:dyDescent="0.25">
      <c r="B780" s="79"/>
      <c r="C780" s="56"/>
      <c r="D780" s="56"/>
      <c r="E780" s="56"/>
      <c r="F780" s="56"/>
      <c r="G780" s="56"/>
      <c r="H780" s="56"/>
    </row>
    <row r="781" spans="2:8" s="25" customFormat="1" x14ac:dyDescent="0.25">
      <c r="B781" s="79"/>
      <c r="C781" s="56"/>
      <c r="D781" s="56"/>
      <c r="E781" s="56"/>
      <c r="F781" s="56"/>
      <c r="G781" s="56"/>
      <c r="H781" s="56"/>
    </row>
    <row r="782" spans="2:8" s="25" customFormat="1" x14ac:dyDescent="0.25">
      <c r="B782" s="79"/>
      <c r="C782" s="56"/>
      <c r="D782" s="56"/>
      <c r="E782" s="56"/>
      <c r="F782" s="56"/>
      <c r="G782" s="56"/>
      <c r="H782" s="56"/>
    </row>
    <row r="783" spans="2:8" s="25" customFormat="1" x14ac:dyDescent="0.25">
      <c r="B783" s="79"/>
      <c r="C783" s="56"/>
      <c r="D783" s="56"/>
      <c r="E783" s="56"/>
      <c r="F783" s="56"/>
      <c r="G783" s="56"/>
      <c r="H783" s="56"/>
    </row>
    <row r="784" spans="2:8" s="25" customFormat="1" x14ac:dyDescent="0.25">
      <c r="B784" s="79"/>
      <c r="C784" s="56"/>
      <c r="D784" s="56"/>
      <c r="E784" s="56"/>
      <c r="F784" s="56"/>
      <c r="G784" s="56"/>
      <c r="H784" s="56"/>
    </row>
    <row r="785" spans="2:8" s="25" customFormat="1" x14ac:dyDescent="0.25">
      <c r="B785" s="79"/>
      <c r="C785" s="56"/>
      <c r="D785" s="56"/>
      <c r="E785" s="56"/>
      <c r="F785" s="56"/>
      <c r="G785" s="56"/>
      <c r="H785" s="56"/>
    </row>
    <row r="786" spans="2:8" s="25" customFormat="1" x14ac:dyDescent="0.25">
      <c r="B786" s="79"/>
      <c r="C786" s="56"/>
      <c r="D786" s="56"/>
      <c r="E786" s="56"/>
      <c r="F786" s="56"/>
      <c r="G786" s="56"/>
      <c r="H786" s="56"/>
    </row>
    <row r="787" spans="2:8" s="25" customFormat="1" x14ac:dyDescent="0.25">
      <c r="B787" s="79"/>
      <c r="C787" s="56"/>
      <c r="D787" s="56"/>
      <c r="E787" s="56"/>
      <c r="F787" s="56"/>
      <c r="G787" s="56"/>
      <c r="H787" s="56"/>
    </row>
    <row r="788" spans="2:8" s="25" customFormat="1" x14ac:dyDescent="0.25">
      <c r="B788" s="79"/>
      <c r="C788" s="56"/>
      <c r="D788" s="56"/>
      <c r="E788" s="56"/>
      <c r="F788" s="56"/>
      <c r="G788" s="56"/>
      <c r="H788" s="56"/>
    </row>
    <row r="789" spans="2:8" s="25" customFormat="1" x14ac:dyDescent="0.25">
      <c r="B789" s="79"/>
      <c r="C789" s="56"/>
      <c r="D789" s="56"/>
      <c r="E789" s="56"/>
      <c r="F789" s="56"/>
      <c r="G789" s="56"/>
      <c r="H789" s="56"/>
    </row>
    <row r="790" spans="2:8" s="25" customFormat="1" x14ac:dyDescent="0.25">
      <c r="B790" s="79"/>
      <c r="C790" s="56"/>
      <c r="D790" s="56"/>
      <c r="E790" s="56"/>
      <c r="F790" s="56"/>
      <c r="G790" s="56"/>
      <c r="H790" s="56"/>
    </row>
    <row r="791" spans="2:8" s="25" customFormat="1" x14ac:dyDescent="0.25">
      <c r="B791" s="79"/>
      <c r="C791" s="56"/>
      <c r="D791" s="56"/>
      <c r="E791" s="56"/>
      <c r="F791" s="56"/>
      <c r="G791" s="56"/>
      <c r="H791" s="56"/>
    </row>
    <row r="792" spans="2:8" s="25" customFormat="1" x14ac:dyDescent="0.25">
      <c r="B792" s="79"/>
      <c r="C792" s="56"/>
      <c r="D792" s="56"/>
      <c r="E792" s="56"/>
      <c r="F792" s="56"/>
      <c r="G792" s="56"/>
      <c r="H792" s="56"/>
    </row>
    <row r="793" spans="2:8" s="25" customFormat="1" x14ac:dyDescent="0.25">
      <c r="B793" s="79"/>
      <c r="C793" s="56"/>
      <c r="D793" s="56"/>
      <c r="E793" s="56"/>
      <c r="F793" s="56"/>
      <c r="G793" s="56"/>
      <c r="H793" s="56"/>
    </row>
    <row r="794" spans="2:8" s="25" customFormat="1" x14ac:dyDescent="0.25">
      <c r="B794" s="79"/>
      <c r="C794" s="56"/>
      <c r="D794" s="56"/>
      <c r="E794" s="56"/>
      <c r="F794" s="56"/>
      <c r="G794" s="56"/>
      <c r="H794" s="56"/>
    </row>
    <row r="795" spans="2:8" s="25" customFormat="1" x14ac:dyDescent="0.25">
      <c r="B795" s="79"/>
      <c r="C795" s="56"/>
      <c r="D795" s="56"/>
      <c r="E795" s="56"/>
      <c r="F795" s="56"/>
      <c r="G795" s="56"/>
      <c r="H795" s="56"/>
    </row>
    <row r="796" spans="2:8" s="25" customFormat="1" x14ac:dyDescent="0.25">
      <c r="B796" s="79"/>
      <c r="C796" s="56"/>
      <c r="D796" s="56"/>
      <c r="E796" s="56"/>
      <c r="F796" s="56"/>
      <c r="G796" s="56"/>
      <c r="H796" s="56"/>
    </row>
    <row r="797" spans="2:8" s="25" customFormat="1" x14ac:dyDescent="0.25">
      <c r="B797" s="79"/>
      <c r="C797" s="56"/>
      <c r="D797" s="56"/>
      <c r="E797" s="56"/>
      <c r="F797" s="56"/>
      <c r="G797" s="56"/>
      <c r="H797" s="56"/>
    </row>
    <row r="798" spans="2:8" s="25" customFormat="1" x14ac:dyDescent="0.25">
      <c r="B798" s="79"/>
      <c r="C798" s="56"/>
      <c r="D798" s="56"/>
      <c r="E798" s="56"/>
      <c r="F798" s="56"/>
      <c r="G798" s="56"/>
      <c r="H798" s="56"/>
    </row>
    <row r="799" spans="2:8" s="25" customFormat="1" x14ac:dyDescent="0.25">
      <c r="B799" s="79"/>
      <c r="C799" s="56"/>
      <c r="D799" s="56"/>
      <c r="E799" s="56"/>
      <c r="F799" s="56"/>
      <c r="G799" s="56"/>
      <c r="H799" s="56"/>
    </row>
    <row r="800" spans="2:8" s="25" customFormat="1" x14ac:dyDescent="0.25">
      <c r="B800" s="79"/>
      <c r="C800" s="56"/>
      <c r="D800" s="56"/>
      <c r="E800" s="56"/>
      <c r="F800" s="56"/>
      <c r="G800" s="56"/>
      <c r="H800" s="56"/>
    </row>
    <row r="801" spans="2:8" s="25" customFormat="1" x14ac:dyDescent="0.25">
      <c r="B801" s="79"/>
      <c r="C801" s="56"/>
      <c r="D801" s="56"/>
      <c r="E801" s="56"/>
      <c r="F801" s="56"/>
      <c r="G801" s="56"/>
      <c r="H801" s="56"/>
    </row>
    <row r="802" spans="2:8" s="25" customFormat="1" x14ac:dyDescent="0.25">
      <c r="B802" s="79"/>
      <c r="C802" s="56"/>
      <c r="D802" s="56"/>
      <c r="E802" s="56"/>
      <c r="F802" s="56"/>
      <c r="G802" s="56"/>
      <c r="H802" s="56"/>
    </row>
    <row r="803" spans="2:8" s="25" customFormat="1" x14ac:dyDescent="0.25">
      <c r="B803" s="79"/>
      <c r="C803" s="56"/>
      <c r="D803" s="56"/>
      <c r="E803" s="56"/>
      <c r="F803" s="56"/>
      <c r="G803" s="56"/>
      <c r="H803" s="56"/>
    </row>
    <row r="804" spans="2:8" s="25" customFormat="1" x14ac:dyDescent="0.25">
      <c r="B804" s="79"/>
      <c r="C804" s="56"/>
      <c r="D804" s="56"/>
      <c r="E804" s="56"/>
      <c r="F804" s="56"/>
      <c r="G804" s="56"/>
      <c r="H804" s="56"/>
    </row>
    <row r="805" spans="2:8" s="25" customFormat="1" x14ac:dyDescent="0.25">
      <c r="B805" s="79"/>
      <c r="C805" s="56"/>
      <c r="D805" s="56"/>
      <c r="E805" s="56"/>
      <c r="F805" s="56"/>
      <c r="G805" s="56"/>
      <c r="H805" s="56"/>
    </row>
    <row r="806" spans="2:8" s="25" customFormat="1" x14ac:dyDescent="0.25">
      <c r="B806" s="79"/>
      <c r="C806" s="56"/>
      <c r="D806" s="56"/>
      <c r="E806" s="56"/>
      <c r="F806" s="56"/>
      <c r="G806" s="56"/>
      <c r="H806" s="56"/>
    </row>
    <row r="807" spans="2:8" s="25" customFormat="1" x14ac:dyDescent="0.25">
      <c r="B807" s="79"/>
      <c r="C807" s="56"/>
      <c r="D807" s="56"/>
      <c r="E807" s="56"/>
      <c r="F807" s="56"/>
      <c r="G807" s="56"/>
      <c r="H807" s="56"/>
    </row>
    <row r="808" spans="2:8" s="25" customFormat="1" x14ac:dyDescent="0.25">
      <c r="B808" s="79"/>
      <c r="C808" s="56"/>
      <c r="D808" s="56"/>
      <c r="E808" s="56"/>
      <c r="F808" s="56"/>
      <c r="G808" s="56"/>
      <c r="H808" s="56"/>
    </row>
    <row r="809" spans="2:8" s="25" customFormat="1" x14ac:dyDescent="0.25">
      <c r="B809" s="79"/>
      <c r="C809" s="56"/>
      <c r="D809" s="56"/>
      <c r="E809" s="56"/>
      <c r="F809" s="56"/>
      <c r="G809" s="56"/>
      <c r="H809" s="56"/>
    </row>
    <row r="810" spans="2:8" s="25" customFormat="1" x14ac:dyDescent="0.25">
      <c r="B810" s="79"/>
      <c r="C810" s="56"/>
      <c r="D810" s="56"/>
      <c r="E810" s="56"/>
      <c r="F810" s="56"/>
      <c r="G810" s="56"/>
      <c r="H810" s="56"/>
    </row>
    <row r="811" spans="2:8" s="25" customFormat="1" x14ac:dyDescent="0.25">
      <c r="B811" s="79"/>
      <c r="C811" s="56"/>
      <c r="D811" s="56"/>
      <c r="E811" s="56"/>
      <c r="F811" s="56"/>
      <c r="G811" s="56"/>
      <c r="H811" s="56"/>
    </row>
    <row r="812" spans="2:8" s="25" customFormat="1" x14ac:dyDescent="0.25">
      <c r="B812" s="79"/>
      <c r="C812" s="56"/>
      <c r="D812" s="56"/>
      <c r="E812" s="56"/>
      <c r="F812" s="56"/>
      <c r="G812" s="56"/>
      <c r="H812" s="56"/>
    </row>
    <row r="813" spans="2:8" s="25" customFormat="1" x14ac:dyDescent="0.25">
      <c r="B813" s="79"/>
      <c r="C813" s="56"/>
      <c r="D813" s="56"/>
      <c r="E813" s="56"/>
      <c r="F813" s="56"/>
      <c r="G813" s="56"/>
      <c r="H813" s="56"/>
    </row>
    <row r="814" spans="2:8" s="25" customFormat="1" x14ac:dyDescent="0.25">
      <c r="B814" s="79"/>
      <c r="C814" s="56"/>
      <c r="D814" s="56"/>
      <c r="E814" s="56"/>
      <c r="F814" s="56"/>
      <c r="G814" s="56"/>
      <c r="H814" s="56"/>
    </row>
    <row r="815" spans="2:8" s="25" customFormat="1" x14ac:dyDescent="0.25">
      <c r="B815" s="79"/>
      <c r="C815" s="56"/>
      <c r="D815" s="56"/>
      <c r="E815" s="56"/>
      <c r="F815" s="56"/>
      <c r="G815" s="56"/>
      <c r="H815" s="56"/>
    </row>
    <row r="816" spans="2:8" s="25" customFormat="1" x14ac:dyDescent="0.25">
      <c r="B816" s="79"/>
      <c r="C816" s="56"/>
      <c r="D816" s="56"/>
      <c r="E816" s="56"/>
      <c r="F816" s="56"/>
      <c r="G816" s="56"/>
      <c r="H816" s="56"/>
    </row>
    <row r="817" spans="2:8" s="25" customFormat="1" x14ac:dyDescent="0.25">
      <c r="B817" s="79"/>
      <c r="C817" s="56"/>
      <c r="D817" s="56"/>
      <c r="E817" s="56"/>
      <c r="F817" s="56"/>
      <c r="G817" s="56"/>
      <c r="H817" s="56"/>
    </row>
    <row r="818" spans="2:8" s="25" customFormat="1" x14ac:dyDescent="0.25">
      <c r="B818" s="79"/>
      <c r="C818" s="56"/>
      <c r="D818" s="56"/>
      <c r="E818" s="56"/>
      <c r="F818" s="56"/>
      <c r="G818" s="56"/>
      <c r="H818" s="56"/>
    </row>
    <row r="819" spans="2:8" s="25" customFormat="1" x14ac:dyDescent="0.25">
      <c r="B819" s="79"/>
      <c r="C819" s="56"/>
      <c r="D819" s="56"/>
      <c r="E819" s="56"/>
      <c r="F819" s="56"/>
      <c r="G819" s="56"/>
      <c r="H819" s="56"/>
    </row>
    <row r="820" spans="2:8" s="25" customFormat="1" x14ac:dyDescent="0.25">
      <c r="B820" s="79"/>
      <c r="C820" s="56"/>
      <c r="D820" s="56"/>
      <c r="E820" s="56"/>
      <c r="F820" s="56"/>
      <c r="G820" s="56"/>
      <c r="H820" s="56"/>
    </row>
    <row r="821" spans="2:8" s="25" customFormat="1" x14ac:dyDescent="0.25">
      <c r="B821" s="79"/>
      <c r="C821" s="56"/>
      <c r="D821" s="56"/>
      <c r="E821" s="56"/>
      <c r="F821" s="56"/>
      <c r="G821" s="56"/>
      <c r="H821" s="56"/>
    </row>
    <row r="822" spans="2:8" s="25" customFormat="1" x14ac:dyDescent="0.25">
      <c r="B822" s="79"/>
      <c r="C822" s="56"/>
      <c r="D822" s="56"/>
      <c r="E822" s="56"/>
      <c r="F822" s="56"/>
      <c r="G822" s="56"/>
      <c r="H822" s="56"/>
    </row>
    <row r="823" spans="2:8" s="25" customFormat="1" x14ac:dyDescent="0.25">
      <c r="B823" s="79"/>
      <c r="C823" s="56"/>
      <c r="D823" s="56"/>
      <c r="E823" s="56"/>
      <c r="F823" s="56"/>
      <c r="G823" s="56"/>
      <c r="H823" s="56"/>
    </row>
    <row r="824" spans="2:8" s="25" customFormat="1" x14ac:dyDescent="0.25">
      <c r="B824" s="79"/>
      <c r="C824" s="56"/>
      <c r="D824" s="56"/>
      <c r="E824" s="56"/>
      <c r="F824" s="56"/>
      <c r="G824" s="56"/>
      <c r="H824" s="56"/>
    </row>
    <row r="825" spans="2:8" s="25" customFormat="1" x14ac:dyDescent="0.25">
      <c r="B825" s="79"/>
      <c r="C825" s="56"/>
      <c r="D825" s="56"/>
      <c r="E825" s="56"/>
      <c r="F825" s="56"/>
      <c r="G825" s="56"/>
      <c r="H825" s="56"/>
    </row>
    <row r="826" spans="2:8" s="25" customFormat="1" x14ac:dyDescent="0.25">
      <c r="B826" s="79"/>
      <c r="C826" s="56"/>
      <c r="D826" s="56"/>
      <c r="E826" s="56"/>
      <c r="F826" s="56"/>
      <c r="G826" s="56"/>
      <c r="H826" s="56"/>
    </row>
    <row r="827" spans="2:8" s="25" customFormat="1" x14ac:dyDescent="0.25">
      <c r="B827" s="79"/>
      <c r="C827" s="56"/>
      <c r="D827" s="56"/>
      <c r="E827" s="56"/>
      <c r="F827" s="56"/>
      <c r="G827" s="56"/>
      <c r="H827" s="56"/>
    </row>
    <row r="828" spans="2:8" s="25" customFormat="1" x14ac:dyDescent="0.25">
      <c r="B828" s="79"/>
      <c r="C828" s="56"/>
      <c r="D828" s="56"/>
      <c r="E828" s="56"/>
      <c r="F828" s="56"/>
      <c r="G828" s="56"/>
      <c r="H828" s="56"/>
    </row>
    <row r="829" spans="2:8" s="25" customFormat="1" x14ac:dyDescent="0.25">
      <c r="B829" s="79"/>
      <c r="C829" s="56"/>
      <c r="D829" s="56"/>
      <c r="E829" s="56"/>
      <c r="F829" s="56"/>
      <c r="G829" s="56"/>
      <c r="H829" s="56"/>
    </row>
    <row r="830" spans="2:8" s="25" customFormat="1" x14ac:dyDescent="0.25">
      <c r="B830" s="79"/>
      <c r="C830" s="56"/>
      <c r="D830" s="56"/>
      <c r="E830" s="56"/>
      <c r="F830" s="56"/>
      <c r="G830" s="56"/>
      <c r="H830" s="56"/>
    </row>
    <row r="831" spans="2:8" s="25" customFormat="1" x14ac:dyDescent="0.25">
      <c r="B831" s="79"/>
      <c r="C831" s="56"/>
      <c r="D831" s="56"/>
      <c r="E831" s="56"/>
      <c r="F831" s="56"/>
      <c r="G831" s="56"/>
      <c r="H831" s="56"/>
    </row>
    <row r="832" spans="2:8" s="25" customFormat="1" x14ac:dyDescent="0.25">
      <c r="B832" s="79"/>
      <c r="C832" s="56"/>
      <c r="D832" s="56"/>
      <c r="E832" s="56"/>
      <c r="F832" s="56"/>
      <c r="G832" s="56"/>
      <c r="H832" s="56"/>
    </row>
    <row r="833" spans="2:8" s="25" customFormat="1" x14ac:dyDescent="0.25">
      <c r="B833" s="79"/>
      <c r="C833" s="56"/>
      <c r="D833" s="56"/>
      <c r="E833" s="56"/>
      <c r="F833" s="56"/>
      <c r="G833" s="56"/>
      <c r="H833" s="56"/>
    </row>
    <row r="834" spans="2:8" s="25" customFormat="1" x14ac:dyDescent="0.25">
      <c r="B834" s="79"/>
      <c r="C834" s="56"/>
      <c r="D834" s="56"/>
      <c r="E834" s="56"/>
      <c r="F834" s="56"/>
      <c r="G834" s="56"/>
      <c r="H834" s="56"/>
    </row>
    <row r="835" spans="2:8" s="25" customFormat="1" x14ac:dyDescent="0.25">
      <c r="B835" s="79"/>
      <c r="C835" s="56"/>
      <c r="D835" s="56"/>
      <c r="E835" s="56"/>
      <c r="F835" s="56"/>
      <c r="G835" s="56"/>
      <c r="H835" s="56"/>
    </row>
    <row r="836" spans="2:8" s="25" customFormat="1" x14ac:dyDescent="0.25">
      <c r="B836" s="79"/>
      <c r="C836" s="56"/>
      <c r="D836" s="56"/>
      <c r="E836" s="56"/>
      <c r="F836" s="56"/>
      <c r="G836" s="56"/>
      <c r="H836" s="56"/>
    </row>
    <row r="837" spans="2:8" s="25" customFormat="1" x14ac:dyDescent="0.25">
      <c r="B837" s="79"/>
      <c r="C837" s="56"/>
      <c r="D837" s="56"/>
      <c r="E837" s="56"/>
      <c r="F837" s="56"/>
      <c r="G837" s="56"/>
      <c r="H837" s="56"/>
    </row>
    <row r="838" spans="2:8" s="25" customFormat="1" x14ac:dyDescent="0.25">
      <c r="B838" s="79"/>
      <c r="C838" s="56"/>
      <c r="D838" s="56"/>
      <c r="E838" s="56"/>
      <c r="F838" s="56"/>
      <c r="G838" s="56"/>
      <c r="H838" s="56"/>
    </row>
    <row r="839" spans="2:8" s="25" customFormat="1" x14ac:dyDescent="0.25">
      <c r="B839" s="79"/>
      <c r="C839" s="56"/>
      <c r="D839" s="56"/>
      <c r="E839" s="56"/>
      <c r="F839" s="56"/>
      <c r="G839" s="56"/>
      <c r="H839" s="56"/>
    </row>
    <row r="840" spans="2:8" s="25" customFormat="1" x14ac:dyDescent="0.25">
      <c r="B840" s="79"/>
      <c r="C840" s="56"/>
      <c r="D840" s="56"/>
      <c r="E840" s="56"/>
      <c r="F840" s="56"/>
      <c r="G840" s="56"/>
      <c r="H840" s="56"/>
    </row>
    <row r="841" spans="2:8" s="25" customFormat="1" x14ac:dyDescent="0.25">
      <c r="B841" s="79"/>
      <c r="C841" s="56"/>
      <c r="D841" s="56"/>
      <c r="E841" s="56"/>
      <c r="F841" s="56"/>
      <c r="G841" s="56"/>
      <c r="H841" s="56"/>
    </row>
    <row r="842" spans="2:8" s="25" customFormat="1" x14ac:dyDescent="0.25">
      <c r="B842" s="79"/>
      <c r="C842" s="56"/>
      <c r="D842" s="56"/>
      <c r="E842" s="56"/>
      <c r="F842" s="56"/>
      <c r="G842" s="56"/>
      <c r="H842" s="56"/>
    </row>
    <row r="843" spans="2:8" s="25" customFormat="1" x14ac:dyDescent="0.25">
      <c r="B843" s="79"/>
      <c r="C843" s="56"/>
      <c r="D843" s="56"/>
      <c r="E843" s="56"/>
      <c r="F843" s="56"/>
      <c r="G843" s="56"/>
      <c r="H843" s="56"/>
    </row>
    <row r="844" spans="2:8" s="25" customFormat="1" x14ac:dyDescent="0.25">
      <c r="B844" s="79"/>
      <c r="C844" s="56"/>
      <c r="D844" s="56"/>
      <c r="E844" s="56"/>
      <c r="F844" s="56"/>
      <c r="G844" s="56"/>
      <c r="H844" s="56"/>
    </row>
    <row r="845" spans="2:8" s="25" customFormat="1" x14ac:dyDescent="0.25">
      <c r="B845" s="79"/>
      <c r="C845" s="56"/>
      <c r="D845" s="56"/>
      <c r="E845" s="56"/>
      <c r="F845" s="56"/>
      <c r="G845" s="56"/>
      <c r="H845" s="56"/>
    </row>
    <row r="846" spans="2:8" s="25" customFormat="1" x14ac:dyDescent="0.25">
      <c r="B846" s="79"/>
      <c r="C846" s="56"/>
      <c r="D846" s="56"/>
      <c r="E846" s="56"/>
      <c r="F846" s="56"/>
      <c r="G846" s="56"/>
      <c r="H846" s="56"/>
    </row>
    <row r="847" spans="2:8" s="25" customFormat="1" x14ac:dyDescent="0.25">
      <c r="B847" s="79"/>
      <c r="C847" s="56"/>
      <c r="D847" s="56"/>
      <c r="E847" s="56"/>
      <c r="F847" s="56"/>
      <c r="G847" s="56"/>
      <c r="H847" s="56"/>
    </row>
    <row r="848" spans="2:8" s="25" customFormat="1" x14ac:dyDescent="0.25">
      <c r="B848" s="79"/>
      <c r="C848" s="56"/>
      <c r="D848" s="56"/>
      <c r="E848" s="56"/>
      <c r="F848" s="56"/>
      <c r="G848" s="56"/>
      <c r="H848" s="56"/>
    </row>
    <row r="849" spans="2:8" s="25" customFormat="1" x14ac:dyDescent="0.25">
      <c r="B849" s="79"/>
      <c r="C849" s="56"/>
      <c r="D849" s="56"/>
      <c r="E849" s="56"/>
      <c r="F849" s="56"/>
      <c r="G849" s="56"/>
      <c r="H849" s="56"/>
    </row>
    <row r="850" spans="2:8" s="25" customFormat="1" x14ac:dyDescent="0.25">
      <c r="B850" s="79"/>
      <c r="C850" s="56"/>
      <c r="D850" s="56"/>
      <c r="E850" s="56"/>
      <c r="F850" s="56"/>
      <c r="G850" s="56"/>
      <c r="H850" s="56"/>
    </row>
    <row r="851" spans="2:8" s="25" customFormat="1" x14ac:dyDescent="0.25">
      <c r="B851" s="79"/>
      <c r="C851" s="56"/>
      <c r="D851" s="56"/>
      <c r="E851" s="56"/>
      <c r="F851" s="56"/>
      <c r="G851" s="56"/>
      <c r="H851" s="56"/>
    </row>
    <row r="852" spans="2:8" s="25" customFormat="1" x14ac:dyDescent="0.25">
      <c r="B852" s="79"/>
      <c r="C852" s="56"/>
      <c r="D852" s="56"/>
      <c r="E852" s="56"/>
      <c r="F852" s="56"/>
      <c r="G852" s="56"/>
      <c r="H852" s="56"/>
    </row>
    <row r="853" spans="2:8" s="25" customFormat="1" x14ac:dyDescent="0.25">
      <c r="B853" s="79"/>
      <c r="C853" s="56"/>
      <c r="D853" s="56"/>
      <c r="E853" s="56"/>
      <c r="F853" s="56"/>
      <c r="G853" s="56"/>
      <c r="H853" s="56"/>
    </row>
    <row r="854" spans="2:8" s="25" customFormat="1" x14ac:dyDescent="0.25">
      <c r="B854" s="79"/>
      <c r="C854" s="56"/>
      <c r="D854" s="56"/>
      <c r="E854" s="56"/>
      <c r="F854" s="56"/>
      <c r="G854" s="56"/>
      <c r="H854" s="56"/>
    </row>
    <row r="855" spans="2:8" s="25" customFormat="1" x14ac:dyDescent="0.25">
      <c r="B855" s="79"/>
      <c r="C855" s="56"/>
      <c r="D855" s="56"/>
      <c r="E855" s="56"/>
      <c r="F855" s="56"/>
      <c r="G855" s="56"/>
      <c r="H855" s="56"/>
    </row>
    <row r="856" spans="2:8" s="25" customFormat="1" x14ac:dyDescent="0.25">
      <c r="B856" s="79"/>
      <c r="C856" s="56"/>
      <c r="D856" s="56"/>
      <c r="E856" s="56"/>
      <c r="F856" s="56"/>
      <c r="G856" s="56"/>
      <c r="H856" s="56"/>
    </row>
    <row r="857" spans="2:8" s="25" customFormat="1" x14ac:dyDescent="0.25">
      <c r="B857" s="79"/>
      <c r="C857" s="56"/>
      <c r="D857" s="56"/>
      <c r="E857" s="56"/>
      <c r="F857" s="56"/>
      <c r="G857" s="56"/>
      <c r="H857" s="56"/>
    </row>
    <row r="858" spans="2:8" s="25" customFormat="1" x14ac:dyDescent="0.25">
      <c r="B858" s="79"/>
      <c r="C858" s="56"/>
      <c r="D858" s="56"/>
      <c r="E858" s="56"/>
      <c r="F858" s="56"/>
      <c r="G858" s="56"/>
      <c r="H858" s="56"/>
    </row>
    <row r="859" spans="2:8" s="25" customFormat="1" x14ac:dyDescent="0.25">
      <c r="B859" s="79"/>
      <c r="C859" s="56"/>
      <c r="D859" s="56"/>
      <c r="E859" s="56"/>
      <c r="F859" s="56"/>
      <c r="G859" s="56"/>
      <c r="H859" s="56"/>
    </row>
    <row r="860" spans="2:8" s="25" customFormat="1" x14ac:dyDescent="0.25">
      <c r="B860" s="79"/>
      <c r="C860" s="56"/>
      <c r="D860" s="56"/>
      <c r="E860" s="56"/>
      <c r="F860" s="56"/>
      <c r="G860" s="56"/>
      <c r="H860" s="56"/>
    </row>
    <row r="861" spans="2:8" s="25" customFormat="1" x14ac:dyDescent="0.25">
      <c r="B861" s="79"/>
      <c r="C861" s="56"/>
      <c r="D861" s="56"/>
      <c r="E861" s="56"/>
      <c r="F861" s="56"/>
      <c r="G861" s="56"/>
      <c r="H861" s="56"/>
    </row>
    <row r="862" spans="2:8" s="25" customFormat="1" x14ac:dyDescent="0.25">
      <c r="B862" s="79"/>
      <c r="C862" s="56"/>
      <c r="D862" s="56"/>
      <c r="E862" s="56"/>
      <c r="F862" s="56"/>
      <c r="G862" s="56"/>
      <c r="H862" s="56"/>
    </row>
    <row r="863" spans="2:8" s="25" customFormat="1" x14ac:dyDescent="0.25">
      <c r="B863" s="79"/>
      <c r="C863" s="56"/>
      <c r="D863" s="56"/>
      <c r="E863" s="56"/>
      <c r="F863" s="56"/>
      <c r="G863" s="56"/>
      <c r="H863" s="56"/>
    </row>
    <row r="864" spans="2:8" s="25" customFormat="1" x14ac:dyDescent="0.25">
      <c r="B864" s="79"/>
      <c r="C864" s="56"/>
      <c r="D864" s="56"/>
      <c r="E864" s="56"/>
      <c r="F864" s="56"/>
      <c r="G864" s="56"/>
      <c r="H864" s="56"/>
    </row>
    <row r="865" spans="2:8" s="25" customFormat="1" x14ac:dyDescent="0.25">
      <c r="B865" s="79"/>
      <c r="C865" s="56"/>
      <c r="D865" s="56"/>
      <c r="E865" s="56"/>
      <c r="F865" s="56"/>
      <c r="G865" s="56"/>
      <c r="H865" s="56"/>
    </row>
    <row r="866" spans="2:8" s="25" customFormat="1" x14ac:dyDescent="0.25">
      <c r="B866" s="79"/>
      <c r="C866" s="56"/>
      <c r="D866" s="56"/>
      <c r="E866" s="56"/>
      <c r="F866" s="56"/>
      <c r="G866" s="56"/>
      <c r="H866" s="56"/>
    </row>
    <row r="867" spans="2:8" s="25" customFormat="1" x14ac:dyDescent="0.25">
      <c r="B867" s="79"/>
      <c r="C867" s="56"/>
      <c r="D867" s="56"/>
      <c r="E867" s="56"/>
      <c r="F867" s="56"/>
      <c r="G867" s="56"/>
      <c r="H867" s="56"/>
    </row>
    <row r="868" spans="2:8" s="25" customFormat="1" x14ac:dyDescent="0.25">
      <c r="B868" s="79"/>
      <c r="C868" s="56"/>
      <c r="D868" s="56"/>
      <c r="E868" s="56"/>
      <c r="F868" s="56"/>
      <c r="G868" s="56"/>
      <c r="H868" s="56"/>
    </row>
    <row r="869" spans="2:8" s="25" customFormat="1" x14ac:dyDescent="0.25">
      <c r="B869" s="79"/>
      <c r="C869" s="56"/>
      <c r="D869" s="56"/>
      <c r="E869" s="56"/>
      <c r="F869" s="56"/>
      <c r="G869" s="56"/>
      <c r="H869" s="56"/>
    </row>
    <row r="870" spans="2:8" s="25" customFormat="1" x14ac:dyDescent="0.25">
      <c r="B870" s="79"/>
      <c r="C870" s="56"/>
      <c r="D870" s="56"/>
      <c r="E870" s="56"/>
      <c r="F870" s="56"/>
      <c r="G870" s="56"/>
      <c r="H870" s="56"/>
    </row>
    <row r="871" spans="2:8" s="25" customFormat="1" x14ac:dyDescent="0.25">
      <c r="B871" s="79"/>
      <c r="C871" s="56"/>
      <c r="D871" s="56"/>
      <c r="E871" s="56"/>
      <c r="F871" s="56"/>
      <c r="G871" s="56"/>
      <c r="H871" s="56"/>
    </row>
    <row r="872" spans="2:8" s="25" customFormat="1" x14ac:dyDescent="0.25">
      <c r="B872" s="79"/>
      <c r="C872" s="56"/>
      <c r="D872" s="56"/>
      <c r="E872" s="56"/>
      <c r="F872" s="56"/>
      <c r="G872" s="56"/>
      <c r="H872" s="56"/>
    </row>
    <row r="873" spans="2:8" s="25" customFormat="1" x14ac:dyDescent="0.25">
      <c r="B873" s="79"/>
      <c r="C873" s="56"/>
      <c r="D873" s="56"/>
      <c r="E873" s="56"/>
      <c r="F873" s="56"/>
      <c r="G873" s="56"/>
      <c r="H873" s="56"/>
    </row>
    <row r="874" spans="2:8" s="25" customFormat="1" x14ac:dyDescent="0.25">
      <c r="B874" s="79"/>
      <c r="C874" s="56"/>
      <c r="D874" s="56"/>
      <c r="E874" s="56"/>
      <c r="F874" s="56"/>
      <c r="G874" s="56"/>
      <c r="H874" s="56"/>
    </row>
    <row r="875" spans="2:8" s="25" customFormat="1" x14ac:dyDescent="0.25">
      <c r="B875" s="79"/>
      <c r="C875" s="56"/>
      <c r="D875" s="56"/>
      <c r="E875" s="56"/>
      <c r="F875" s="56"/>
      <c r="G875" s="56"/>
      <c r="H875" s="56"/>
    </row>
    <row r="876" spans="2:8" s="25" customFormat="1" x14ac:dyDescent="0.25">
      <c r="B876" s="79"/>
      <c r="C876" s="56"/>
      <c r="D876" s="56"/>
      <c r="E876" s="56"/>
      <c r="F876" s="56"/>
      <c r="G876" s="56"/>
      <c r="H876" s="56"/>
    </row>
    <row r="877" spans="2:8" s="25" customFormat="1" x14ac:dyDescent="0.25">
      <c r="B877" s="79"/>
      <c r="C877" s="56"/>
      <c r="D877" s="56"/>
      <c r="E877" s="56"/>
      <c r="F877" s="56"/>
      <c r="G877" s="56"/>
      <c r="H877" s="56"/>
    </row>
    <row r="878" spans="2:8" s="25" customFormat="1" x14ac:dyDescent="0.25">
      <c r="B878" s="79"/>
      <c r="C878" s="56"/>
      <c r="D878" s="56"/>
      <c r="E878" s="56"/>
      <c r="F878" s="56"/>
      <c r="G878" s="56"/>
      <c r="H878" s="56"/>
    </row>
    <row r="879" spans="2:8" s="25" customFormat="1" x14ac:dyDescent="0.25">
      <c r="B879" s="79"/>
      <c r="C879" s="56"/>
      <c r="D879" s="56"/>
      <c r="E879" s="56"/>
      <c r="F879" s="56"/>
      <c r="G879" s="56"/>
      <c r="H879" s="56"/>
    </row>
    <row r="880" spans="2:8" s="25" customFormat="1" x14ac:dyDescent="0.25">
      <c r="B880" s="79"/>
      <c r="C880" s="56"/>
      <c r="D880" s="56"/>
      <c r="E880" s="56"/>
      <c r="F880" s="56"/>
      <c r="G880" s="56"/>
      <c r="H880" s="56"/>
    </row>
    <row r="881" spans="2:8" s="25" customFormat="1" x14ac:dyDescent="0.25">
      <c r="B881" s="79"/>
      <c r="C881" s="56"/>
      <c r="D881" s="56"/>
      <c r="E881" s="56"/>
      <c r="F881" s="56"/>
      <c r="G881" s="56"/>
      <c r="H881" s="56"/>
    </row>
    <row r="882" spans="2:8" s="25" customFormat="1" x14ac:dyDescent="0.25">
      <c r="B882" s="79"/>
      <c r="C882" s="56"/>
      <c r="D882" s="56"/>
      <c r="E882" s="56"/>
      <c r="F882" s="56"/>
      <c r="G882" s="56"/>
      <c r="H882" s="56"/>
    </row>
    <row r="883" spans="2:8" s="25" customFormat="1" x14ac:dyDescent="0.25">
      <c r="B883" s="79"/>
      <c r="C883" s="56"/>
      <c r="D883" s="56"/>
      <c r="E883" s="56"/>
      <c r="F883" s="56"/>
      <c r="G883" s="56"/>
      <c r="H883" s="56"/>
    </row>
    <row r="884" spans="2:8" s="25" customFormat="1" x14ac:dyDescent="0.25">
      <c r="B884" s="79"/>
      <c r="C884" s="56"/>
      <c r="D884" s="56"/>
      <c r="E884" s="56"/>
      <c r="F884" s="56"/>
      <c r="G884" s="56"/>
      <c r="H884" s="56"/>
    </row>
    <row r="885" spans="2:8" s="25" customFormat="1" x14ac:dyDescent="0.25">
      <c r="B885" s="79"/>
      <c r="C885" s="56"/>
      <c r="D885" s="56"/>
      <c r="E885" s="56"/>
      <c r="F885" s="56"/>
      <c r="G885" s="56"/>
      <c r="H885" s="56"/>
    </row>
    <row r="886" spans="2:8" s="25" customFormat="1" x14ac:dyDescent="0.25">
      <c r="B886" s="79"/>
      <c r="C886" s="56"/>
      <c r="D886" s="56"/>
      <c r="E886" s="56"/>
      <c r="F886" s="56"/>
      <c r="G886" s="56"/>
      <c r="H886" s="56"/>
    </row>
    <row r="887" spans="2:8" s="25" customFormat="1" x14ac:dyDescent="0.25">
      <c r="B887" s="79"/>
      <c r="C887" s="56"/>
      <c r="D887" s="56"/>
      <c r="E887" s="56"/>
      <c r="F887" s="56"/>
      <c r="G887" s="56"/>
      <c r="H887" s="56"/>
    </row>
    <row r="888" spans="2:8" s="25" customFormat="1" x14ac:dyDescent="0.25">
      <c r="B888" s="79"/>
      <c r="C888" s="56"/>
      <c r="D888" s="56"/>
      <c r="E888" s="56"/>
      <c r="F888" s="56"/>
      <c r="G888" s="56"/>
      <c r="H888" s="56"/>
    </row>
    <row r="889" spans="2:8" s="25" customFormat="1" x14ac:dyDescent="0.25">
      <c r="B889" s="79"/>
      <c r="C889" s="56"/>
      <c r="D889" s="56"/>
      <c r="E889" s="56"/>
      <c r="F889" s="56"/>
      <c r="G889" s="56"/>
      <c r="H889" s="56"/>
    </row>
    <row r="890" spans="2:8" s="25" customFormat="1" x14ac:dyDescent="0.25">
      <c r="B890" s="79"/>
      <c r="C890" s="56"/>
      <c r="D890" s="56"/>
      <c r="E890" s="56"/>
      <c r="F890" s="56"/>
      <c r="G890" s="56"/>
      <c r="H890" s="56"/>
    </row>
    <row r="891" spans="2:8" s="25" customFormat="1" x14ac:dyDescent="0.25">
      <c r="B891" s="79"/>
      <c r="C891" s="56"/>
      <c r="D891" s="56"/>
      <c r="E891" s="56"/>
      <c r="F891" s="56"/>
      <c r="G891" s="56"/>
      <c r="H891" s="56"/>
    </row>
    <row r="892" spans="2:8" s="25" customFormat="1" x14ac:dyDescent="0.25">
      <c r="B892" s="79"/>
      <c r="C892" s="56"/>
      <c r="D892" s="56"/>
      <c r="E892" s="56"/>
      <c r="F892" s="56"/>
      <c r="G892" s="56"/>
      <c r="H892" s="56"/>
    </row>
    <row r="893" spans="2:8" s="25" customFormat="1" x14ac:dyDescent="0.25">
      <c r="B893" s="79"/>
      <c r="C893" s="56"/>
      <c r="D893" s="56"/>
      <c r="E893" s="56"/>
      <c r="F893" s="56"/>
      <c r="G893" s="56"/>
      <c r="H893" s="56"/>
    </row>
    <row r="894" spans="2:8" s="25" customFormat="1" x14ac:dyDescent="0.25">
      <c r="B894" s="79"/>
      <c r="C894" s="56"/>
      <c r="D894" s="56"/>
      <c r="E894" s="56"/>
      <c r="F894" s="56"/>
      <c r="G894" s="56"/>
      <c r="H894" s="56"/>
    </row>
    <row r="895" spans="2:8" s="25" customFormat="1" x14ac:dyDescent="0.25">
      <c r="B895" s="79"/>
      <c r="C895" s="56"/>
      <c r="D895" s="56"/>
      <c r="E895" s="56"/>
      <c r="F895" s="56"/>
      <c r="G895" s="56"/>
      <c r="H895" s="56"/>
    </row>
    <row r="896" spans="2:8" s="25" customFormat="1" x14ac:dyDescent="0.25">
      <c r="B896" s="79"/>
      <c r="C896" s="56"/>
      <c r="D896" s="56"/>
      <c r="E896" s="56"/>
      <c r="F896" s="56"/>
      <c r="G896" s="56"/>
      <c r="H896" s="56"/>
    </row>
    <row r="897" spans="2:8" s="25" customFormat="1" x14ac:dyDescent="0.25">
      <c r="B897" s="79"/>
      <c r="C897" s="56"/>
      <c r="D897" s="56"/>
      <c r="E897" s="56"/>
      <c r="F897" s="56"/>
      <c r="G897" s="56"/>
      <c r="H897" s="56"/>
    </row>
    <row r="898" spans="2:8" s="25" customFormat="1" x14ac:dyDescent="0.25">
      <c r="B898" s="79"/>
      <c r="C898" s="56"/>
      <c r="D898" s="56"/>
      <c r="E898" s="56"/>
      <c r="F898" s="56"/>
      <c r="G898" s="56"/>
      <c r="H898" s="56"/>
    </row>
    <row r="899" spans="2:8" s="25" customFormat="1" x14ac:dyDescent="0.25">
      <c r="B899" s="79"/>
      <c r="C899" s="56"/>
      <c r="D899" s="56"/>
      <c r="E899" s="56"/>
      <c r="F899" s="56"/>
      <c r="G899" s="56"/>
      <c r="H899" s="56"/>
    </row>
    <row r="900" spans="2:8" s="25" customFormat="1" x14ac:dyDescent="0.25">
      <c r="B900" s="79"/>
      <c r="C900" s="56"/>
      <c r="D900" s="56"/>
      <c r="E900" s="56"/>
      <c r="F900" s="56"/>
      <c r="G900" s="56"/>
      <c r="H900" s="56"/>
    </row>
    <row r="901" spans="2:8" s="25" customFormat="1" x14ac:dyDescent="0.25">
      <c r="B901" s="79"/>
      <c r="C901" s="56"/>
      <c r="D901" s="56"/>
      <c r="E901" s="56"/>
      <c r="F901" s="56"/>
      <c r="G901" s="56"/>
      <c r="H901" s="56"/>
    </row>
    <row r="902" spans="2:8" s="25" customFormat="1" x14ac:dyDescent="0.25">
      <c r="B902" s="79"/>
      <c r="C902" s="56"/>
      <c r="D902" s="56"/>
      <c r="E902" s="56"/>
      <c r="F902" s="56"/>
      <c r="G902" s="56"/>
      <c r="H902" s="56"/>
    </row>
    <row r="903" spans="2:8" s="25" customFormat="1" x14ac:dyDescent="0.25">
      <c r="B903" s="79"/>
      <c r="C903" s="56"/>
      <c r="D903" s="56"/>
      <c r="E903" s="56"/>
      <c r="F903" s="56"/>
      <c r="G903" s="56"/>
      <c r="H903" s="56"/>
    </row>
    <row r="904" spans="2:8" s="25" customFormat="1" x14ac:dyDescent="0.25">
      <c r="B904" s="79"/>
      <c r="C904" s="56"/>
      <c r="D904" s="56"/>
      <c r="E904" s="56"/>
      <c r="F904" s="56"/>
      <c r="G904" s="56"/>
      <c r="H904" s="56"/>
    </row>
    <row r="905" spans="2:8" s="25" customFormat="1" x14ac:dyDescent="0.25">
      <c r="B905" s="79"/>
      <c r="C905" s="56"/>
      <c r="D905" s="56"/>
      <c r="E905" s="56"/>
      <c r="F905" s="56"/>
      <c r="G905" s="56"/>
      <c r="H905" s="56"/>
    </row>
    <row r="906" spans="2:8" s="25" customFormat="1" x14ac:dyDescent="0.25">
      <c r="B906" s="79"/>
      <c r="C906" s="56"/>
      <c r="D906" s="56"/>
      <c r="E906" s="56"/>
      <c r="F906" s="56"/>
      <c r="G906" s="56"/>
      <c r="H906" s="56"/>
    </row>
    <row r="907" spans="2:8" s="25" customFormat="1" x14ac:dyDescent="0.25">
      <c r="B907" s="79"/>
      <c r="C907" s="56"/>
      <c r="D907" s="56"/>
      <c r="E907" s="56"/>
      <c r="F907" s="56"/>
      <c r="G907" s="56"/>
      <c r="H907" s="56"/>
    </row>
    <row r="908" spans="2:8" s="25" customFormat="1" x14ac:dyDescent="0.25">
      <c r="B908" s="79"/>
      <c r="C908" s="56"/>
      <c r="D908" s="56"/>
      <c r="E908" s="56"/>
      <c r="F908" s="56"/>
      <c r="G908" s="56"/>
      <c r="H908" s="56"/>
    </row>
    <row r="909" spans="2:8" s="25" customFormat="1" x14ac:dyDescent="0.25">
      <c r="B909" s="79"/>
      <c r="C909" s="56"/>
      <c r="D909" s="56"/>
      <c r="E909" s="56"/>
      <c r="F909" s="56"/>
      <c r="G909" s="56"/>
      <c r="H909" s="56"/>
    </row>
    <row r="910" spans="2:8" s="25" customFormat="1" x14ac:dyDescent="0.25">
      <c r="B910" s="79"/>
      <c r="C910" s="56"/>
      <c r="D910" s="56"/>
      <c r="E910" s="56"/>
      <c r="F910" s="56"/>
      <c r="G910" s="56"/>
      <c r="H910" s="56"/>
    </row>
    <row r="911" spans="2:8" s="25" customFormat="1" x14ac:dyDescent="0.25">
      <c r="B911" s="79"/>
      <c r="C911" s="56"/>
      <c r="D911" s="56"/>
      <c r="E911" s="56"/>
      <c r="F911" s="56"/>
      <c r="G911" s="56"/>
      <c r="H911" s="56"/>
    </row>
    <row r="912" spans="2:8" s="25" customFormat="1" x14ac:dyDescent="0.25">
      <c r="B912" s="79"/>
      <c r="C912" s="56"/>
      <c r="D912" s="56"/>
      <c r="E912" s="56"/>
      <c r="F912" s="56"/>
      <c r="G912" s="56"/>
      <c r="H912" s="56"/>
    </row>
    <row r="913" spans="2:8" s="25" customFormat="1" x14ac:dyDescent="0.25">
      <c r="B913" s="79"/>
      <c r="C913" s="56"/>
      <c r="D913" s="56"/>
      <c r="E913" s="56"/>
      <c r="F913" s="56"/>
      <c r="G913" s="56"/>
      <c r="H913" s="56"/>
    </row>
    <row r="914" spans="2:8" s="25" customFormat="1" x14ac:dyDescent="0.25">
      <c r="B914" s="79"/>
      <c r="C914" s="56"/>
      <c r="D914" s="56"/>
      <c r="E914" s="56"/>
      <c r="F914" s="56"/>
      <c r="G914" s="56"/>
      <c r="H914" s="56"/>
    </row>
    <row r="915" spans="2:8" s="25" customFormat="1" x14ac:dyDescent="0.25">
      <c r="B915" s="79"/>
      <c r="C915" s="56"/>
      <c r="D915" s="56"/>
      <c r="E915" s="56"/>
      <c r="F915" s="56"/>
      <c r="G915" s="56"/>
      <c r="H915" s="56"/>
    </row>
    <row r="916" spans="2:8" s="25" customFormat="1" x14ac:dyDescent="0.25">
      <c r="B916" s="79"/>
      <c r="C916" s="56"/>
      <c r="D916" s="56"/>
      <c r="E916" s="56"/>
      <c r="F916" s="56"/>
      <c r="G916" s="56"/>
      <c r="H916" s="56"/>
    </row>
    <row r="917" spans="2:8" s="25" customFormat="1" x14ac:dyDescent="0.25">
      <c r="B917" s="79"/>
      <c r="C917" s="56"/>
      <c r="D917" s="56"/>
      <c r="E917" s="56"/>
      <c r="F917" s="56"/>
      <c r="G917" s="56"/>
      <c r="H917" s="56"/>
    </row>
    <row r="918" spans="2:8" s="25" customFormat="1" x14ac:dyDescent="0.25">
      <c r="B918" s="79"/>
      <c r="C918" s="56"/>
      <c r="D918" s="56"/>
      <c r="E918" s="56"/>
      <c r="F918" s="56"/>
      <c r="G918" s="56"/>
      <c r="H918" s="56"/>
    </row>
    <row r="919" spans="2:8" s="25" customFormat="1" x14ac:dyDescent="0.25">
      <c r="B919" s="79"/>
      <c r="C919" s="56"/>
      <c r="D919" s="56"/>
      <c r="E919" s="56"/>
      <c r="F919" s="56"/>
      <c r="G919" s="56"/>
      <c r="H919" s="56"/>
    </row>
    <row r="920" spans="2:8" s="25" customFormat="1" x14ac:dyDescent="0.25">
      <c r="B920" s="79"/>
      <c r="C920" s="56"/>
      <c r="D920" s="56"/>
      <c r="E920" s="56"/>
      <c r="F920" s="56"/>
      <c r="G920" s="56"/>
      <c r="H920" s="56"/>
    </row>
    <row r="921" spans="2:8" s="25" customFormat="1" x14ac:dyDescent="0.25">
      <c r="B921" s="79"/>
      <c r="C921" s="56"/>
      <c r="D921" s="56"/>
      <c r="E921" s="56"/>
      <c r="F921" s="56"/>
      <c r="G921" s="56"/>
      <c r="H921" s="56"/>
    </row>
    <row r="922" spans="2:8" s="25" customFormat="1" x14ac:dyDescent="0.25">
      <c r="B922" s="79"/>
      <c r="C922" s="56"/>
      <c r="D922" s="56"/>
      <c r="E922" s="56"/>
      <c r="F922" s="56"/>
      <c r="G922" s="56"/>
      <c r="H922" s="56"/>
    </row>
    <row r="923" spans="2:8" s="25" customFormat="1" x14ac:dyDescent="0.25">
      <c r="B923" s="79"/>
      <c r="C923" s="56"/>
      <c r="D923" s="56"/>
      <c r="E923" s="56"/>
      <c r="F923" s="56"/>
      <c r="G923" s="56"/>
      <c r="H923" s="56"/>
    </row>
    <row r="924" spans="2:8" s="25" customFormat="1" x14ac:dyDescent="0.25">
      <c r="B924" s="79"/>
      <c r="C924" s="56"/>
      <c r="D924" s="56"/>
      <c r="E924" s="56"/>
      <c r="F924" s="56"/>
      <c r="G924" s="56"/>
      <c r="H924" s="56"/>
    </row>
    <row r="925" spans="2:8" s="25" customFormat="1" x14ac:dyDescent="0.25">
      <c r="B925" s="79"/>
      <c r="C925" s="56"/>
      <c r="D925" s="56"/>
      <c r="E925" s="56"/>
      <c r="F925" s="56"/>
      <c r="G925" s="56"/>
      <c r="H925" s="56"/>
    </row>
    <row r="926" spans="2:8" s="25" customFormat="1" x14ac:dyDescent="0.25">
      <c r="B926" s="79"/>
      <c r="C926" s="56"/>
      <c r="D926" s="56"/>
      <c r="E926" s="56"/>
      <c r="F926" s="56"/>
      <c r="G926" s="56"/>
      <c r="H926" s="56"/>
    </row>
    <row r="927" spans="2:8" s="25" customFormat="1" x14ac:dyDescent="0.25">
      <c r="B927" s="79"/>
      <c r="C927" s="56"/>
      <c r="D927" s="56"/>
      <c r="E927" s="56"/>
      <c r="F927" s="56"/>
      <c r="G927" s="56"/>
      <c r="H927" s="56"/>
    </row>
    <row r="928" spans="2:8" s="25" customFormat="1" x14ac:dyDescent="0.25">
      <c r="B928" s="79"/>
      <c r="C928" s="56"/>
      <c r="D928" s="56"/>
      <c r="E928" s="56"/>
      <c r="F928" s="56"/>
      <c r="G928" s="56"/>
      <c r="H928" s="56"/>
    </row>
    <row r="929" spans="2:8" s="25" customFormat="1" x14ac:dyDescent="0.25">
      <c r="B929" s="79"/>
      <c r="C929" s="56"/>
      <c r="D929" s="56"/>
      <c r="E929" s="56"/>
      <c r="F929" s="56"/>
      <c r="G929" s="56"/>
      <c r="H929" s="56"/>
    </row>
    <row r="930" spans="2:8" s="25" customFormat="1" x14ac:dyDescent="0.25">
      <c r="B930" s="79"/>
      <c r="C930" s="56"/>
      <c r="D930" s="56"/>
      <c r="E930" s="56"/>
      <c r="F930" s="56"/>
      <c r="G930" s="56"/>
      <c r="H930" s="56"/>
    </row>
    <row r="931" spans="2:8" s="25" customFormat="1" x14ac:dyDescent="0.25">
      <c r="B931" s="79"/>
      <c r="C931" s="56"/>
      <c r="D931" s="56"/>
      <c r="E931" s="56"/>
      <c r="F931" s="56"/>
      <c r="G931" s="56"/>
      <c r="H931" s="56"/>
    </row>
    <row r="932" spans="2:8" s="25" customFormat="1" x14ac:dyDescent="0.25">
      <c r="B932" s="79"/>
      <c r="C932" s="56"/>
      <c r="D932" s="56"/>
      <c r="E932" s="56"/>
      <c r="F932" s="56"/>
      <c r="G932" s="56"/>
      <c r="H932" s="56"/>
    </row>
    <row r="933" spans="2:8" s="25" customFormat="1" x14ac:dyDescent="0.25">
      <c r="B933" s="79"/>
      <c r="C933" s="56"/>
      <c r="D933" s="56"/>
      <c r="E933" s="56"/>
      <c r="F933" s="56"/>
      <c r="G933" s="56"/>
      <c r="H933" s="56"/>
    </row>
    <row r="934" spans="2:8" s="25" customFormat="1" x14ac:dyDescent="0.25">
      <c r="B934" s="79"/>
      <c r="C934" s="56"/>
      <c r="D934" s="56"/>
      <c r="E934" s="56"/>
      <c r="F934" s="56"/>
      <c r="G934" s="56"/>
      <c r="H934" s="56"/>
    </row>
    <row r="935" spans="2:8" s="25" customFormat="1" x14ac:dyDescent="0.25">
      <c r="B935" s="79"/>
      <c r="C935" s="56"/>
      <c r="D935" s="56"/>
      <c r="E935" s="56"/>
      <c r="F935" s="56"/>
      <c r="G935" s="56"/>
      <c r="H935" s="56"/>
    </row>
    <row r="936" spans="2:8" s="25" customFormat="1" x14ac:dyDescent="0.25">
      <c r="B936" s="79"/>
      <c r="C936" s="56"/>
      <c r="D936" s="56"/>
      <c r="E936" s="56"/>
      <c r="F936" s="56"/>
      <c r="G936" s="56"/>
      <c r="H936" s="56"/>
    </row>
    <row r="937" spans="2:8" s="25" customFormat="1" x14ac:dyDescent="0.25">
      <c r="B937" s="79"/>
      <c r="C937" s="56"/>
      <c r="D937" s="56"/>
      <c r="E937" s="56"/>
      <c r="F937" s="56"/>
      <c r="G937" s="56"/>
      <c r="H937" s="56"/>
    </row>
    <row r="938" spans="2:8" s="25" customFormat="1" x14ac:dyDescent="0.25">
      <c r="B938" s="79"/>
      <c r="C938" s="56"/>
      <c r="D938" s="56"/>
      <c r="E938" s="56"/>
      <c r="F938" s="56"/>
      <c r="G938" s="56"/>
      <c r="H938" s="56"/>
    </row>
    <row r="939" spans="2:8" s="25" customFormat="1" x14ac:dyDescent="0.25">
      <c r="B939" s="79"/>
      <c r="C939" s="56"/>
      <c r="D939" s="56"/>
      <c r="E939" s="56"/>
      <c r="F939" s="56"/>
      <c r="G939" s="56"/>
      <c r="H939" s="56"/>
    </row>
    <row r="940" spans="2:8" s="25" customFormat="1" x14ac:dyDescent="0.25">
      <c r="B940" s="79"/>
      <c r="C940" s="56"/>
      <c r="D940" s="56"/>
      <c r="E940" s="56"/>
      <c r="F940" s="56"/>
      <c r="G940" s="56"/>
      <c r="H940" s="56"/>
    </row>
    <row r="941" spans="2:8" s="25" customFormat="1" x14ac:dyDescent="0.25">
      <c r="B941" s="79"/>
      <c r="C941" s="56"/>
      <c r="D941" s="56"/>
      <c r="E941" s="56"/>
      <c r="F941" s="56"/>
      <c r="G941" s="56"/>
      <c r="H941" s="56"/>
    </row>
    <row r="942" spans="2:8" s="25" customFormat="1" x14ac:dyDescent="0.25">
      <c r="B942" s="79"/>
      <c r="C942" s="56"/>
      <c r="D942" s="56"/>
      <c r="E942" s="56"/>
      <c r="F942" s="56"/>
      <c r="G942" s="56"/>
      <c r="H942" s="56"/>
    </row>
    <row r="943" spans="2:8" s="25" customFormat="1" x14ac:dyDescent="0.25">
      <c r="B943" s="79"/>
      <c r="C943" s="56"/>
      <c r="D943" s="56"/>
      <c r="E943" s="56"/>
      <c r="F943" s="56"/>
      <c r="G943" s="56"/>
      <c r="H943" s="56"/>
    </row>
    <row r="944" spans="2:8" s="25" customFormat="1" x14ac:dyDescent="0.25">
      <c r="B944" s="79"/>
      <c r="C944" s="56"/>
      <c r="D944" s="56"/>
      <c r="E944" s="56"/>
      <c r="F944" s="56"/>
      <c r="G944" s="56"/>
      <c r="H944" s="56"/>
    </row>
    <row r="945" spans="2:8" s="25" customFormat="1" x14ac:dyDescent="0.25">
      <c r="B945" s="79"/>
      <c r="C945" s="56"/>
      <c r="D945" s="56"/>
      <c r="E945" s="56"/>
      <c r="F945" s="56"/>
      <c r="G945" s="56"/>
      <c r="H945" s="56"/>
    </row>
    <row r="946" spans="2:8" s="25" customFormat="1" x14ac:dyDescent="0.25">
      <c r="B946" s="79"/>
      <c r="C946" s="56"/>
      <c r="D946" s="56"/>
      <c r="E946" s="56"/>
      <c r="F946" s="56"/>
      <c r="G946" s="56"/>
      <c r="H946" s="56"/>
    </row>
    <row r="947" spans="2:8" s="25" customFormat="1" x14ac:dyDescent="0.25">
      <c r="B947" s="79"/>
      <c r="C947" s="56"/>
      <c r="D947" s="56"/>
      <c r="E947" s="56"/>
      <c r="F947" s="56"/>
      <c r="G947" s="56"/>
      <c r="H947" s="56"/>
    </row>
    <row r="948" spans="2:8" s="25" customFormat="1" x14ac:dyDescent="0.25">
      <c r="B948" s="79"/>
      <c r="C948" s="56"/>
      <c r="D948" s="56"/>
      <c r="E948" s="56"/>
      <c r="F948" s="56"/>
      <c r="G948" s="56"/>
      <c r="H948" s="56"/>
    </row>
    <row r="949" spans="2:8" s="25" customFormat="1" x14ac:dyDescent="0.25">
      <c r="B949" s="79"/>
      <c r="C949" s="56"/>
      <c r="D949" s="56"/>
      <c r="E949" s="56"/>
      <c r="F949" s="56"/>
      <c r="G949" s="56"/>
      <c r="H949" s="56"/>
    </row>
    <row r="950" spans="2:8" s="25" customFormat="1" x14ac:dyDescent="0.25">
      <c r="B950" s="79"/>
      <c r="C950" s="56"/>
      <c r="D950" s="56"/>
      <c r="E950" s="56"/>
      <c r="F950" s="56"/>
      <c r="G950" s="56"/>
      <c r="H950" s="56"/>
    </row>
    <row r="951" spans="2:8" s="25" customFormat="1" x14ac:dyDescent="0.25">
      <c r="B951" s="79"/>
      <c r="C951" s="56"/>
      <c r="D951" s="56"/>
      <c r="E951" s="56"/>
      <c r="F951" s="56"/>
      <c r="G951" s="56"/>
      <c r="H951" s="56"/>
    </row>
    <row r="952" spans="2:8" s="25" customFormat="1" x14ac:dyDescent="0.25">
      <c r="B952" s="79"/>
      <c r="C952" s="56"/>
      <c r="D952" s="56"/>
      <c r="E952" s="56"/>
      <c r="F952" s="56"/>
      <c r="G952" s="56"/>
      <c r="H952" s="56"/>
    </row>
    <row r="953" spans="2:8" s="25" customFormat="1" x14ac:dyDescent="0.25">
      <c r="B953" s="79"/>
      <c r="C953" s="56"/>
      <c r="D953" s="56"/>
      <c r="E953" s="56"/>
      <c r="F953" s="56"/>
      <c r="G953" s="56"/>
      <c r="H953" s="56"/>
    </row>
    <row r="954" spans="2:8" s="25" customFormat="1" x14ac:dyDescent="0.25">
      <c r="B954" s="79"/>
      <c r="C954" s="56"/>
      <c r="D954" s="56"/>
      <c r="E954" s="56"/>
      <c r="F954" s="56"/>
      <c r="G954" s="56"/>
      <c r="H954" s="56"/>
    </row>
    <row r="955" spans="2:8" s="25" customFormat="1" x14ac:dyDescent="0.25">
      <c r="B955" s="79"/>
      <c r="C955" s="56"/>
      <c r="D955" s="56"/>
      <c r="E955" s="56"/>
      <c r="F955" s="56"/>
      <c r="G955" s="56"/>
      <c r="H955" s="56"/>
    </row>
    <row r="956" spans="2:8" s="25" customFormat="1" x14ac:dyDescent="0.25">
      <c r="B956" s="79"/>
      <c r="C956" s="56"/>
      <c r="D956" s="56"/>
      <c r="E956" s="56"/>
      <c r="F956" s="56"/>
      <c r="G956" s="56"/>
      <c r="H956" s="56"/>
    </row>
    <row r="957" spans="2:8" s="25" customFormat="1" x14ac:dyDescent="0.25">
      <c r="B957" s="79"/>
      <c r="C957" s="56"/>
      <c r="D957" s="56"/>
      <c r="E957" s="56"/>
      <c r="F957" s="56"/>
      <c r="G957" s="56"/>
      <c r="H957" s="56"/>
    </row>
    <row r="958" spans="2:8" s="25" customFormat="1" x14ac:dyDescent="0.25">
      <c r="B958" s="79"/>
      <c r="C958" s="56"/>
      <c r="D958" s="56"/>
      <c r="E958" s="56"/>
      <c r="F958" s="56"/>
      <c r="G958" s="56"/>
      <c r="H958" s="56"/>
    </row>
    <row r="959" spans="2:8" s="25" customFormat="1" x14ac:dyDescent="0.25">
      <c r="B959" s="79"/>
      <c r="C959" s="56"/>
      <c r="D959" s="56"/>
      <c r="E959" s="56"/>
      <c r="F959" s="56"/>
      <c r="G959" s="56"/>
      <c r="H959" s="56"/>
    </row>
    <row r="960" spans="2:8" s="25" customFormat="1" x14ac:dyDescent="0.25">
      <c r="B960" s="79"/>
      <c r="C960" s="56"/>
      <c r="D960" s="56"/>
      <c r="E960" s="56"/>
      <c r="F960" s="56"/>
      <c r="G960" s="56"/>
      <c r="H960" s="56"/>
    </row>
    <row r="961" spans="2:8" s="25" customFormat="1" x14ac:dyDescent="0.25">
      <c r="B961" s="79"/>
      <c r="C961" s="56"/>
      <c r="D961" s="56"/>
      <c r="E961" s="56"/>
      <c r="F961" s="56"/>
      <c r="G961" s="56"/>
      <c r="H961" s="56"/>
    </row>
    <row r="962" spans="2:8" s="25" customFormat="1" x14ac:dyDescent="0.25">
      <c r="B962" s="79"/>
      <c r="C962" s="56"/>
      <c r="D962" s="56"/>
      <c r="E962" s="56"/>
      <c r="F962" s="56"/>
      <c r="G962" s="56"/>
      <c r="H962" s="56"/>
    </row>
    <row r="963" spans="2:8" s="25" customFormat="1" x14ac:dyDescent="0.25">
      <c r="B963" s="79"/>
      <c r="C963" s="56"/>
      <c r="D963" s="56"/>
      <c r="E963" s="56"/>
      <c r="F963" s="56"/>
      <c r="G963" s="56"/>
      <c r="H963" s="56"/>
    </row>
    <row r="964" spans="2:8" s="25" customFormat="1" x14ac:dyDescent="0.25">
      <c r="B964" s="79"/>
      <c r="C964" s="56"/>
      <c r="D964" s="56"/>
      <c r="E964" s="56"/>
      <c r="F964" s="56"/>
      <c r="G964" s="56"/>
      <c r="H964" s="56"/>
    </row>
    <row r="965" spans="2:8" s="25" customFormat="1" x14ac:dyDescent="0.25">
      <c r="B965" s="79"/>
      <c r="C965" s="56"/>
      <c r="D965" s="56"/>
      <c r="E965" s="56"/>
      <c r="F965" s="56"/>
      <c r="G965" s="56"/>
      <c r="H965" s="56"/>
    </row>
    <row r="966" spans="2:8" s="25" customFormat="1" x14ac:dyDescent="0.25">
      <c r="B966" s="79"/>
      <c r="C966" s="56"/>
      <c r="D966" s="56"/>
      <c r="E966" s="56"/>
      <c r="F966" s="56"/>
      <c r="G966" s="56"/>
      <c r="H966" s="56"/>
    </row>
    <row r="967" spans="2:8" s="25" customFormat="1" x14ac:dyDescent="0.25">
      <c r="B967" s="79"/>
      <c r="C967" s="56"/>
      <c r="D967" s="56"/>
      <c r="E967" s="56"/>
      <c r="F967" s="56"/>
      <c r="G967" s="56"/>
      <c r="H967" s="56"/>
    </row>
    <row r="968" spans="2:8" s="25" customFormat="1" x14ac:dyDescent="0.25">
      <c r="B968" s="79"/>
      <c r="C968" s="56"/>
      <c r="D968" s="56"/>
      <c r="E968" s="56"/>
      <c r="F968" s="56"/>
      <c r="G968" s="56"/>
      <c r="H968" s="56"/>
    </row>
    <row r="969" spans="2:8" s="25" customFormat="1" x14ac:dyDescent="0.25">
      <c r="B969" s="79"/>
      <c r="C969" s="56"/>
      <c r="D969" s="56"/>
      <c r="E969" s="56"/>
      <c r="F969" s="56"/>
      <c r="G969" s="56"/>
      <c r="H969" s="56"/>
    </row>
    <row r="970" spans="2:8" s="25" customFormat="1" x14ac:dyDescent="0.25">
      <c r="B970" s="79"/>
      <c r="C970" s="56"/>
      <c r="D970" s="56"/>
      <c r="E970" s="56"/>
      <c r="F970" s="56"/>
      <c r="G970" s="56"/>
      <c r="H970" s="56"/>
    </row>
    <row r="971" spans="2:8" s="25" customFormat="1" x14ac:dyDescent="0.25">
      <c r="B971" s="79"/>
      <c r="C971" s="56"/>
      <c r="D971" s="56"/>
      <c r="E971" s="56"/>
      <c r="F971" s="56"/>
      <c r="G971" s="56"/>
      <c r="H971" s="56"/>
    </row>
    <row r="972" spans="2:8" s="25" customFormat="1" x14ac:dyDescent="0.25">
      <c r="B972" s="79"/>
      <c r="C972" s="56"/>
      <c r="D972" s="56"/>
      <c r="E972" s="56"/>
      <c r="F972" s="56"/>
      <c r="G972" s="56"/>
      <c r="H972" s="56"/>
    </row>
    <row r="973" spans="2:8" s="25" customFormat="1" x14ac:dyDescent="0.25">
      <c r="B973" s="79"/>
      <c r="C973" s="56"/>
      <c r="D973" s="56"/>
      <c r="E973" s="56"/>
      <c r="F973" s="56"/>
      <c r="G973" s="56"/>
      <c r="H973" s="56"/>
    </row>
    <row r="974" spans="2:8" s="25" customFormat="1" x14ac:dyDescent="0.25">
      <c r="B974" s="79"/>
      <c r="C974" s="56"/>
      <c r="D974" s="56"/>
      <c r="E974" s="56"/>
      <c r="F974" s="56"/>
      <c r="G974" s="56"/>
      <c r="H974" s="56"/>
    </row>
    <row r="975" spans="2:8" s="25" customFormat="1" x14ac:dyDescent="0.25">
      <c r="B975" s="79"/>
      <c r="C975" s="56"/>
      <c r="D975" s="56"/>
      <c r="E975" s="56"/>
      <c r="F975" s="56"/>
      <c r="G975" s="56"/>
      <c r="H975" s="56"/>
    </row>
    <row r="976" spans="2:8" s="25" customFormat="1" x14ac:dyDescent="0.25">
      <c r="B976" s="79"/>
      <c r="C976" s="56"/>
      <c r="D976" s="56"/>
      <c r="E976" s="56"/>
      <c r="F976" s="56"/>
      <c r="G976" s="56"/>
      <c r="H976" s="56"/>
    </row>
    <row r="977" spans="2:8" s="25" customFormat="1" x14ac:dyDescent="0.25">
      <c r="B977" s="79"/>
      <c r="C977" s="56"/>
      <c r="D977" s="56"/>
      <c r="E977" s="56"/>
      <c r="F977" s="56"/>
      <c r="G977" s="56"/>
      <c r="H977" s="56"/>
    </row>
    <row r="978" spans="2:8" s="25" customFormat="1" x14ac:dyDescent="0.25">
      <c r="B978" s="79"/>
      <c r="C978" s="56"/>
      <c r="D978" s="56"/>
      <c r="E978" s="56"/>
      <c r="F978" s="56"/>
      <c r="G978" s="56"/>
      <c r="H978" s="56"/>
    </row>
    <row r="979" spans="2:8" s="25" customFormat="1" x14ac:dyDescent="0.25">
      <c r="B979" s="79"/>
      <c r="C979" s="56"/>
      <c r="D979" s="56"/>
      <c r="E979" s="56"/>
      <c r="F979" s="56"/>
      <c r="G979" s="56"/>
      <c r="H979" s="56"/>
    </row>
    <row r="980" spans="2:8" s="25" customFormat="1" x14ac:dyDescent="0.25">
      <c r="B980" s="79"/>
      <c r="C980" s="56"/>
      <c r="D980" s="56"/>
      <c r="E980" s="56"/>
      <c r="F980" s="56"/>
      <c r="G980" s="56"/>
      <c r="H980" s="56"/>
    </row>
    <row r="981" spans="2:8" s="25" customFormat="1" x14ac:dyDescent="0.25">
      <c r="B981" s="79"/>
      <c r="C981" s="56"/>
      <c r="D981" s="56"/>
      <c r="E981" s="56"/>
      <c r="F981" s="56"/>
      <c r="G981" s="56"/>
      <c r="H981" s="56"/>
    </row>
    <row r="982" spans="2:8" s="25" customFormat="1" x14ac:dyDescent="0.25">
      <c r="B982" s="79"/>
      <c r="C982" s="56"/>
      <c r="D982" s="56"/>
      <c r="E982" s="56"/>
      <c r="F982" s="56"/>
      <c r="G982" s="56"/>
      <c r="H982" s="56"/>
    </row>
    <row r="983" spans="2:8" s="25" customFormat="1" x14ac:dyDescent="0.25">
      <c r="B983" s="79"/>
      <c r="C983" s="56"/>
      <c r="D983" s="56"/>
      <c r="E983" s="56"/>
      <c r="F983" s="56"/>
      <c r="G983" s="56"/>
      <c r="H983" s="56"/>
    </row>
    <row r="984" spans="2:8" s="25" customFormat="1" x14ac:dyDescent="0.25">
      <c r="B984" s="79"/>
      <c r="C984" s="56"/>
      <c r="D984" s="56"/>
      <c r="E984" s="56"/>
      <c r="F984" s="56"/>
      <c r="G984" s="56"/>
      <c r="H984" s="56"/>
    </row>
    <row r="985" spans="2:8" s="25" customFormat="1" x14ac:dyDescent="0.25">
      <c r="B985" s="79"/>
      <c r="C985" s="56"/>
      <c r="D985" s="56"/>
      <c r="E985" s="56"/>
      <c r="F985" s="56"/>
      <c r="G985" s="56"/>
      <c r="H985" s="56"/>
    </row>
    <row r="986" spans="2:8" s="25" customFormat="1" x14ac:dyDescent="0.25">
      <c r="B986" s="79"/>
      <c r="C986" s="56"/>
      <c r="D986" s="56"/>
      <c r="E986" s="56"/>
      <c r="F986" s="56"/>
      <c r="G986" s="56"/>
      <c r="H986" s="56"/>
    </row>
    <row r="987" spans="2:8" s="25" customFormat="1" x14ac:dyDescent="0.25">
      <c r="B987" s="79"/>
      <c r="C987" s="56"/>
      <c r="D987" s="56"/>
      <c r="E987" s="56"/>
      <c r="F987" s="56"/>
      <c r="G987" s="56"/>
      <c r="H987" s="56"/>
    </row>
    <row r="988" spans="2:8" s="25" customFormat="1" x14ac:dyDescent="0.25">
      <c r="B988" s="79"/>
      <c r="C988" s="56"/>
      <c r="D988" s="56"/>
      <c r="E988" s="56"/>
      <c r="F988" s="56"/>
      <c r="G988" s="56"/>
      <c r="H988" s="56"/>
    </row>
    <row r="989" spans="2:8" s="25" customFormat="1" x14ac:dyDescent="0.25">
      <c r="B989" s="79"/>
      <c r="C989" s="56"/>
      <c r="D989" s="56"/>
      <c r="E989" s="56"/>
      <c r="F989" s="56"/>
      <c r="G989" s="56"/>
      <c r="H989" s="56"/>
    </row>
    <row r="990" spans="2:8" s="25" customFormat="1" x14ac:dyDescent="0.25">
      <c r="B990" s="79"/>
      <c r="C990" s="56"/>
      <c r="D990" s="56"/>
      <c r="E990" s="56"/>
      <c r="F990" s="56"/>
      <c r="G990" s="56"/>
      <c r="H990" s="56"/>
    </row>
    <row r="991" spans="2:8" s="25" customFormat="1" x14ac:dyDescent="0.25">
      <c r="B991" s="79"/>
      <c r="C991" s="56"/>
      <c r="D991" s="56"/>
      <c r="E991" s="56"/>
      <c r="F991" s="56"/>
      <c r="G991" s="56"/>
      <c r="H991" s="56"/>
    </row>
    <row r="992" spans="2:8" s="25" customFormat="1" x14ac:dyDescent="0.25">
      <c r="B992" s="79"/>
      <c r="C992" s="56"/>
      <c r="D992" s="56"/>
      <c r="E992" s="56"/>
      <c r="F992" s="56"/>
      <c r="G992" s="56"/>
      <c r="H992" s="56"/>
    </row>
    <row r="993" spans="2:8" s="25" customFormat="1" x14ac:dyDescent="0.25">
      <c r="B993" s="79"/>
      <c r="C993" s="56"/>
      <c r="D993" s="56"/>
      <c r="E993" s="56"/>
      <c r="F993" s="56"/>
      <c r="G993" s="56"/>
      <c r="H993" s="56"/>
    </row>
    <row r="994" spans="2:8" s="25" customFormat="1" x14ac:dyDescent="0.25">
      <c r="B994" s="79"/>
      <c r="C994" s="56"/>
      <c r="D994" s="56"/>
      <c r="E994" s="56"/>
      <c r="F994" s="56"/>
      <c r="G994" s="56"/>
      <c r="H994" s="56"/>
    </row>
    <row r="995" spans="2:8" s="25" customFormat="1" x14ac:dyDescent="0.25">
      <c r="B995" s="79"/>
      <c r="C995" s="56"/>
      <c r="D995" s="56"/>
      <c r="E995" s="56"/>
      <c r="F995" s="56"/>
      <c r="G995" s="56"/>
      <c r="H995" s="56"/>
    </row>
    <row r="996" spans="2:8" s="25" customFormat="1" x14ac:dyDescent="0.25">
      <c r="B996" s="79"/>
      <c r="C996" s="56"/>
      <c r="D996" s="56"/>
      <c r="E996" s="56"/>
      <c r="F996" s="56"/>
      <c r="G996" s="56"/>
      <c r="H996" s="56"/>
    </row>
    <row r="997" spans="2:8" s="25" customFormat="1" x14ac:dyDescent="0.25">
      <c r="B997" s="79"/>
      <c r="C997" s="56"/>
      <c r="D997" s="56"/>
      <c r="E997" s="56"/>
      <c r="F997" s="56"/>
      <c r="G997" s="56"/>
      <c r="H997" s="56"/>
    </row>
    <row r="998" spans="2:8" s="25" customFormat="1" x14ac:dyDescent="0.25">
      <c r="B998" s="79"/>
      <c r="C998" s="56"/>
      <c r="D998" s="56"/>
      <c r="E998" s="56"/>
      <c r="F998" s="56"/>
      <c r="G998" s="56"/>
      <c r="H998" s="56"/>
    </row>
    <row r="999" spans="2:8" s="25" customFormat="1" x14ac:dyDescent="0.25">
      <c r="B999" s="79"/>
      <c r="C999" s="56"/>
      <c r="D999" s="56"/>
      <c r="E999" s="56"/>
      <c r="F999" s="56"/>
      <c r="G999" s="56"/>
      <c r="H999" s="56"/>
    </row>
    <row r="1000" spans="2:8" s="25" customFormat="1" x14ac:dyDescent="0.25">
      <c r="B1000" s="79"/>
      <c r="C1000" s="56"/>
      <c r="D1000" s="56"/>
      <c r="E1000" s="56"/>
      <c r="F1000" s="56"/>
      <c r="G1000" s="56"/>
      <c r="H1000" s="56"/>
    </row>
    <row r="1001" spans="2:8" s="25" customFormat="1" x14ac:dyDescent="0.25">
      <c r="B1001" s="79"/>
      <c r="C1001" s="56"/>
      <c r="D1001" s="56"/>
      <c r="E1001" s="56"/>
      <c r="F1001" s="56"/>
      <c r="G1001" s="56"/>
      <c r="H1001" s="56"/>
    </row>
    <row r="1002" spans="2:8" s="25" customFormat="1" x14ac:dyDescent="0.25">
      <c r="B1002" s="79"/>
      <c r="C1002" s="56"/>
      <c r="D1002" s="56"/>
      <c r="E1002" s="56"/>
      <c r="F1002" s="56"/>
      <c r="G1002" s="56"/>
      <c r="H1002" s="56"/>
    </row>
    <row r="1003" spans="2:8" s="25" customFormat="1" x14ac:dyDescent="0.25">
      <c r="B1003" s="79"/>
      <c r="C1003" s="56"/>
      <c r="D1003" s="56"/>
      <c r="E1003" s="56"/>
      <c r="F1003" s="56"/>
      <c r="G1003" s="56"/>
      <c r="H1003" s="56"/>
    </row>
    <row r="1004" spans="2:8" s="25" customFormat="1" x14ac:dyDescent="0.25">
      <c r="B1004" s="79"/>
      <c r="C1004" s="56"/>
      <c r="D1004" s="56"/>
      <c r="E1004" s="56"/>
      <c r="F1004" s="56"/>
      <c r="G1004" s="56"/>
      <c r="H1004" s="56"/>
    </row>
    <row r="1005" spans="2:8" s="25" customFormat="1" x14ac:dyDescent="0.25">
      <c r="B1005" s="79"/>
      <c r="C1005" s="56"/>
      <c r="D1005" s="56"/>
      <c r="E1005" s="56"/>
      <c r="F1005" s="56"/>
      <c r="G1005" s="56"/>
      <c r="H1005" s="56"/>
    </row>
    <row r="1006" spans="2:8" s="25" customFormat="1" x14ac:dyDescent="0.25">
      <c r="B1006" s="79"/>
      <c r="C1006" s="56"/>
      <c r="D1006" s="56"/>
      <c r="E1006" s="56"/>
      <c r="F1006" s="56"/>
      <c r="G1006" s="56"/>
      <c r="H1006" s="56"/>
    </row>
    <row r="1007" spans="2:8" s="25" customFormat="1" x14ac:dyDescent="0.25">
      <c r="B1007" s="79"/>
      <c r="C1007" s="56"/>
      <c r="D1007" s="56"/>
      <c r="E1007" s="56"/>
      <c r="F1007" s="56"/>
      <c r="G1007" s="56"/>
      <c r="H1007" s="56"/>
    </row>
    <row r="1008" spans="2:8" s="25" customFormat="1" x14ac:dyDescent="0.25">
      <c r="B1008" s="79"/>
      <c r="C1008" s="56"/>
      <c r="D1008" s="56"/>
      <c r="E1008" s="56"/>
      <c r="F1008" s="56"/>
      <c r="G1008" s="56"/>
      <c r="H1008" s="56"/>
    </row>
    <row r="1009" spans="2:8" s="25" customFormat="1" x14ac:dyDescent="0.25">
      <c r="B1009" s="79"/>
      <c r="C1009" s="56"/>
      <c r="D1009" s="56"/>
      <c r="E1009" s="56"/>
      <c r="F1009" s="56"/>
      <c r="G1009" s="56"/>
      <c r="H1009" s="56"/>
    </row>
    <row r="1010" spans="2:8" s="25" customFormat="1" x14ac:dyDescent="0.25">
      <c r="B1010" s="79"/>
      <c r="C1010" s="56"/>
      <c r="D1010" s="56"/>
      <c r="E1010" s="56"/>
      <c r="F1010" s="56"/>
      <c r="G1010" s="56"/>
      <c r="H1010" s="56"/>
    </row>
    <row r="1011" spans="2:8" s="25" customFormat="1" x14ac:dyDescent="0.25">
      <c r="B1011" s="79"/>
      <c r="C1011" s="56"/>
      <c r="D1011" s="56"/>
      <c r="E1011" s="56"/>
      <c r="F1011" s="56"/>
      <c r="G1011" s="56"/>
      <c r="H1011" s="56"/>
    </row>
    <row r="1012" spans="2:8" s="25" customFormat="1" x14ac:dyDescent="0.25">
      <c r="B1012" s="79"/>
      <c r="C1012" s="56"/>
      <c r="D1012" s="56"/>
      <c r="E1012" s="56"/>
      <c r="F1012" s="56"/>
      <c r="G1012" s="56"/>
      <c r="H1012" s="56"/>
    </row>
    <row r="1013" spans="2:8" s="25" customFormat="1" x14ac:dyDescent="0.25">
      <c r="B1013" s="79"/>
      <c r="C1013" s="56"/>
      <c r="D1013" s="56"/>
      <c r="E1013" s="56"/>
      <c r="F1013" s="56"/>
      <c r="G1013" s="56"/>
      <c r="H1013" s="56"/>
    </row>
    <row r="1014" spans="2:8" s="25" customFormat="1" x14ac:dyDescent="0.25">
      <c r="B1014" s="79"/>
      <c r="C1014" s="56"/>
      <c r="D1014" s="56"/>
      <c r="E1014" s="56"/>
      <c r="F1014" s="56"/>
      <c r="G1014" s="56"/>
      <c r="H1014" s="56"/>
    </row>
    <row r="1015" spans="2:8" s="25" customFormat="1" x14ac:dyDescent="0.25">
      <c r="B1015" s="79"/>
      <c r="C1015" s="56"/>
      <c r="D1015" s="56"/>
      <c r="E1015" s="56"/>
      <c r="F1015" s="56"/>
      <c r="G1015" s="56"/>
      <c r="H1015" s="56"/>
    </row>
    <row r="1016" spans="2:8" s="25" customFormat="1" x14ac:dyDescent="0.25">
      <c r="B1016" s="79"/>
      <c r="C1016" s="56"/>
      <c r="D1016" s="56"/>
      <c r="E1016" s="56"/>
      <c r="F1016" s="56"/>
      <c r="G1016" s="56"/>
      <c r="H1016" s="56"/>
    </row>
    <row r="1017" spans="2:8" s="25" customFormat="1" x14ac:dyDescent="0.25">
      <c r="B1017" s="79"/>
      <c r="C1017" s="56"/>
      <c r="D1017" s="56"/>
      <c r="E1017" s="56"/>
      <c r="F1017" s="56"/>
      <c r="G1017" s="56"/>
      <c r="H1017" s="56"/>
    </row>
    <row r="1018" spans="2:8" s="25" customFormat="1" x14ac:dyDescent="0.25">
      <c r="B1018" s="79"/>
      <c r="C1018" s="56"/>
      <c r="D1018" s="56"/>
      <c r="E1018" s="56"/>
      <c r="F1018" s="56"/>
      <c r="G1018" s="56"/>
      <c r="H1018" s="56"/>
    </row>
    <row r="1019" spans="2:8" s="25" customFormat="1" x14ac:dyDescent="0.25">
      <c r="B1019" s="79"/>
      <c r="C1019" s="56"/>
      <c r="D1019" s="56"/>
      <c r="E1019" s="56"/>
      <c r="F1019" s="56"/>
      <c r="G1019" s="56"/>
      <c r="H1019" s="56"/>
    </row>
    <row r="1020" spans="2:8" s="25" customFormat="1" x14ac:dyDescent="0.25">
      <c r="B1020" s="79"/>
      <c r="C1020" s="56"/>
      <c r="D1020" s="56"/>
      <c r="E1020" s="56"/>
      <c r="F1020" s="56"/>
      <c r="G1020" s="56"/>
      <c r="H1020" s="56"/>
    </row>
    <row r="1021" spans="2:8" s="25" customFormat="1" x14ac:dyDescent="0.25">
      <c r="B1021" s="79"/>
      <c r="C1021" s="56"/>
      <c r="D1021" s="56"/>
      <c r="E1021" s="56"/>
      <c r="F1021" s="56"/>
      <c r="G1021" s="56"/>
      <c r="H1021" s="56"/>
    </row>
    <row r="1022" spans="2:8" s="25" customFormat="1" x14ac:dyDescent="0.25">
      <c r="B1022" s="79"/>
      <c r="C1022" s="56"/>
      <c r="D1022" s="56"/>
      <c r="E1022" s="56"/>
      <c r="F1022" s="56"/>
      <c r="G1022" s="56"/>
      <c r="H1022" s="56"/>
    </row>
    <row r="1023" spans="2:8" s="25" customFormat="1" x14ac:dyDescent="0.25">
      <c r="B1023" s="79"/>
      <c r="C1023" s="56"/>
      <c r="D1023" s="56"/>
      <c r="E1023" s="56"/>
      <c r="F1023" s="56"/>
      <c r="G1023" s="56"/>
      <c r="H1023" s="56"/>
    </row>
    <row r="1024" spans="2:8" s="25" customFormat="1" x14ac:dyDescent="0.25">
      <c r="B1024" s="79"/>
      <c r="C1024" s="56"/>
      <c r="D1024" s="56"/>
      <c r="E1024" s="56"/>
      <c r="F1024" s="56"/>
      <c r="G1024" s="56"/>
      <c r="H1024" s="56"/>
    </row>
    <row r="1025" spans="2:8" s="25" customFormat="1" x14ac:dyDescent="0.25">
      <c r="B1025" s="79"/>
      <c r="C1025" s="56"/>
      <c r="D1025" s="56"/>
      <c r="E1025" s="56"/>
      <c r="F1025" s="56"/>
      <c r="G1025" s="56"/>
      <c r="H1025" s="56"/>
    </row>
    <row r="1026" spans="2:8" s="25" customFormat="1" x14ac:dyDescent="0.25">
      <c r="B1026" s="79"/>
      <c r="C1026" s="56"/>
      <c r="D1026" s="56"/>
      <c r="E1026" s="56"/>
      <c r="F1026" s="56"/>
      <c r="G1026" s="56"/>
      <c r="H1026" s="56"/>
    </row>
    <row r="1027" spans="2:8" s="25" customFormat="1" x14ac:dyDescent="0.25">
      <c r="B1027" s="79"/>
      <c r="C1027" s="56"/>
      <c r="D1027" s="56"/>
      <c r="E1027" s="56"/>
      <c r="F1027" s="56"/>
      <c r="G1027" s="56"/>
      <c r="H1027" s="56"/>
    </row>
    <row r="1028" spans="2:8" s="25" customFormat="1" x14ac:dyDescent="0.25">
      <c r="B1028" s="79"/>
      <c r="C1028" s="56"/>
      <c r="D1028" s="56"/>
      <c r="E1028" s="56"/>
      <c r="F1028" s="56"/>
      <c r="G1028" s="56"/>
      <c r="H1028" s="56"/>
    </row>
    <row r="1029" spans="2:8" s="25" customFormat="1" x14ac:dyDescent="0.25">
      <c r="B1029" s="79"/>
      <c r="C1029" s="56"/>
      <c r="D1029" s="56"/>
      <c r="E1029" s="56"/>
      <c r="F1029" s="56"/>
      <c r="G1029" s="56"/>
      <c r="H1029" s="56"/>
    </row>
    <row r="1030" spans="2:8" s="25" customFormat="1" x14ac:dyDescent="0.25">
      <c r="B1030" s="79"/>
      <c r="C1030" s="56"/>
      <c r="D1030" s="56"/>
      <c r="E1030" s="56"/>
      <c r="F1030" s="56"/>
      <c r="G1030" s="56"/>
      <c r="H1030" s="56"/>
    </row>
    <row r="1031" spans="2:8" s="25" customFormat="1" x14ac:dyDescent="0.25">
      <c r="B1031" s="79"/>
      <c r="C1031" s="56"/>
      <c r="D1031" s="56"/>
      <c r="E1031" s="56"/>
      <c r="F1031" s="56"/>
      <c r="G1031" s="56"/>
      <c r="H1031" s="56"/>
    </row>
    <row r="1032" spans="2:8" s="25" customFormat="1" x14ac:dyDescent="0.25">
      <c r="B1032" s="79"/>
      <c r="C1032" s="56"/>
      <c r="D1032" s="56"/>
      <c r="E1032" s="56"/>
      <c r="F1032" s="56"/>
      <c r="G1032" s="56"/>
      <c r="H1032" s="56"/>
    </row>
    <row r="1033" spans="2:8" s="25" customFormat="1" x14ac:dyDescent="0.25">
      <c r="B1033" s="79"/>
      <c r="C1033" s="56"/>
      <c r="D1033" s="56"/>
      <c r="E1033" s="56"/>
      <c r="F1033" s="56"/>
      <c r="G1033" s="56"/>
      <c r="H1033" s="56"/>
    </row>
    <row r="1034" spans="2:8" s="25" customFormat="1" x14ac:dyDescent="0.25">
      <c r="B1034" s="79"/>
      <c r="C1034" s="56"/>
      <c r="D1034" s="56"/>
      <c r="E1034" s="56"/>
      <c r="F1034" s="56"/>
      <c r="G1034" s="56"/>
      <c r="H1034" s="56"/>
    </row>
    <row r="1035" spans="2:8" s="25" customFormat="1" x14ac:dyDescent="0.25">
      <c r="B1035" s="79"/>
      <c r="C1035" s="56"/>
      <c r="D1035" s="56"/>
      <c r="E1035" s="56"/>
      <c r="F1035" s="56"/>
      <c r="G1035" s="56"/>
      <c r="H1035" s="56"/>
    </row>
    <row r="1036" spans="2:8" s="25" customFormat="1" x14ac:dyDescent="0.25">
      <c r="B1036" s="79"/>
      <c r="C1036" s="56"/>
      <c r="D1036" s="56"/>
      <c r="E1036" s="56"/>
      <c r="F1036" s="56"/>
      <c r="G1036" s="56"/>
      <c r="H1036" s="56"/>
    </row>
    <row r="1037" spans="2:8" s="25" customFormat="1" x14ac:dyDescent="0.25">
      <c r="B1037" s="79"/>
      <c r="C1037" s="56"/>
      <c r="D1037" s="56"/>
      <c r="E1037" s="56"/>
      <c r="F1037" s="56"/>
      <c r="G1037" s="56"/>
      <c r="H1037" s="56"/>
    </row>
    <row r="1038" spans="2:8" s="25" customFormat="1" x14ac:dyDescent="0.25">
      <c r="B1038" s="79"/>
      <c r="C1038" s="56"/>
      <c r="D1038" s="56"/>
      <c r="E1038" s="56"/>
      <c r="F1038" s="56"/>
      <c r="G1038" s="56"/>
      <c r="H1038" s="56"/>
    </row>
    <row r="1039" spans="2:8" s="25" customFormat="1" x14ac:dyDescent="0.25">
      <c r="B1039" s="79"/>
      <c r="C1039" s="56"/>
      <c r="D1039" s="56"/>
      <c r="E1039" s="56"/>
      <c r="F1039" s="56"/>
      <c r="G1039" s="56"/>
      <c r="H1039" s="56"/>
    </row>
    <row r="1040" spans="2:8" s="25" customFormat="1" x14ac:dyDescent="0.25">
      <c r="B1040" s="79"/>
      <c r="C1040" s="56"/>
      <c r="D1040" s="56"/>
      <c r="E1040" s="56"/>
      <c r="F1040" s="56"/>
      <c r="G1040" s="56"/>
      <c r="H1040" s="56"/>
    </row>
    <row r="1041" spans="2:8" s="25" customFormat="1" x14ac:dyDescent="0.25">
      <c r="B1041" s="79"/>
      <c r="C1041" s="56"/>
      <c r="D1041" s="56"/>
      <c r="E1041" s="56"/>
      <c r="F1041" s="56"/>
      <c r="G1041" s="56"/>
      <c r="H1041" s="56"/>
    </row>
    <row r="1042" spans="2:8" s="25" customFormat="1" x14ac:dyDescent="0.25">
      <c r="B1042" s="79"/>
      <c r="C1042" s="56"/>
      <c r="D1042" s="56"/>
      <c r="E1042" s="56"/>
      <c r="F1042" s="56"/>
      <c r="G1042" s="56"/>
      <c r="H1042" s="56"/>
    </row>
    <row r="1043" spans="2:8" s="25" customFormat="1" x14ac:dyDescent="0.25">
      <c r="B1043" s="79"/>
      <c r="C1043" s="56"/>
      <c r="D1043" s="56"/>
      <c r="E1043" s="56"/>
      <c r="F1043" s="56"/>
      <c r="G1043" s="56"/>
      <c r="H1043" s="56"/>
    </row>
    <row r="1044" spans="2:8" s="25" customFormat="1" x14ac:dyDescent="0.25">
      <c r="B1044" s="79"/>
      <c r="C1044" s="56"/>
      <c r="D1044" s="56"/>
      <c r="E1044" s="56"/>
      <c r="F1044" s="56"/>
      <c r="G1044" s="56"/>
      <c r="H1044" s="56"/>
    </row>
    <row r="1045" spans="2:8" s="25" customFormat="1" x14ac:dyDescent="0.25">
      <c r="B1045" s="79"/>
      <c r="C1045" s="56"/>
      <c r="D1045" s="56"/>
      <c r="E1045" s="56"/>
      <c r="F1045" s="56"/>
      <c r="G1045" s="56"/>
      <c r="H1045" s="56"/>
    </row>
    <row r="1046" spans="2:8" s="25" customFormat="1" x14ac:dyDescent="0.25">
      <c r="B1046" s="79"/>
      <c r="C1046" s="56"/>
      <c r="D1046" s="56"/>
      <c r="E1046" s="56"/>
      <c r="F1046" s="56"/>
      <c r="G1046" s="56"/>
      <c r="H1046" s="56"/>
    </row>
    <row r="1047" spans="2:8" s="25" customFormat="1" x14ac:dyDescent="0.25">
      <c r="B1047" s="79"/>
      <c r="C1047" s="56"/>
      <c r="D1047" s="56"/>
      <c r="E1047" s="56"/>
      <c r="F1047" s="56"/>
      <c r="G1047" s="56"/>
      <c r="H1047" s="56"/>
    </row>
    <row r="1048" spans="2:8" s="25" customFormat="1" x14ac:dyDescent="0.25">
      <c r="B1048" s="79"/>
      <c r="C1048" s="56"/>
      <c r="D1048" s="56"/>
      <c r="E1048" s="56"/>
      <c r="F1048" s="56"/>
      <c r="G1048" s="56"/>
      <c r="H1048" s="56"/>
    </row>
    <row r="1049" spans="2:8" s="25" customFormat="1" x14ac:dyDescent="0.25">
      <c r="B1049" s="79"/>
      <c r="C1049" s="56"/>
      <c r="D1049" s="56"/>
      <c r="E1049" s="56"/>
      <c r="F1049" s="56"/>
      <c r="G1049" s="56"/>
      <c r="H1049" s="56"/>
    </row>
    <row r="1050" spans="2:8" s="25" customFormat="1" x14ac:dyDescent="0.25">
      <c r="B1050" s="79"/>
      <c r="C1050" s="56"/>
      <c r="D1050" s="56"/>
      <c r="E1050" s="56"/>
      <c r="F1050" s="56"/>
      <c r="G1050" s="56"/>
      <c r="H1050" s="56"/>
    </row>
    <row r="1051" spans="2:8" s="25" customFormat="1" x14ac:dyDescent="0.25">
      <c r="B1051" s="79"/>
      <c r="C1051" s="56"/>
      <c r="D1051" s="56"/>
      <c r="E1051" s="56"/>
      <c r="F1051" s="56"/>
      <c r="G1051" s="56"/>
      <c r="H1051" s="56"/>
    </row>
    <row r="1052" spans="2:8" s="25" customFormat="1" x14ac:dyDescent="0.25">
      <c r="B1052" s="79"/>
      <c r="C1052" s="56"/>
      <c r="D1052" s="56"/>
      <c r="E1052" s="56"/>
      <c r="F1052" s="56"/>
      <c r="G1052" s="56"/>
      <c r="H1052" s="56"/>
    </row>
    <row r="1053" spans="2:8" s="25" customFormat="1" x14ac:dyDescent="0.25">
      <c r="B1053" s="79"/>
      <c r="C1053" s="56"/>
      <c r="D1053" s="56"/>
      <c r="E1053" s="56"/>
      <c r="F1053" s="56"/>
      <c r="G1053" s="56"/>
      <c r="H1053" s="56"/>
    </row>
    <row r="1054" spans="2:8" s="25" customFormat="1" x14ac:dyDescent="0.25">
      <c r="B1054" s="79"/>
      <c r="C1054" s="56"/>
      <c r="D1054" s="56"/>
      <c r="E1054" s="56"/>
      <c r="F1054" s="56"/>
      <c r="G1054" s="56"/>
      <c r="H1054" s="56"/>
    </row>
    <row r="1055" spans="2:8" s="25" customFormat="1" x14ac:dyDescent="0.25">
      <c r="B1055" s="79"/>
      <c r="C1055" s="56"/>
      <c r="D1055" s="56"/>
      <c r="E1055" s="56"/>
      <c r="F1055" s="56"/>
      <c r="G1055" s="56"/>
      <c r="H1055" s="56"/>
    </row>
    <row r="1056" spans="2:8" s="25" customFormat="1" x14ac:dyDescent="0.25">
      <c r="B1056" s="79"/>
      <c r="C1056" s="56"/>
      <c r="D1056" s="56"/>
      <c r="E1056" s="56"/>
      <c r="F1056" s="56"/>
      <c r="G1056" s="56"/>
      <c r="H1056" s="56"/>
    </row>
    <row r="1057" spans="2:8" s="25" customFormat="1" x14ac:dyDescent="0.25">
      <c r="B1057" s="79"/>
      <c r="C1057" s="56"/>
      <c r="D1057" s="56"/>
      <c r="E1057" s="56"/>
      <c r="F1057" s="56"/>
      <c r="G1057" s="56"/>
      <c r="H1057" s="56"/>
    </row>
    <row r="1058" spans="2:8" s="25" customFormat="1" x14ac:dyDescent="0.25">
      <c r="B1058" s="79"/>
      <c r="C1058" s="56"/>
      <c r="D1058" s="56"/>
      <c r="E1058" s="56"/>
      <c r="F1058" s="56"/>
      <c r="G1058" s="56"/>
      <c r="H1058" s="56"/>
    </row>
    <row r="1059" spans="2:8" s="25" customFormat="1" x14ac:dyDescent="0.25">
      <c r="B1059" s="79"/>
      <c r="C1059" s="56"/>
      <c r="D1059" s="56"/>
      <c r="E1059" s="56"/>
      <c r="F1059" s="56"/>
      <c r="G1059" s="56"/>
      <c r="H1059" s="56"/>
    </row>
    <row r="1060" spans="2:8" s="25" customFormat="1" x14ac:dyDescent="0.25">
      <c r="B1060" s="79"/>
      <c r="C1060" s="56"/>
      <c r="D1060" s="56"/>
      <c r="E1060" s="56"/>
      <c r="F1060" s="56"/>
      <c r="G1060" s="56"/>
      <c r="H1060" s="56"/>
    </row>
    <row r="1061" spans="2:8" s="25" customFormat="1" x14ac:dyDescent="0.25">
      <c r="B1061" s="79"/>
      <c r="C1061" s="56"/>
      <c r="D1061" s="56"/>
      <c r="E1061" s="56"/>
      <c r="F1061" s="56"/>
      <c r="G1061" s="56"/>
      <c r="H1061" s="56"/>
    </row>
    <row r="1062" spans="2:8" s="25" customFormat="1" x14ac:dyDescent="0.25">
      <c r="B1062" s="79"/>
      <c r="C1062" s="56"/>
      <c r="D1062" s="56"/>
      <c r="E1062" s="56"/>
      <c r="F1062" s="56"/>
      <c r="G1062" s="56"/>
      <c r="H1062" s="56"/>
    </row>
    <row r="1063" spans="2:8" s="25" customFormat="1" x14ac:dyDescent="0.25">
      <c r="B1063" s="79"/>
      <c r="C1063" s="56"/>
      <c r="D1063" s="56"/>
      <c r="E1063" s="56"/>
      <c r="F1063" s="56"/>
      <c r="G1063" s="56"/>
      <c r="H1063" s="56"/>
    </row>
    <row r="1064" spans="2:8" s="25" customFormat="1" x14ac:dyDescent="0.25">
      <c r="B1064" s="79"/>
      <c r="C1064" s="56"/>
      <c r="D1064" s="56"/>
      <c r="E1064" s="56"/>
      <c r="F1064" s="56"/>
      <c r="G1064" s="56"/>
      <c r="H1064" s="56"/>
    </row>
    <row r="1065" spans="2:8" s="25" customFormat="1" x14ac:dyDescent="0.25">
      <c r="B1065" s="79"/>
      <c r="C1065" s="56"/>
      <c r="D1065" s="56"/>
      <c r="E1065" s="56"/>
      <c r="F1065" s="56"/>
      <c r="G1065" s="56"/>
      <c r="H1065" s="56"/>
    </row>
    <row r="1066" spans="2:8" s="25" customFormat="1" x14ac:dyDescent="0.25">
      <c r="B1066" s="79"/>
      <c r="C1066" s="56"/>
      <c r="D1066" s="56"/>
      <c r="E1066" s="56"/>
      <c r="F1066" s="56"/>
      <c r="G1066" s="56"/>
      <c r="H1066" s="56"/>
    </row>
    <row r="1067" spans="2:8" s="25" customFormat="1" x14ac:dyDescent="0.25">
      <c r="B1067" s="79"/>
      <c r="C1067" s="56"/>
      <c r="D1067" s="56"/>
      <c r="E1067" s="56"/>
      <c r="F1067" s="56"/>
      <c r="G1067" s="56"/>
      <c r="H1067" s="56"/>
    </row>
    <row r="1068" spans="2:8" s="25" customFormat="1" x14ac:dyDescent="0.25">
      <c r="B1068" s="79"/>
      <c r="C1068" s="56"/>
      <c r="D1068" s="56"/>
      <c r="E1068" s="56"/>
      <c r="F1068" s="56"/>
      <c r="G1068" s="56"/>
      <c r="H1068" s="56"/>
    </row>
    <row r="1069" spans="2:8" s="25" customFormat="1" x14ac:dyDescent="0.25">
      <c r="B1069" s="79"/>
      <c r="C1069" s="56"/>
      <c r="D1069" s="56"/>
      <c r="E1069" s="56"/>
      <c r="F1069" s="56"/>
      <c r="G1069" s="56"/>
      <c r="H1069" s="56"/>
    </row>
    <row r="1070" spans="2:8" s="25" customFormat="1" x14ac:dyDescent="0.25">
      <c r="B1070" s="79"/>
      <c r="C1070" s="56"/>
      <c r="D1070" s="56"/>
      <c r="E1070" s="56"/>
      <c r="F1070" s="56"/>
      <c r="G1070" s="56"/>
      <c r="H1070" s="56"/>
    </row>
    <row r="1071" spans="2:8" s="25" customFormat="1" x14ac:dyDescent="0.25">
      <c r="B1071" s="79"/>
      <c r="C1071" s="56"/>
      <c r="D1071" s="56"/>
      <c r="E1071" s="56"/>
      <c r="F1071" s="56"/>
      <c r="G1071" s="56"/>
      <c r="H1071" s="56"/>
    </row>
    <row r="1072" spans="2:8" s="25" customFormat="1" x14ac:dyDescent="0.25">
      <c r="B1072" s="79"/>
      <c r="C1072" s="56"/>
      <c r="D1072" s="56"/>
      <c r="E1072" s="56"/>
      <c r="F1072" s="56"/>
      <c r="G1072" s="56"/>
      <c r="H1072" s="56"/>
    </row>
    <row r="1073" spans="2:8" s="25" customFormat="1" x14ac:dyDescent="0.25">
      <c r="B1073" s="79"/>
      <c r="C1073" s="56"/>
      <c r="D1073" s="56"/>
      <c r="E1073" s="56"/>
      <c r="F1073" s="56"/>
      <c r="G1073" s="56"/>
      <c r="H1073" s="56"/>
    </row>
    <row r="1074" spans="2:8" s="25" customFormat="1" x14ac:dyDescent="0.25">
      <c r="B1074" s="79"/>
      <c r="C1074" s="56"/>
      <c r="D1074" s="56"/>
      <c r="E1074" s="56"/>
      <c r="F1074" s="56"/>
      <c r="G1074" s="56"/>
      <c r="H1074" s="56"/>
    </row>
    <row r="1075" spans="2:8" s="25" customFormat="1" x14ac:dyDescent="0.25">
      <c r="B1075" s="79"/>
      <c r="C1075" s="56"/>
      <c r="D1075" s="56"/>
      <c r="E1075" s="56"/>
      <c r="F1075" s="56"/>
      <c r="G1075" s="56"/>
      <c r="H1075" s="56"/>
    </row>
    <row r="1076" spans="2:8" s="25" customFormat="1" x14ac:dyDescent="0.25">
      <c r="B1076" s="79"/>
      <c r="C1076" s="56"/>
      <c r="D1076" s="56"/>
      <c r="E1076" s="56"/>
      <c r="F1076" s="56"/>
      <c r="G1076" s="56"/>
      <c r="H1076" s="56"/>
    </row>
    <row r="1077" spans="2:8" s="25" customFormat="1" x14ac:dyDescent="0.25">
      <c r="B1077" s="79"/>
      <c r="C1077" s="56"/>
      <c r="D1077" s="56"/>
      <c r="E1077" s="56"/>
      <c r="F1077" s="56"/>
      <c r="G1077" s="56"/>
      <c r="H1077" s="56"/>
    </row>
    <row r="1078" spans="2:8" s="25" customFormat="1" x14ac:dyDescent="0.25">
      <c r="B1078" s="79"/>
      <c r="C1078" s="56"/>
      <c r="D1078" s="56"/>
      <c r="E1078" s="56"/>
      <c r="F1078" s="56"/>
      <c r="G1078" s="56"/>
      <c r="H1078" s="56"/>
    </row>
    <row r="1079" spans="2:8" s="25" customFormat="1" x14ac:dyDescent="0.25">
      <c r="B1079" s="79"/>
      <c r="C1079" s="56"/>
      <c r="D1079" s="56"/>
      <c r="E1079" s="56"/>
      <c r="F1079" s="56"/>
      <c r="G1079" s="56"/>
      <c r="H1079" s="56"/>
    </row>
    <row r="1080" spans="2:8" s="25" customFormat="1" x14ac:dyDescent="0.25">
      <c r="B1080" s="79"/>
      <c r="C1080" s="56"/>
      <c r="D1080" s="56"/>
      <c r="E1080" s="56"/>
      <c r="F1080" s="56"/>
      <c r="G1080" s="56"/>
      <c r="H1080" s="56"/>
    </row>
    <row r="1081" spans="2:8" s="25" customFormat="1" x14ac:dyDescent="0.25">
      <c r="B1081" s="79"/>
      <c r="C1081" s="56"/>
      <c r="D1081" s="56"/>
      <c r="E1081" s="56"/>
      <c r="F1081" s="56"/>
      <c r="G1081" s="56"/>
      <c r="H1081" s="56"/>
    </row>
    <row r="1082" spans="2:8" s="25" customFormat="1" x14ac:dyDescent="0.25">
      <c r="B1082" s="79"/>
      <c r="C1082" s="56"/>
      <c r="D1082" s="56"/>
      <c r="E1082" s="56"/>
      <c r="F1082" s="56"/>
      <c r="G1082" s="56"/>
      <c r="H1082" s="56"/>
    </row>
    <row r="1083" spans="2:8" s="25" customFormat="1" x14ac:dyDescent="0.25">
      <c r="B1083" s="79"/>
      <c r="C1083" s="56"/>
      <c r="D1083" s="56"/>
      <c r="E1083" s="56"/>
      <c r="F1083" s="56"/>
      <c r="G1083" s="56"/>
      <c r="H1083" s="56"/>
    </row>
    <row r="1084" spans="2:8" s="25" customFormat="1" x14ac:dyDescent="0.25">
      <c r="B1084" s="79"/>
      <c r="C1084" s="56"/>
      <c r="D1084" s="56"/>
      <c r="E1084" s="56"/>
      <c r="F1084" s="56"/>
      <c r="G1084" s="56"/>
      <c r="H1084" s="56"/>
    </row>
    <row r="1085" spans="2:8" s="25" customFormat="1" x14ac:dyDescent="0.25">
      <c r="B1085" s="79"/>
      <c r="C1085" s="56"/>
      <c r="D1085" s="56"/>
      <c r="E1085" s="56"/>
      <c r="F1085" s="56"/>
      <c r="G1085" s="56"/>
      <c r="H1085" s="56"/>
    </row>
    <row r="1086" spans="2:8" s="25" customFormat="1" x14ac:dyDescent="0.25">
      <c r="B1086" s="79"/>
      <c r="C1086" s="56"/>
      <c r="D1086" s="56"/>
      <c r="E1086" s="56"/>
      <c r="F1086" s="56"/>
      <c r="G1086" s="56"/>
      <c r="H1086" s="56"/>
    </row>
    <row r="1087" spans="2:8" s="25" customFormat="1" x14ac:dyDescent="0.25">
      <c r="B1087" s="79"/>
      <c r="C1087" s="56"/>
      <c r="D1087" s="56"/>
      <c r="E1087" s="56"/>
      <c r="F1087" s="56"/>
      <c r="G1087" s="56"/>
      <c r="H1087" s="56"/>
    </row>
    <row r="1088" spans="2:8" s="25" customFormat="1" x14ac:dyDescent="0.25">
      <c r="B1088" s="79"/>
      <c r="C1088" s="56"/>
      <c r="D1088" s="56"/>
      <c r="E1088" s="56"/>
      <c r="F1088" s="56"/>
      <c r="G1088" s="56"/>
      <c r="H1088" s="56"/>
    </row>
    <row r="1089" spans="2:8" s="25" customFormat="1" x14ac:dyDescent="0.25">
      <c r="B1089" s="79"/>
      <c r="C1089" s="56"/>
      <c r="D1089" s="56"/>
      <c r="E1089" s="56"/>
      <c r="F1089" s="56"/>
      <c r="G1089" s="56"/>
      <c r="H1089" s="56"/>
    </row>
    <row r="1090" spans="2:8" s="25" customFormat="1" x14ac:dyDescent="0.25">
      <c r="B1090" s="79"/>
      <c r="C1090" s="56"/>
      <c r="D1090" s="56"/>
      <c r="E1090" s="56"/>
      <c r="F1090" s="56"/>
      <c r="G1090" s="56"/>
      <c r="H1090" s="56"/>
    </row>
    <row r="1091" spans="2:8" s="25" customFormat="1" x14ac:dyDescent="0.25">
      <c r="B1091" s="79"/>
      <c r="C1091" s="56"/>
      <c r="D1091" s="56"/>
      <c r="E1091" s="56"/>
      <c r="F1091" s="56"/>
      <c r="G1091" s="56"/>
      <c r="H1091" s="56"/>
    </row>
    <row r="1092" spans="2:8" s="25" customFormat="1" x14ac:dyDescent="0.25">
      <c r="B1092" s="79"/>
      <c r="C1092" s="56"/>
      <c r="D1092" s="56"/>
      <c r="E1092" s="56"/>
      <c r="F1092" s="56"/>
      <c r="G1092" s="56"/>
      <c r="H1092" s="56"/>
    </row>
    <row r="1093" spans="2:8" s="25" customFormat="1" x14ac:dyDescent="0.25">
      <c r="B1093" s="79"/>
      <c r="C1093" s="56"/>
      <c r="D1093" s="56"/>
      <c r="E1093" s="56"/>
      <c r="F1093" s="56"/>
      <c r="G1093" s="56"/>
      <c r="H1093" s="56"/>
    </row>
    <row r="1094" spans="2:8" s="25" customFormat="1" x14ac:dyDescent="0.25">
      <c r="B1094" s="79"/>
      <c r="C1094" s="56"/>
      <c r="D1094" s="56"/>
      <c r="E1094" s="56"/>
      <c r="F1094" s="56"/>
      <c r="G1094" s="56"/>
      <c r="H1094" s="56"/>
    </row>
    <row r="1095" spans="2:8" s="25" customFormat="1" x14ac:dyDescent="0.25">
      <c r="B1095" s="79"/>
      <c r="C1095" s="56"/>
      <c r="D1095" s="56"/>
      <c r="E1095" s="56"/>
      <c r="F1095" s="56"/>
      <c r="G1095" s="56"/>
      <c r="H1095" s="56"/>
    </row>
    <row r="1096" spans="2:8" s="25" customFormat="1" x14ac:dyDescent="0.25">
      <c r="B1096" s="79"/>
      <c r="C1096" s="56"/>
      <c r="D1096" s="56"/>
      <c r="E1096" s="56"/>
      <c r="F1096" s="56"/>
      <c r="G1096" s="56"/>
      <c r="H1096" s="56"/>
    </row>
    <row r="1097" spans="2:8" s="25" customFormat="1" x14ac:dyDescent="0.25">
      <c r="B1097" s="79"/>
      <c r="C1097" s="56"/>
      <c r="D1097" s="56"/>
      <c r="E1097" s="56"/>
      <c r="F1097" s="56"/>
      <c r="G1097" s="56"/>
      <c r="H1097" s="56"/>
    </row>
    <row r="1098" spans="2:8" s="25" customFormat="1" x14ac:dyDescent="0.25">
      <c r="B1098" s="79"/>
      <c r="C1098" s="56"/>
      <c r="D1098" s="56"/>
      <c r="E1098" s="56"/>
      <c r="F1098" s="56"/>
      <c r="G1098" s="56"/>
      <c r="H1098" s="56"/>
    </row>
    <row r="1099" spans="2:8" s="25" customFormat="1" x14ac:dyDescent="0.25">
      <c r="B1099" s="79"/>
      <c r="C1099" s="56"/>
      <c r="D1099" s="56"/>
      <c r="E1099" s="56"/>
      <c r="F1099" s="56"/>
      <c r="G1099" s="56"/>
      <c r="H1099" s="56"/>
    </row>
    <row r="1100" spans="2:8" s="25" customFormat="1" x14ac:dyDescent="0.25">
      <c r="B1100" s="79"/>
      <c r="C1100" s="56"/>
      <c r="D1100" s="56"/>
      <c r="E1100" s="56"/>
      <c r="F1100" s="56"/>
      <c r="G1100" s="56"/>
      <c r="H1100" s="56"/>
    </row>
    <row r="1101" spans="2:8" s="25" customFormat="1" x14ac:dyDescent="0.25">
      <c r="B1101" s="79"/>
      <c r="C1101" s="56"/>
      <c r="D1101" s="56"/>
      <c r="E1101" s="56"/>
      <c r="F1101" s="56"/>
      <c r="G1101" s="56"/>
      <c r="H1101" s="56"/>
    </row>
    <row r="1102" spans="2:8" s="25" customFormat="1" x14ac:dyDescent="0.25">
      <c r="B1102" s="79"/>
      <c r="C1102" s="56"/>
      <c r="D1102" s="56"/>
      <c r="E1102" s="56"/>
      <c r="F1102" s="56"/>
      <c r="G1102" s="56"/>
      <c r="H1102" s="56"/>
    </row>
    <row r="1103" spans="2:8" s="25" customFormat="1" x14ac:dyDescent="0.25">
      <c r="B1103" s="79"/>
      <c r="C1103" s="56"/>
      <c r="D1103" s="56"/>
      <c r="E1103" s="56"/>
      <c r="F1103" s="56"/>
      <c r="G1103" s="56"/>
      <c r="H1103" s="56"/>
    </row>
    <row r="1104" spans="2:8" s="25" customFormat="1" x14ac:dyDescent="0.25">
      <c r="B1104" s="79"/>
      <c r="C1104" s="56"/>
      <c r="D1104" s="56"/>
      <c r="E1104" s="56"/>
      <c r="F1104" s="56"/>
      <c r="G1104" s="56"/>
      <c r="H1104" s="56"/>
    </row>
    <row r="1105" spans="2:8" s="25" customFormat="1" x14ac:dyDescent="0.25">
      <c r="B1105" s="79"/>
      <c r="C1105" s="56"/>
      <c r="D1105" s="56"/>
      <c r="E1105" s="56"/>
      <c r="F1105" s="56"/>
      <c r="G1105" s="56"/>
      <c r="H1105" s="56"/>
    </row>
    <row r="1106" spans="2:8" s="25" customFormat="1" x14ac:dyDescent="0.25">
      <c r="B1106" s="79"/>
      <c r="C1106" s="56"/>
      <c r="D1106" s="56"/>
      <c r="E1106" s="56"/>
      <c r="F1106" s="56"/>
      <c r="G1106" s="56"/>
      <c r="H1106" s="56"/>
    </row>
    <row r="1107" spans="2:8" s="25" customFormat="1" x14ac:dyDescent="0.25">
      <c r="B1107" s="79"/>
      <c r="C1107" s="56"/>
      <c r="D1107" s="56"/>
      <c r="E1107" s="56"/>
      <c r="F1107" s="56"/>
      <c r="G1107" s="56"/>
      <c r="H1107" s="56"/>
    </row>
    <row r="1108" spans="2:8" s="25" customFormat="1" x14ac:dyDescent="0.25">
      <c r="B1108" s="79"/>
      <c r="C1108" s="56"/>
      <c r="D1108" s="56"/>
      <c r="E1108" s="56"/>
      <c r="F1108" s="56"/>
      <c r="G1108" s="56"/>
      <c r="H1108" s="56"/>
    </row>
    <row r="1109" spans="2:8" s="25" customFormat="1" x14ac:dyDescent="0.25">
      <c r="B1109" s="79"/>
      <c r="C1109" s="56"/>
      <c r="D1109" s="56"/>
      <c r="E1109" s="56"/>
      <c r="F1109" s="56"/>
      <c r="G1109" s="56"/>
      <c r="H1109" s="56"/>
    </row>
    <row r="1110" spans="2:8" s="25" customFormat="1" x14ac:dyDescent="0.25">
      <c r="B1110" s="79"/>
      <c r="C1110" s="56"/>
      <c r="D1110" s="56"/>
      <c r="E1110" s="56"/>
      <c r="F1110" s="56"/>
      <c r="G1110" s="56"/>
      <c r="H1110" s="56"/>
    </row>
    <row r="1111" spans="2:8" s="25" customFormat="1" x14ac:dyDescent="0.25">
      <c r="B1111" s="79"/>
      <c r="C1111" s="56"/>
      <c r="D1111" s="56"/>
      <c r="E1111" s="56"/>
      <c r="F1111" s="56"/>
      <c r="G1111" s="56"/>
      <c r="H1111" s="56"/>
    </row>
    <row r="1112" spans="2:8" s="25" customFormat="1" x14ac:dyDescent="0.25">
      <c r="B1112" s="79"/>
      <c r="C1112" s="56"/>
      <c r="D1112" s="56"/>
      <c r="E1112" s="56"/>
      <c r="F1112" s="56"/>
      <c r="G1112" s="56"/>
      <c r="H1112" s="56"/>
    </row>
    <row r="1113" spans="2:8" s="25" customFormat="1" x14ac:dyDescent="0.25">
      <c r="B1113" s="79"/>
      <c r="C1113" s="56"/>
      <c r="D1113" s="56"/>
      <c r="E1113" s="56"/>
      <c r="F1113" s="56"/>
      <c r="G1113" s="56"/>
      <c r="H1113" s="56"/>
    </row>
    <row r="1114" spans="2:8" s="25" customFormat="1" x14ac:dyDescent="0.25">
      <c r="B1114" s="79"/>
      <c r="C1114" s="56"/>
      <c r="D1114" s="56"/>
      <c r="E1114" s="56"/>
      <c r="F1114" s="56"/>
      <c r="G1114" s="56"/>
      <c r="H1114" s="56"/>
    </row>
    <row r="1115" spans="2:8" s="25" customFormat="1" x14ac:dyDescent="0.25">
      <c r="B1115" s="79"/>
      <c r="C1115" s="56"/>
      <c r="D1115" s="56"/>
      <c r="E1115" s="56"/>
      <c r="F1115" s="56"/>
      <c r="G1115" s="56"/>
      <c r="H1115" s="56"/>
    </row>
    <row r="1116" spans="2:8" s="25" customFormat="1" x14ac:dyDescent="0.25">
      <c r="B1116" s="79"/>
      <c r="C1116" s="56"/>
      <c r="D1116" s="56"/>
      <c r="E1116" s="56"/>
      <c r="F1116" s="56"/>
      <c r="G1116" s="56"/>
      <c r="H1116" s="56"/>
    </row>
    <row r="1117" spans="2:8" s="25" customFormat="1" x14ac:dyDescent="0.25">
      <c r="B1117" s="79"/>
      <c r="C1117" s="56"/>
      <c r="D1117" s="56"/>
      <c r="E1117" s="56"/>
      <c r="F1117" s="56"/>
      <c r="G1117" s="56"/>
      <c r="H1117" s="56"/>
    </row>
    <row r="1118" spans="2:8" s="25" customFormat="1" x14ac:dyDescent="0.25">
      <c r="B1118" s="79"/>
      <c r="C1118" s="56"/>
      <c r="D1118" s="56"/>
      <c r="E1118" s="56"/>
      <c r="F1118" s="56"/>
      <c r="G1118" s="56"/>
      <c r="H1118" s="56"/>
    </row>
    <row r="1119" spans="2:8" s="25" customFormat="1" x14ac:dyDescent="0.25">
      <c r="B1119" s="79"/>
      <c r="C1119" s="56"/>
      <c r="D1119" s="56"/>
      <c r="E1119" s="56"/>
      <c r="F1119" s="56"/>
      <c r="G1119" s="56"/>
      <c r="H1119" s="56"/>
    </row>
    <row r="1120" spans="2:8" s="25" customFormat="1" x14ac:dyDescent="0.25">
      <c r="B1120" s="79"/>
      <c r="C1120" s="56"/>
      <c r="D1120" s="56"/>
      <c r="E1120" s="56"/>
      <c r="F1120" s="56"/>
      <c r="G1120" s="56"/>
      <c r="H1120" s="56"/>
    </row>
    <row r="1121" spans="2:8" s="25" customFormat="1" x14ac:dyDescent="0.25">
      <c r="B1121" s="79"/>
      <c r="C1121" s="56"/>
      <c r="D1121" s="56"/>
      <c r="E1121" s="56"/>
      <c r="F1121" s="56"/>
      <c r="G1121" s="56"/>
      <c r="H1121" s="56"/>
    </row>
    <row r="1122" spans="2:8" s="25" customFormat="1" x14ac:dyDescent="0.25">
      <c r="B1122" s="79"/>
      <c r="C1122" s="56"/>
      <c r="D1122" s="56"/>
      <c r="E1122" s="56"/>
      <c r="F1122" s="56"/>
      <c r="G1122" s="56"/>
      <c r="H1122" s="56"/>
    </row>
    <row r="1123" spans="2:8" s="25" customFormat="1" x14ac:dyDescent="0.25">
      <c r="B1123" s="79"/>
      <c r="C1123" s="56"/>
      <c r="D1123" s="56"/>
      <c r="E1123" s="56"/>
      <c r="F1123" s="56"/>
      <c r="G1123" s="56"/>
      <c r="H1123" s="56"/>
    </row>
    <row r="1124" spans="2:8" s="25" customFormat="1" x14ac:dyDescent="0.25">
      <c r="B1124" s="79"/>
      <c r="C1124" s="56"/>
      <c r="D1124" s="56"/>
      <c r="E1124" s="56"/>
      <c r="F1124" s="56"/>
      <c r="G1124" s="56"/>
      <c r="H1124" s="56"/>
    </row>
    <row r="1125" spans="2:8" s="25" customFormat="1" x14ac:dyDescent="0.25">
      <c r="B1125" s="79"/>
      <c r="C1125" s="56"/>
      <c r="D1125" s="56"/>
      <c r="E1125" s="56"/>
      <c r="F1125" s="56"/>
      <c r="G1125" s="56"/>
      <c r="H1125" s="56"/>
    </row>
    <row r="1126" spans="2:8" s="25" customFormat="1" x14ac:dyDescent="0.25">
      <c r="B1126" s="79"/>
      <c r="C1126" s="56"/>
      <c r="D1126" s="56"/>
      <c r="E1126" s="56"/>
      <c r="F1126" s="56"/>
      <c r="G1126" s="56"/>
      <c r="H1126" s="56"/>
    </row>
    <row r="1127" spans="2:8" s="25" customFormat="1" x14ac:dyDescent="0.25">
      <c r="B1127" s="79"/>
      <c r="C1127" s="56"/>
      <c r="D1127" s="56"/>
      <c r="E1127" s="56"/>
      <c r="F1127" s="56"/>
      <c r="G1127" s="56"/>
      <c r="H1127" s="56"/>
    </row>
    <row r="1128" spans="2:8" s="25" customFormat="1" x14ac:dyDescent="0.25">
      <c r="B1128" s="79"/>
      <c r="C1128" s="56"/>
      <c r="D1128" s="56"/>
      <c r="E1128" s="56"/>
      <c r="F1128" s="56"/>
      <c r="G1128" s="56"/>
      <c r="H1128" s="56"/>
    </row>
    <row r="1129" spans="2:8" s="25" customFormat="1" x14ac:dyDescent="0.25">
      <c r="B1129" s="79"/>
      <c r="C1129" s="56"/>
      <c r="D1129" s="56"/>
      <c r="E1129" s="56"/>
      <c r="F1129" s="56"/>
      <c r="G1129" s="56"/>
      <c r="H1129" s="56"/>
    </row>
    <row r="1130" spans="2:8" s="25" customFormat="1" x14ac:dyDescent="0.25">
      <c r="B1130" s="79"/>
      <c r="C1130" s="56"/>
      <c r="D1130" s="56"/>
      <c r="E1130" s="56"/>
      <c r="F1130" s="56"/>
      <c r="G1130" s="56"/>
      <c r="H1130" s="56"/>
    </row>
    <row r="1131" spans="2:8" s="25" customFormat="1" x14ac:dyDescent="0.25">
      <c r="B1131" s="79"/>
      <c r="C1131" s="56"/>
      <c r="D1131" s="56"/>
      <c r="E1131" s="56"/>
      <c r="F1131" s="56"/>
      <c r="G1131" s="56"/>
      <c r="H1131" s="56"/>
    </row>
    <row r="1132" spans="2:8" s="25" customFormat="1" x14ac:dyDescent="0.25">
      <c r="B1132" s="79"/>
      <c r="C1132" s="56"/>
      <c r="D1132" s="56"/>
      <c r="E1132" s="56"/>
      <c r="F1132" s="56"/>
      <c r="G1132" s="56"/>
      <c r="H1132" s="56"/>
    </row>
    <row r="1133" spans="2:8" s="25" customFormat="1" x14ac:dyDescent="0.25">
      <c r="B1133" s="79"/>
      <c r="C1133" s="56"/>
      <c r="D1133" s="56"/>
      <c r="E1133" s="56"/>
      <c r="F1133" s="56"/>
      <c r="G1133" s="56"/>
      <c r="H1133" s="56"/>
    </row>
    <row r="1134" spans="2:8" s="25" customFormat="1" x14ac:dyDescent="0.25">
      <c r="B1134" s="79"/>
      <c r="C1134" s="56"/>
      <c r="D1134" s="56"/>
      <c r="E1134" s="56"/>
      <c r="F1134" s="56"/>
      <c r="G1134" s="56"/>
      <c r="H1134" s="56"/>
    </row>
    <row r="1135" spans="2:8" s="25" customFormat="1" x14ac:dyDescent="0.25">
      <c r="B1135" s="79"/>
      <c r="C1135" s="56"/>
      <c r="D1135" s="56"/>
      <c r="E1135" s="56"/>
      <c r="F1135" s="56"/>
      <c r="G1135" s="56"/>
      <c r="H1135" s="56"/>
    </row>
    <row r="1136" spans="2:8" s="25" customFormat="1" x14ac:dyDescent="0.25">
      <c r="B1136" s="79"/>
      <c r="C1136" s="56"/>
      <c r="D1136" s="56"/>
      <c r="E1136" s="56"/>
      <c r="F1136" s="56"/>
      <c r="G1136" s="56"/>
      <c r="H1136" s="56"/>
    </row>
    <row r="1137" spans="2:8" s="25" customFormat="1" x14ac:dyDescent="0.25">
      <c r="B1137" s="79"/>
      <c r="C1137" s="56"/>
      <c r="D1137" s="56"/>
      <c r="E1137" s="56"/>
      <c r="F1137" s="56"/>
      <c r="G1137" s="56"/>
      <c r="H1137" s="56"/>
    </row>
    <row r="1138" spans="2:8" s="25" customFormat="1" x14ac:dyDescent="0.25">
      <c r="B1138" s="79"/>
      <c r="C1138" s="56"/>
      <c r="D1138" s="56"/>
      <c r="E1138" s="56"/>
      <c r="F1138" s="56"/>
      <c r="G1138" s="56"/>
      <c r="H1138" s="56"/>
    </row>
    <row r="1139" spans="2:8" s="25" customFormat="1" x14ac:dyDescent="0.25">
      <c r="B1139" s="79"/>
      <c r="C1139" s="56"/>
      <c r="D1139" s="56"/>
      <c r="E1139" s="56"/>
      <c r="F1139" s="56"/>
      <c r="G1139" s="56"/>
      <c r="H1139" s="56"/>
    </row>
    <row r="1140" spans="2:8" s="25" customFormat="1" x14ac:dyDescent="0.25">
      <c r="B1140" s="79"/>
      <c r="C1140" s="56"/>
      <c r="D1140" s="56"/>
      <c r="E1140" s="56"/>
      <c r="F1140" s="56"/>
      <c r="G1140" s="56"/>
      <c r="H1140" s="56"/>
    </row>
    <row r="1141" spans="2:8" s="25" customFormat="1" x14ac:dyDescent="0.25">
      <c r="B1141" s="79"/>
      <c r="C1141" s="56"/>
      <c r="D1141" s="56"/>
      <c r="E1141" s="56"/>
      <c r="F1141" s="56"/>
      <c r="G1141" s="56"/>
      <c r="H1141" s="56"/>
    </row>
    <row r="1142" spans="2:8" s="25" customFormat="1" x14ac:dyDescent="0.25">
      <c r="B1142" s="79"/>
      <c r="C1142" s="56"/>
      <c r="D1142" s="56"/>
      <c r="E1142" s="56"/>
      <c r="F1142" s="56"/>
      <c r="G1142" s="56"/>
      <c r="H1142" s="56"/>
    </row>
    <row r="1143" spans="2:8" s="25" customFormat="1" x14ac:dyDescent="0.25">
      <c r="B1143" s="79"/>
      <c r="C1143" s="56"/>
      <c r="D1143" s="56"/>
      <c r="E1143" s="56"/>
      <c r="F1143" s="56"/>
      <c r="G1143" s="56"/>
      <c r="H1143" s="56"/>
    </row>
    <row r="1144" spans="2:8" s="25" customFormat="1" x14ac:dyDescent="0.25">
      <c r="B1144" s="79"/>
      <c r="C1144" s="56"/>
      <c r="D1144" s="56"/>
      <c r="E1144" s="56"/>
      <c r="F1144" s="56"/>
      <c r="G1144" s="56"/>
      <c r="H1144" s="56"/>
    </row>
    <row r="1145" spans="2:8" s="25" customFormat="1" x14ac:dyDescent="0.25">
      <c r="B1145" s="79"/>
      <c r="C1145" s="56"/>
      <c r="D1145" s="56"/>
      <c r="E1145" s="56"/>
      <c r="F1145" s="56"/>
      <c r="G1145" s="56"/>
      <c r="H1145" s="56"/>
    </row>
    <row r="1146" spans="2:8" s="25" customFormat="1" x14ac:dyDescent="0.25">
      <c r="B1146" s="79"/>
      <c r="C1146" s="56"/>
      <c r="D1146" s="56"/>
      <c r="E1146" s="56"/>
      <c r="F1146" s="56"/>
      <c r="G1146" s="56"/>
      <c r="H1146" s="56"/>
    </row>
    <row r="1147" spans="2:8" s="25" customFormat="1" x14ac:dyDescent="0.25">
      <c r="B1147" s="79"/>
      <c r="C1147" s="56"/>
      <c r="D1147" s="56"/>
      <c r="E1147" s="56"/>
      <c r="F1147" s="56"/>
      <c r="G1147" s="56"/>
      <c r="H1147" s="56"/>
    </row>
    <row r="1148" spans="2:8" s="25" customFormat="1" x14ac:dyDescent="0.25">
      <c r="B1148" s="79"/>
      <c r="C1148" s="56"/>
      <c r="D1148" s="56"/>
      <c r="E1148" s="56"/>
      <c r="F1148" s="56"/>
      <c r="G1148" s="56"/>
      <c r="H1148" s="56"/>
    </row>
    <row r="1149" spans="2:8" s="25" customFormat="1" x14ac:dyDescent="0.25">
      <c r="B1149" s="79"/>
      <c r="C1149" s="56"/>
      <c r="D1149" s="56"/>
      <c r="E1149" s="56"/>
      <c r="F1149" s="56"/>
      <c r="G1149" s="56"/>
      <c r="H1149" s="56"/>
    </row>
    <row r="1150" spans="2:8" s="25" customFormat="1" x14ac:dyDescent="0.25">
      <c r="B1150" s="79"/>
      <c r="C1150" s="56"/>
      <c r="D1150" s="56"/>
      <c r="E1150" s="56"/>
      <c r="F1150" s="56"/>
      <c r="G1150" s="56"/>
      <c r="H1150" s="56"/>
    </row>
    <row r="1151" spans="2:8" s="25" customFormat="1" x14ac:dyDescent="0.25">
      <c r="B1151" s="79"/>
      <c r="C1151" s="56"/>
      <c r="D1151" s="56"/>
      <c r="E1151" s="56"/>
      <c r="F1151" s="56"/>
      <c r="G1151" s="56"/>
      <c r="H1151" s="56"/>
    </row>
    <row r="1152" spans="2:8" s="25" customFormat="1" x14ac:dyDescent="0.25">
      <c r="B1152" s="79"/>
      <c r="C1152" s="56"/>
      <c r="D1152" s="56"/>
      <c r="E1152" s="56"/>
      <c r="F1152" s="56"/>
      <c r="G1152" s="56"/>
      <c r="H1152" s="56"/>
    </row>
    <row r="1153" spans="2:8" s="25" customFormat="1" x14ac:dyDescent="0.25">
      <c r="B1153" s="79"/>
      <c r="C1153" s="56"/>
      <c r="D1153" s="56"/>
      <c r="E1153" s="56"/>
      <c r="F1153" s="56"/>
      <c r="G1153" s="56"/>
      <c r="H1153" s="56"/>
    </row>
    <row r="1154" spans="2:8" s="25" customFormat="1" x14ac:dyDescent="0.25">
      <c r="B1154" s="79"/>
      <c r="C1154" s="56"/>
      <c r="D1154" s="56"/>
      <c r="E1154" s="56"/>
      <c r="F1154" s="56"/>
      <c r="G1154" s="56"/>
      <c r="H1154" s="56"/>
    </row>
    <row r="1155" spans="2:8" s="25" customFormat="1" x14ac:dyDescent="0.25">
      <c r="B1155" s="79"/>
      <c r="C1155" s="56"/>
      <c r="D1155" s="56"/>
      <c r="E1155" s="56"/>
      <c r="F1155" s="56"/>
      <c r="G1155" s="56"/>
      <c r="H1155" s="56"/>
    </row>
    <row r="1156" spans="2:8" s="25" customFormat="1" x14ac:dyDescent="0.25">
      <c r="B1156" s="79"/>
      <c r="C1156" s="56"/>
      <c r="D1156" s="56"/>
      <c r="E1156" s="56"/>
      <c r="F1156" s="56"/>
      <c r="G1156" s="56"/>
      <c r="H1156" s="56"/>
    </row>
    <row r="1157" spans="2:8" s="25" customFormat="1" x14ac:dyDescent="0.25">
      <c r="B1157" s="79"/>
      <c r="C1157" s="56"/>
      <c r="D1157" s="56"/>
      <c r="E1157" s="56"/>
      <c r="F1157" s="56"/>
      <c r="G1157" s="56"/>
      <c r="H1157" s="56"/>
    </row>
    <row r="1158" spans="2:8" s="25" customFormat="1" x14ac:dyDescent="0.25">
      <c r="B1158" s="79"/>
      <c r="C1158" s="56"/>
      <c r="D1158" s="56"/>
      <c r="E1158" s="56"/>
      <c r="F1158" s="56"/>
      <c r="G1158" s="56"/>
      <c r="H1158" s="56"/>
    </row>
    <row r="1159" spans="2:8" s="25" customFormat="1" x14ac:dyDescent="0.25">
      <c r="B1159" s="79"/>
      <c r="C1159" s="56"/>
      <c r="D1159" s="56"/>
      <c r="E1159" s="56"/>
      <c r="F1159" s="56"/>
      <c r="G1159" s="56"/>
      <c r="H1159" s="56"/>
    </row>
    <row r="1160" spans="2:8" s="25" customFormat="1" x14ac:dyDescent="0.25">
      <c r="B1160" s="79"/>
      <c r="C1160" s="56"/>
      <c r="D1160" s="56"/>
      <c r="E1160" s="56"/>
      <c r="F1160" s="56"/>
      <c r="G1160" s="56"/>
      <c r="H1160" s="56"/>
    </row>
    <row r="1161" spans="2:8" s="25" customFormat="1" x14ac:dyDescent="0.25">
      <c r="B1161" s="79"/>
      <c r="C1161" s="56"/>
      <c r="D1161" s="56"/>
      <c r="E1161" s="56"/>
      <c r="F1161" s="56"/>
      <c r="G1161" s="56"/>
      <c r="H1161" s="56"/>
    </row>
    <row r="1162" spans="2:8" s="25" customFormat="1" x14ac:dyDescent="0.25">
      <c r="B1162" s="79"/>
      <c r="C1162" s="56"/>
      <c r="D1162" s="56"/>
      <c r="E1162" s="56"/>
      <c r="F1162" s="56"/>
      <c r="G1162" s="56"/>
      <c r="H1162" s="56"/>
    </row>
    <row r="1163" spans="2:8" s="25" customFormat="1" x14ac:dyDescent="0.25">
      <c r="B1163" s="79"/>
      <c r="C1163" s="56"/>
      <c r="D1163" s="56"/>
      <c r="E1163" s="56"/>
      <c r="F1163" s="56"/>
      <c r="G1163" s="56"/>
      <c r="H1163" s="56"/>
    </row>
    <row r="1164" spans="2:8" s="25" customFormat="1" x14ac:dyDescent="0.25">
      <c r="B1164" s="79"/>
      <c r="C1164" s="56"/>
      <c r="D1164" s="56"/>
      <c r="E1164" s="56"/>
      <c r="F1164" s="56"/>
      <c r="G1164" s="56"/>
      <c r="H1164" s="56"/>
    </row>
    <row r="1165" spans="2:8" s="25" customFormat="1" x14ac:dyDescent="0.25">
      <c r="B1165" s="79"/>
      <c r="C1165" s="56"/>
      <c r="D1165" s="56"/>
      <c r="E1165" s="56"/>
      <c r="F1165" s="56"/>
      <c r="G1165" s="56"/>
      <c r="H1165" s="56"/>
    </row>
    <row r="1166" spans="2:8" s="25" customFormat="1" x14ac:dyDescent="0.25">
      <c r="B1166" s="79"/>
      <c r="C1166" s="56"/>
      <c r="D1166" s="56"/>
      <c r="E1166" s="56"/>
      <c r="F1166" s="56"/>
      <c r="G1166" s="56"/>
      <c r="H1166" s="56"/>
    </row>
    <row r="1167" spans="2:8" s="25" customFormat="1" x14ac:dyDescent="0.25">
      <c r="B1167" s="79"/>
      <c r="C1167" s="56"/>
      <c r="D1167" s="56"/>
      <c r="E1167" s="56"/>
      <c r="F1167" s="56"/>
      <c r="G1167" s="56"/>
      <c r="H1167" s="56"/>
    </row>
    <row r="1168" spans="2:8" s="25" customFormat="1" x14ac:dyDescent="0.25">
      <c r="B1168" s="79"/>
      <c r="C1168" s="56"/>
      <c r="D1168" s="56"/>
      <c r="E1168" s="56"/>
      <c r="F1168" s="56"/>
      <c r="G1168" s="56"/>
      <c r="H1168" s="56"/>
    </row>
    <row r="1169" spans="2:8" s="25" customFormat="1" x14ac:dyDescent="0.25">
      <c r="B1169" s="79"/>
      <c r="C1169" s="56"/>
      <c r="D1169" s="56"/>
      <c r="E1169" s="56"/>
      <c r="F1169" s="56"/>
      <c r="G1169" s="56"/>
      <c r="H1169" s="56"/>
    </row>
    <row r="1170" spans="2:8" s="25" customFormat="1" x14ac:dyDescent="0.25">
      <c r="B1170" s="79"/>
      <c r="C1170" s="56"/>
      <c r="D1170" s="56"/>
      <c r="E1170" s="56"/>
      <c r="F1170" s="56"/>
      <c r="G1170" s="56"/>
      <c r="H1170" s="56"/>
    </row>
    <row r="1171" spans="2:8" s="25" customFormat="1" x14ac:dyDescent="0.25">
      <c r="B1171" s="79"/>
      <c r="C1171" s="56"/>
      <c r="D1171" s="56"/>
      <c r="E1171" s="56"/>
      <c r="F1171" s="56"/>
      <c r="G1171" s="56"/>
      <c r="H1171" s="56"/>
    </row>
    <row r="1172" spans="2:8" s="25" customFormat="1" x14ac:dyDescent="0.25">
      <c r="B1172" s="79"/>
      <c r="C1172" s="56"/>
      <c r="D1172" s="56"/>
      <c r="E1172" s="56"/>
      <c r="F1172" s="56"/>
      <c r="G1172" s="56"/>
      <c r="H1172" s="56"/>
    </row>
    <row r="1173" spans="2:8" s="25" customFormat="1" x14ac:dyDescent="0.25">
      <c r="B1173" s="79"/>
      <c r="C1173" s="56"/>
      <c r="D1173" s="56"/>
      <c r="E1173" s="56"/>
      <c r="F1173" s="56"/>
      <c r="G1173" s="56"/>
      <c r="H1173" s="56"/>
    </row>
    <row r="1174" spans="2:8" s="25" customFormat="1" x14ac:dyDescent="0.25">
      <c r="B1174" s="79"/>
      <c r="C1174" s="56"/>
      <c r="D1174" s="56"/>
      <c r="E1174" s="56"/>
      <c r="F1174" s="56"/>
      <c r="G1174" s="56"/>
      <c r="H1174" s="56"/>
    </row>
    <row r="1175" spans="2:8" s="25" customFormat="1" x14ac:dyDescent="0.25">
      <c r="B1175" s="79"/>
      <c r="C1175" s="56"/>
      <c r="D1175" s="56"/>
      <c r="E1175" s="56"/>
      <c r="F1175" s="56"/>
      <c r="G1175" s="56"/>
      <c r="H1175" s="56"/>
    </row>
    <row r="1176" spans="2:8" s="25" customFormat="1" x14ac:dyDescent="0.25">
      <c r="B1176" s="79"/>
      <c r="C1176" s="56"/>
      <c r="D1176" s="56"/>
      <c r="E1176" s="56"/>
      <c r="F1176" s="56"/>
      <c r="G1176" s="56"/>
      <c r="H1176" s="56"/>
    </row>
    <row r="1177" spans="2:8" s="25" customFormat="1" x14ac:dyDescent="0.25">
      <c r="B1177" s="79"/>
      <c r="C1177" s="56"/>
      <c r="D1177" s="56"/>
      <c r="E1177" s="56"/>
      <c r="F1177" s="56"/>
      <c r="G1177" s="56"/>
      <c r="H1177" s="56"/>
    </row>
    <row r="1178" spans="2:8" s="25" customFormat="1" x14ac:dyDescent="0.25">
      <c r="B1178" s="79"/>
      <c r="C1178" s="56"/>
      <c r="D1178" s="56"/>
      <c r="E1178" s="56"/>
      <c r="F1178" s="56"/>
      <c r="G1178" s="56"/>
      <c r="H1178" s="56"/>
    </row>
    <row r="1179" spans="2:8" s="25" customFormat="1" x14ac:dyDescent="0.25">
      <c r="B1179" s="79"/>
      <c r="C1179" s="56"/>
      <c r="D1179" s="56"/>
      <c r="E1179" s="56"/>
      <c r="F1179" s="56"/>
      <c r="G1179" s="56"/>
      <c r="H1179" s="56"/>
    </row>
    <row r="1180" spans="2:8" s="25" customFormat="1" x14ac:dyDescent="0.25">
      <c r="B1180" s="79"/>
      <c r="C1180" s="56"/>
      <c r="D1180" s="56"/>
      <c r="E1180" s="56"/>
      <c r="F1180" s="56"/>
      <c r="G1180" s="56"/>
      <c r="H1180" s="56"/>
    </row>
    <row r="1181" spans="2:8" s="25" customFormat="1" x14ac:dyDescent="0.25">
      <c r="B1181" s="79"/>
      <c r="C1181" s="56"/>
      <c r="D1181" s="56"/>
      <c r="E1181" s="56"/>
      <c r="F1181" s="56"/>
      <c r="G1181" s="56"/>
      <c r="H1181" s="56"/>
    </row>
    <row r="1182" spans="2:8" s="25" customFormat="1" x14ac:dyDescent="0.25">
      <c r="B1182" s="79"/>
      <c r="C1182" s="56"/>
      <c r="D1182" s="56"/>
      <c r="E1182" s="56"/>
      <c r="F1182" s="56"/>
      <c r="G1182" s="56"/>
      <c r="H1182" s="56"/>
    </row>
    <row r="1183" spans="2:8" s="25" customFormat="1" x14ac:dyDescent="0.25">
      <c r="B1183" s="79"/>
      <c r="C1183" s="56"/>
      <c r="D1183" s="56"/>
      <c r="E1183" s="56"/>
      <c r="F1183" s="56"/>
      <c r="G1183" s="56"/>
      <c r="H1183" s="56"/>
    </row>
    <row r="1184" spans="2:8" s="25" customFormat="1" x14ac:dyDescent="0.25">
      <c r="B1184" s="79"/>
      <c r="C1184" s="56"/>
      <c r="D1184" s="56"/>
      <c r="E1184" s="56"/>
      <c r="F1184" s="56"/>
      <c r="G1184" s="56"/>
      <c r="H1184" s="56"/>
    </row>
    <row r="1185" spans="2:8" s="25" customFormat="1" x14ac:dyDescent="0.25">
      <c r="B1185" s="79"/>
      <c r="C1185" s="56"/>
      <c r="D1185" s="56"/>
      <c r="E1185" s="56"/>
      <c r="F1185" s="56"/>
      <c r="G1185" s="56"/>
      <c r="H1185" s="56"/>
    </row>
    <row r="1186" spans="2:8" s="25" customFormat="1" x14ac:dyDescent="0.25">
      <c r="B1186" s="79"/>
      <c r="C1186" s="56"/>
      <c r="D1186" s="56"/>
      <c r="E1186" s="56"/>
      <c r="F1186" s="56"/>
      <c r="G1186" s="56"/>
      <c r="H1186" s="56"/>
    </row>
    <row r="1187" spans="2:8" s="25" customFormat="1" x14ac:dyDescent="0.25">
      <c r="B1187" s="79"/>
      <c r="C1187" s="56"/>
      <c r="D1187" s="56"/>
      <c r="E1187" s="56"/>
      <c r="F1187" s="56"/>
      <c r="G1187" s="56"/>
      <c r="H1187" s="56"/>
    </row>
    <row r="1188" spans="2:8" s="25" customFormat="1" x14ac:dyDescent="0.25">
      <c r="B1188" s="79"/>
      <c r="C1188" s="56"/>
      <c r="D1188" s="56"/>
      <c r="E1188" s="56"/>
      <c r="F1188" s="56"/>
      <c r="G1188" s="56"/>
      <c r="H1188" s="56"/>
    </row>
    <row r="1189" spans="2:8" s="25" customFormat="1" x14ac:dyDescent="0.25">
      <c r="B1189" s="79"/>
      <c r="C1189" s="56"/>
      <c r="D1189" s="56"/>
      <c r="E1189" s="56"/>
      <c r="F1189" s="56"/>
      <c r="G1189" s="56"/>
      <c r="H1189" s="56"/>
    </row>
    <row r="1190" spans="2:8" s="25" customFormat="1" x14ac:dyDescent="0.25">
      <c r="B1190" s="79"/>
      <c r="C1190" s="56"/>
      <c r="D1190" s="56"/>
      <c r="E1190" s="56"/>
      <c r="F1190" s="56"/>
      <c r="G1190" s="56"/>
      <c r="H1190" s="56"/>
    </row>
    <row r="1191" spans="2:8" s="25" customFormat="1" x14ac:dyDescent="0.25">
      <c r="B1191" s="79"/>
      <c r="C1191" s="56"/>
      <c r="D1191" s="56"/>
      <c r="E1191" s="56"/>
      <c r="F1191" s="56"/>
      <c r="G1191" s="56"/>
      <c r="H1191" s="56"/>
    </row>
    <row r="1192" spans="2:8" s="25" customFormat="1" x14ac:dyDescent="0.25">
      <c r="B1192" s="79"/>
      <c r="C1192" s="56"/>
      <c r="D1192" s="56"/>
      <c r="E1192" s="56"/>
      <c r="F1192" s="56"/>
      <c r="G1192" s="56"/>
      <c r="H1192" s="56"/>
    </row>
    <row r="1193" spans="2:8" s="25" customFormat="1" x14ac:dyDescent="0.25">
      <c r="B1193" s="79"/>
      <c r="C1193" s="56"/>
      <c r="D1193" s="56"/>
      <c r="E1193" s="56"/>
      <c r="F1193" s="56"/>
      <c r="G1193" s="56"/>
      <c r="H1193" s="56"/>
    </row>
    <row r="1194" spans="2:8" s="25" customFormat="1" x14ac:dyDescent="0.25">
      <c r="B1194" s="79"/>
      <c r="C1194" s="56"/>
      <c r="D1194" s="56"/>
      <c r="E1194" s="56"/>
      <c r="F1194" s="56"/>
      <c r="G1194" s="56"/>
      <c r="H1194" s="56"/>
    </row>
    <row r="1195" spans="2:8" s="25" customFormat="1" x14ac:dyDescent="0.25">
      <c r="B1195" s="79"/>
      <c r="C1195" s="56"/>
      <c r="D1195" s="56"/>
      <c r="E1195" s="56"/>
      <c r="F1195" s="56"/>
      <c r="G1195" s="56"/>
      <c r="H1195" s="56"/>
    </row>
    <row r="1196" spans="2:8" s="25" customFormat="1" x14ac:dyDescent="0.25">
      <c r="B1196" s="79"/>
      <c r="C1196" s="56"/>
      <c r="D1196" s="56"/>
      <c r="E1196" s="56"/>
      <c r="F1196" s="56"/>
      <c r="G1196" s="56"/>
      <c r="H1196" s="56"/>
    </row>
    <row r="1197" spans="2:8" s="25" customFormat="1" x14ac:dyDescent="0.25">
      <c r="B1197" s="79"/>
      <c r="C1197" s="56"/>
      <c r="D1197" s="56"/>
      <c r="E1197" s="56"/>
      <c r="F1197" s="56"/>
      <c r="G1197" s="56"/>
      <c r="H1197" s="56"/>
    </row>
    <row r="1198" spans="2:8" s="25" customFormat="1" x14ac:dyDescent="0.25">
      <c r="B1198" s="79"/>
      <c r="C1198" s="56"/>
      <c r="D1198" s="56"/>
      <c r="E1198" s="56"/>
      <c r="F1198" s="56"/>
      <c r="G1198" s="56"/>
      <c r="H1198" s="56"/>
    </row>
    <row r="1199" spans="2:8" s="25" customFormat="1" x14ac:dyDescent="0.25">
      <c r="B1199" s="79"/>
      <c r="C1199" s="56"/>
      <c r="D1199" s="56"/>
      <c r="E1199" s="56"/>
      <c r="F1199" s="56"/>
      <c r="G1199" s="56"/>
      <c r="H1199" s="56"/>
    </row>
    <row r="1200" spans="2:8" s="25" customFormat="1" x14ac:dyDescent="0.25">
      <c r="B1200" s="79"/>
      <c r="C1200" s="56"/>
      <c r="D1200" s="56"/>
      <c r="E1200" s="56"/>
      <c r="F1200" s="56"/>
      <c r="G1200" s="56"/>
      <c r="H1200" s="56"/>
    </row>
    <row r="1201" spans="2:8" s="25" customFormat="1" x14ac:dyDescent="0.25">
      <c r="B1201" s="79"/>
      <c r="C1201" s="56"/>
      <c r="D1201" s="56"/>
      <c r="E1201" s="56"/>
      <c r="F1201" s="56"/>
      <c r="G1201" s="56"/>
      <c r="H1201" s="56"/>
    </row>
    <row r="1202" spans="2:8" s="25" customFormat="1" x14ac:dyDescent="0.25">
      <c r="B1202" s="79"/>
      <c r="C1202" s="56"/>
      <c r="D1202" s="56"/>
      <c r="E1202" s="56"/>
      <c r="F1202" s="56"/>
      <c r="G1202" s="56"/>
      <c r="H1202" s="56"/>
    </row>
    <row r="1203" spans="2:8" s="25" customFormat="1" x14ac:dyDescent="0.25">
      <c r="B1203" s="79"/>
      <c r="C1203" s="56"/>
      <c r="D1203" s="56"/>
      <c r="E1203" s="56"/>
      <c r="F1203" s="56"/>
      <c r="G1203" s="56"/>
      <c r="H1203" s="56"/>
    </row>
    <row r="1204" spans="2:8" s="25" customFormat="1" x14ac:dyDescent="0.25">
      <c r="B1204" s="79"/>
      <c r="C1204" s="56"/>
      <c r="D1204" s="56"/>
      <c r="E1204" s="56"/>
      <c r="F1204" s="56"/>
      <c r="G1204" s="56"/>
      <c r="H1204" s="56"/>
    </row>
    <row r="1205" spans="2:8" s="25" customFormat="1" x14ac:dyDescent="0.25">
      <c r="B1205" s="79"/>
      <c r="C1205" s="56"/>
      <c r="D1205" s="56"/>
      <c r="E1205" s="56"/>
      <c r="F1205" s="56"/>
      <c r="G1205" s="56"/>
      <c r="H1205" s="56"/>
    </row>
    <row r="1206" spans="2:8" s="25" customFormat="1" x14ac:dyDescent="0.25">
      <c r="B1206" s="79"/>
      <c r="C1206" s="56"/>
      <c r="D1206" s="56"/>
      <c r="E1206" s="56"/>
      <c r="F1206" s="56"/>
      <c r="G1206" s="56"/>
      <c r="H1206" s="56"/>
    </row>
    <row r="1207" spans="2:8" s="25" customFormat="1" x14ac:dyDescent="0.25">
      <c r="B1207" s="79"/>
      <c r="C1207" s="56"/>
      <c r="D1207" s="56"/>
      <c r="E1207" s="56"/>
      <c r="F1207" s="56"/>
      <c r="G1207" s="56"/>
      <c r="H1207" s="56"/>
    </row>
    <row r="1208" spans="2:8" s="25" customFormat="1" x14ac:dyDescent="0.25">
      <c r="B1208" s="79"/>
      <c r="C1208" s="56"/>
      <c r="D1208" s="56"/>
      <c r="E1208" s="56"/>
      <c r="F1208" s="56"/>
      <c r="G1208" s="56"/>
      <c r="H1208" s="56"/>
    </row>
    <row r="1209" spans="2:8" s="25" customFormat="1" x14ac:dyDescent="0.25">
      <c r="B1209" s="79"/>
      <c r="C1209" s="56"/>
      <c r="D1209" s="56"/>
      <c r="E1209" s="56"/>
      <c r="F1209" s="56"/>
      <c r="G1209" s="56"/>
      <c r="H1209" s="56"/>
    </row>
    <row r="1210" spans="2:8" s="25" customFormat="1" x14ac:dyDescent="0.25">
      <c r="B1210" s="79"/>
      <c r="C1210" s="56"/>
      <c r="D1210" s="56"/>
      <c r="E1210" s="56"/>
      <c r="F1210" s="56"/>
      <c r="G1210" s="56"/>
      <c r="H1210" s="56"/>
    </row>
    <row r="1211" spans="2:8" s="25" customFormat="1" x14ac:dyDescent="0.25">
      <c r="B1211" s="79"/>
      <c r="C1211" s="56"/>
      <c r="D1211" s="56"/>
      <c r="E1211" s="56"/>
      <c r="F1211" s="56"/>
      <c r="G1211" s="56"/>
      <c r="H1211" s="56"/>
    </row>
    <row r="1212" spans="2:8" s="25" customFormat="1" x14ac:dyDescent="0.25">
      <c r="B1212" s="79"/>
      <c r="C1212" s="56"/>
      <c r="D1212" s="56"/>
      <c r="E1212" s="56"/>
      <c r="F1212" s="56"/>
      <c r="G1212" s="56"/>
      <c r="H1212" s="56"/>
    </row>
    <row r="1213" spans="2:8" s="25" customFormat="1" x14ac:dyDescent="0.25">
      <c r="B1213" s="79"/>
      <c r="C1213" s="56"/>
      <c r="D1213" s="56"/>
      <c r="E1213" s="56"/>
      <c r="F1213" s="56"/>
      <c r="G1213" s="56"/>
      <c r="H1213" s="56"/>
    </row>
    <row r="1214" spans="2:8" s="25" customFormat="1" x14ac:dyDescent="0.25">
      <c r="B1214" s="79"/>
      <c r="C1214" s="56"/>
      <c r="D1214" s="56"/>
      <c r="E1214" s="56"/>
      <c r="F1214" s="56"/>
      <c r="G1214" s="56"/>
      <c r="H1214" s="56"/>
    </row>
    <row r="1215" spans="2:8" s="25" customFormat="1" x14ac:dyDescent="0.25">
      <c r="B1215" s="79"/>
      <c r="C1215" s="56"/>
      <c r="D1215" s="56"/>
      <c r="E1215" s="56"/>
      <c r="F1215" s="56"/>
      <c r="G1215" s="56"/>
      <c r="H1215" s="56"/>
    </row>
    <row r="1216" spans="2:8" s="25" customFormat="1" x14ac:dyDescent="0.25">
      <c r="B1216" s="79"/>
      <c r="C1216" s="56"/>
      <c r="D1216" s="56"/>
      <c r="E1216" s="56"/>
      <c r="F1216" s="56"/>
      <c r="G1216" s="56"/>
      <c r="H1216" s="56"/>
    </row>
    <row r="1217" spans="2:8" s="25" customFormat="1" x14ac:dyDescent="0.25">
      <c r="B1217" s="79"/>
      <c r="C1217" s="56"/>
      <c r="D1217" s="56"/>
      <c r="E1217" s="56"/>
      <c r="F1217" s="56"/>
      <c r="G1217" s="56"/>
      <c r="H1217" s="56"/>
    </row>
    <row r="1218" spans="2:8" s="25" customFormat="1" x14ac:dyDescent="0.25">
      <c r="B1218" s="79"/>
      <c r="C1218" s="56"/>
      <c r="D1218" s="56"/>
      <c r="E1218" s="56"/>
      <c r="F1218" s="56"/>
      <c r="G1218" s="56"/>
      <c r="H1218" s="56"/>
    </row>
    <row r="1219" spans="2:8" s="25" customFormat="1" x14ac:dyDescent="0.25">
      <c r="B1219" s="79"/>
      <c r="C1219" s="56"/>
      <c r="D1219" s="56"/>
      <c r="E1219" s="56"/>
      <c r="F1219" s="56"/>
      <c r="G1219" s="56"/>
      <c r="H1219" s="56"/>
    </row>
    <row r="1220" spans="2:8" s="25" customFormat="1" x14ac:dyDescent="0.25">
      <c r="B1220" s="79"/>
      <c r="C1220" s="56"/>
      <c r="D1220" s="56"/>
      <c r="E1220" s="56"/>
      <c r="F1220" s="56"/>
      <c r="G1220" s="56"/>
      <c r="H1220" s="56"/>
    </row>
    <row r="1221" spans="2:8" s="25" customFormat="1" x14ac:dyDescent="0.25">
      <c r="B1221" s="79"/>
      <c r="C1221" s="56"/>
      <c r="D1221" s="56"/>
      <c r="E1221" s="56"/>
      <c r="F1221" s="56"/>
      <c r="G1221" s="56"/>
      <c r="H1221" s="56"/>
    </row>
    <row r="1222" spans="2:8" s="25" customFormat="1" x14ac:dyDescent="0.25">
      <c r="B1222" s="79"/>
      <c r="C1222" s="56"/>
      <c r="D1222" s="56"/>
      <c r="E1222" s="56"/>
      <c r="F1222" s="56"/>
      <c r="G1222" s="56"/>
      <c r="H1222" s="56"/>
    </row>
    <row r="1223" spans="2:8" s="25" customFormat="1" x14ac:dyDescent="0.25">
      <c r="B1223" s="79"/>
      <c r="C1223" s="56"/>
      <c r="D1223" s="56"/>
      <c r="E1223" s="56"/>
      <c r="F1223" s="56"/>
      <c r="G1223" s="56"/>
      <c r="H1223" s="56"/>
    </row>
    <row r="1224" spans="2:8" s="25" customFormat="1" x14ac:dyDescent="0.25">
      <c r="B1224" s="79"/>
      <c r="C1224" s="56"/>
      <c r="D1224" s="56"/>
      <c r="E1224" s="56"/>
      <c r="F1224" s="56"/>
      <c r="G1224" s="56"/>
      <c r="H1224" s="56"/>
    </row>
    <row r="1225" spans="2:8" s="25" customFormat="1" x14ac:dyDescent="0.25">
      <c r="B1225" s="79"/>
      <c r="C1225" s="56"/>
      <c r="D1225" s="56"/>
      <c r="E1225" s="56"/>
      <c r="F1225" s="56"/>
      <c r="G1225" s="56"/>
      <c r="H1225" s="56"/>
    </row>
    <row r="1226" spans="2:8" s="25" customFormat="1" x14ac:dyDescent="0.25">
      <c r="B1226" s="79"/>
      <c r="C1226" s="56"/>
      <c r="D1226" s="56"/>
      <c r="E1226" s="56"/>
      <c r="F1226" s="56"/>
      <c r="G1226" s="56"/>
      <c r="H1226" s="56"/>
    </row>
    <row r="1227" spans="2:8" s="25" customFormat="1" x14ac:dyDescent="0.25">
      <c r="B1227" s="79"/>
      <c r="C1227" s="56"/>
      <c r="D1227" s="56"/>
      <c r="E1227" s="56"/>
      <c r="F1227" s="56"/>
      <c r="G1227" s="56"/>
      <c r="H1227" s="56"/>
    </row>
    <row r="1228" spans="2:8" s="25" customFormat="1" x14ac:dyDescent="0.25">
      <c r="B1228" s="79"/>
      <c r="C1228" s="56"/>
      <c r="D1228" s="56"/>
      <c r="E1228" s="56"/>
      <c r="F1228" s="56"/>
      <c r="G1228" s="56"/>
      <c r="H1228" s="56"/>
    </row>
    <row r="1229" spans="2:8" s="25" customFormat="1" x14ac:dyDescent="0.25">
      <c r="B1229" s="79"/>
      <c r="C1229" s="56"/>
      <c r="D1229" s="56"/>
      <c r="E1229" s="56"/>
      <c r="F1229" s="56"/>
      <c r="G1229" s="56"/>
      <c r="H1229" s="56"/>
    </row>
    <row r="1230" spans="2:8" s="25" customFormat="1" x14ac:dyDescent="0.25">
      <c r="B1230" s="79"/>
      <c r="C1230" s="56"/>
      <c r="D1230" s="56"/>
      <c r="E1230" s="56"/>
      <c r="F1230" s="56"/>
      <c r="G1230" s="56"/>
      <c r="H1230" s="56"/>
    </row>
    <row r="1231" spans="2:8" s="25" customFormat="1" x14ac:dyDescent="0.25">
      <c r="B1231" s="79"/>
      <c r="C1231" s="56"/>
      <c r="D1231" s="56"/>
      <c r="E1231" s="56"/>
      <c r="F1231" s="56"/>
      <c r="G1231" s="56"/>
      <c r="H1231" s="56"/>
    </row>
    <row r="1232" spans="2:8" s="25" customFormat="1" x14ac:dyDescent="0.25">
      <c r="B1232" s="79"/>
      <c r="C1232" s="56"/>
      <c r="D1232" s="56"/>
      <c r="E1232" s="56"/>
      <c r="F1232" s="56"/>
      <c r="G1232" s="56"/>
      <c r="H1232" s="56"/>
    </row>
    <row r="1233" spans="2:8" s="25" customFormat="1" x14ac:dyDescent="0.25">
      <c r="B1233" s="79"/>
      <c r="C1233" s="56"/>
      <c r="D1233" s="56"/>
      <c r="E1233" s="56"/>
      <c r="F1233" s="56"/>
      <c r="G1233" s="56"/>
      <c r="H1233" s="56"/>
    </row>
    <row r="1234" spans="2:8" s="25" customFormat="1" x14ac:dyDescent="0.25">
      <c r="B1234" s="79"/>
      <c r="C1234" s="56"/>
      <c r="D1234" s="56"/>
      <c r="E1234" s="56"/>
      <c r="F1234" s="56"/>
      <c r="G1234" s="56"/>
      <c r="H1234" s="56"/>
    </row>
    <row r="1235" spans="2:8" s="25" customFormat="1" x14ac:dyDescent="0.25">
      <c r="B1235" s="79"/>
      <c r="C1235" s="56"/>
      <c r="D1235" s="56"/>
      <c r="E1235" s="56"/>
      <c r="F1235" s="56"/>
      <c r="G1235" s="56"/>
      <c r="H1235" s="56"/>
    </row>
    <row r="1236" spans="2:8" s="25" customFormat="1" x14ac:dyDescent="0.25">
      <c r="B1236" s="79"/>
      <c r="C1236" s="56"/>
      <c r="D1236" s="56"/>
      <c r="E1236" s="56"/>
      <c r="F1236" s="56"/>
      <c r="G1236" s="56"/>
      <c r="H1236" s="56"/>
    </row>
    <row r="1237" spans="2:8" s="25" customFormat="1" x14ac:dyDescent="0.25">
      <c r="B1237" s="79"/>
      <c r="C1237" s="56"/>
      <c r="D1237" s="56"/>
      <c r="E1237" s="56"/>
      <c r="F1237" s="56"/>
      <c r="G1237" s="56"/>
      <c r="H1237" s="56"/>
    </row>
    <row r="1238" spans="2:8" s="25" customFormat="1" x14ac:dyDescent="0.25">
      <c r="B1238" s="79"/>
      <c r="C1238" s="56"/>
      <c r="D1238" s="56"/>
      <c r="E1238" s="56"/>
      <c r="F1238" s="56"/>
      <c r="G1238" s="56"/>
      <c r="H1238" s="56"/>
    </row>
    <row r="1239" spans="2:8" s="25" customFormat="1" x14ac:dyDescent="0.25">
      <c r="B1239" s="79"/>
      <c r="C1239" s="56"/>
      <c r="D1239" s="56"/>
      <c r="E1239" s="56"/>
      <c r="F1239" s="56"/>
      <c r="G1239" s="56"/>
      <c r="H1239" s="56"/>
    </row>
    <row r="1240" spans="2:8" s="25" customFormat="1" x14ac:dyDescent="0.25">
      <c r="B1240" s="79"/>
      <c r="C1240" s="56"/>
      <c r="D1240" s="56"/>
      <c r="E1240" s="56"/>
      <c r="F1240" s="56"/>
      <c r="G1240" s="56"/>
      <c r="H1240" s="56"/>
    </row>
    <row r="1241" spans="2:8" s="25" customFormat="1" x14ac:dyDescent="0.25">
      <c r="B1241" s="79"/>
      <c r="C1241" s="56"/>
      <c r="D1241" s="56"/>
      <c r="E1241" s="56"/>
      <c r="F1241" s="56"/>
      <c r="G1241" s="56"/>
      <c r="H1241" s="56"/>
    </row>
    <row r="1242" spans="2:8" s="25" customFormat="1" x14ac:dyDescent="0.25">
      <c r="B1242" s="79"/>
      <c r="C1242" s="56"/>
      <c r="D1242" s="56"/>
      <c r="E1242" s="56"/>
      <c r="F1242" s="56"/>
      <c r="G1242" s="56"/>
      <c r="H1242" s="56"/>
    </row>
    <row r="1243" spans="2:8" s="25" customFormat="1" x14ac:dyDescent="0.25">
      <c r="B1243" s="79"/>
      <c r="C1243" s="56"/>
      <c r="D1243" s="56"/>
      <c r="E1243" s="56"/>
      <c r="F1243" s="56"/>
      <c r="G1243" s="56"/>
      <c r="H1243" s="56"/>
    </row>
    <row r="1244" spans="2:8" s="25" customFormat="1" x14ac:dyDescent="0.25">
      <c r="B1244" s="79"/>
      <c r="C1244" s="56"/>
      <c r="D1244" s="56"/>
      <c r="E1244" s="56"/>
      <c r="F1244" s="56"/>
      <c r="G1244" s="56"/>
      <c r="H1244" s="56"/>
    </row>
    <row r="1245" spans="2:8" s="25" customFormat="1" x14ac:dyDescent="0.25">
      <c r="B1245" s="79"/>
      <c r="C1245" s="56"/>
      <c r="D1245" s="56"/>
      <c r="E1245" s="56"/>
      <c r="F1245" s="56"/>
      <c r="G1245" s="56"/>
      <c r="H1245" s="56"/>
    </row>
    <row r="1246" spans="2:8" s="25" customFormat="1" x14ac:dyDescent="0.25">
      <c r="B1246" s="79"/>
      <c r="C1246" s="56"/>
      <c r="D1246" s="56"/>
      <c r="E1246" s="56"/>
      <c r="F1246" s="56"/>
      <c r="G1246" s="56"/>
      <c r="H1246" s="56"/>
    </row>
    <row r="1247" spans="2:8" s="25" customFormat="1" x14ac:dyDescent="0.25">
      <c r="B1247" s="79"/>
      <c r="C1247" s="56"/>
      <c r="D1247" s="56"/>
      <c r="E1247" s="56"/>
      <c r="F1247" s="56"/>
      <c r="G1247" s="56"/>
      <c r="H1247" s="56"/>
    </row>
    <row r="1248" spans="2:8" s="25" customFormat="1" x14ac:dyDescent="0.25">
      <c r="B1248" s="79"/>
      <c r="C1248" s="56"/>
      <c r="D1248" s="56"/>
      <c r="E1248" s="56"/>
      <c r="F1248" s="56"/>
      <c r="G1248" s="56"/>
      <c r="H1248" s="56"/>
    </row>
    <row r="1249" spans="2:8" s="25" customFormat="1" x14ac:dyDescent="0.25">
      <c r="B1249" s="79"/>
      <c r="C1249" s="56"/>
      <c r="D1249" s="56"/>
      <c r="E1249" s="56"/>
      <c r="F1249" s="56"/>
      <c r="G1249" s="56"/>
      <c r="H1249" s="56"/>
    </row>
    <row r="1250" spans="2:8" s="25" customFormat="1" x14ac:dyDescent="0.25">
      <c r="B1250" s="79"/>
      <c r="C1250" s="56"/>
      <c r="D1250" s="56"/>
      <c r="E1250" s="56"/>
      <c r="F1250" s="56"/>
      <c r="G1250" s="56"/>
      <c r="H1250" s="56"/>
    </row>
    <row r="1251" spans="2:8" s="25" customFormat="1" x14ac:dyDescent="0.25">
      <c r="B1251" s="79"/>
      <c r="C1251" s="56"/>
      <c r="D1251" s="56"/>
      <c r="E1251" s="56"/>
      <c r="F1251" s="56"/>
      <c r="G1251" s="56"/>
      <c r="H1251" s="56"/>
    </row>
    <row r="1252" spans="2:8" s="25" customFormat="1" x14ac:dyDescent="0.25">
      <c r="B1252" s="79"/>
      <c r="C1252" s="56"/>
      <c r="D1252" s="56"/>
      <c r="E1252" s="56"/>
      <c r="F1252" s="56"/>
      <c r="G1252" s="56"/>
      <c r="H1252" s="56"/>
    </row>
    <row r="1253" spans="2:8" s="25" customFormat="1" x14ac:dyDescent="0.25">
      <c r="B1253" s="79"/>
      <c r="C1253" s="56"/>
      <c r="D1253" s="56"/>
      <c r="E1253" s="56"/>
      <c r="F1253" s="56"/>
      <c r="G1253" s="56"/>
      <c r="H1253" s="56"/>
    </row>
    <row r="1254" spans="2:8" s="25" customFormat="1" x14ac:dyDescent="0.25">
      <c r="B1254" s="79"/>
      <c r="C1254" s="56"/>
      <c r="D1254" s="56"/>
      <c r="E1254" s="56"/>
      <c r="F1254" s="56"/>
      <c r="G1254" s="56"/>
      <c r="H1254" s="56"/>
    </row>
    <row r="1255" spans="2:8" s="25" customFormat="1" x14ac:dyDescent="0.25">
      <c r="B1255" s="79"/>
      <c r="C1255" s="56"/>
      <c r="D1255" s="56"/>
      <c r="E1255" s="56"/>
      <c r="F1255" s="56"/>
      <c r="G1255" s="56"/>
      <c r="H1255" s="56"/>
    </row>
    <row r="1256" spans="2:8" s="25" customFormat="1" x14ac:dyDescent="0.25">
      <c r="B1256" s="79"/>
      <c r="C1256" s="56"/>
      <c r="D1256" s="56"/>
      <c r="E1256" s="56"/>
      <c r="F1256" s="56"/>
      <c r="G1256" s="56"/>
      <c r="H1256" s="56"/>
    </row>
    <row r="1257" spans="2:8" s="25" customFormat="1" x14ac:dyDescent="0.25">
      <c r="B1257" s="79"/>
      <c r="C1257" s="56"/>
      <c r="D1257" s="56"/>
      <c r="E1257" s="56"/>
      <c r="F1257" s="56"/>
      <c r="G1257" s="56"/>
      <c r="H1257" s="56"/>
    </row>
    <row r="1258" spans="2:8" s="25" customFormat="1" x14ac:dyDescent="0.25">
      <c r="B1258" s="79"/>
      <c r="C1258" s="56"/>
      <c r="D1258" s="56"/>
      <c r="E1258" s="56"/>
      <c r="F1258" s="56"/>
      <c r="G1258" s="56"/>
      <c r="H1258" s="56"/>
    </row>
    <row r="1259" spans="2:8" s="25" customFormat="1" x14ac:dyDescent="0.25">
      <c r="B1259" s="79"/>
      <c r="C1259" s="56"/>
      <c r="D1259" s="56"/>
      <c r="E1259" s="56"/>
      <c r="F1259" s="56"/>
      <c r="G1259" s="56"/>
      <c r="H1259" s="56"/>
    </row>
    <row r="1260" spans="2:8" s="25" customFormat="1" x14ac:dyDescent="0.25">
      <c r="B1260" s="79"/>
      <c r="C1260" s="56"/>
      <c r="D1260" s="56"/>
      <c r="E1260" s="56"/>
      <c r="F1260" s="56"/>
      <c r="G1260" s="56"/>
      <c r="H1260" s="56"/>
    </row>
    <row r="1261" spans="2:8" s="25" customFormat="1" x14ac:dyDescent="0.25">
      <c r="B1261" s="79"/>
      <c r="C1261" s="56"/>
      <c r="D1261" s="56"/>
      <c r="E1261" s="56"/>
      <c r="F1261" s="56"/>
      <c r="G1261" s="56"/>
      <c r="H1261" s="56"/>
    </row>
    <row r="1262" spans="2:8" s="25" customFormat="1" x14ac:dyDescent="0.25">
      <c r="B1262" s="79"/>
      <c r="C1262" s="56"/>
      <c r="D1262" s="56"/>
      <c r="E1262" s="56"/>
      <c r="F1262" s="56"/>
      <c r="G1262" s="56"/>
      <c r="H1262" s="56"/>
    </row>
    <row r="1263" spans="2:8" s="25" customFormat="1" x14ac:dyDescent="0.25">
      <c r="B1263" s="79"/>
      <c r="C1263" s="56"/>
      <c r="D1263" s="56"/>
      <c r="E1263" s="56"/>
      <c r="F1263" s="56"/>
      <c r="G1263" s="56"/>
      <c r="H1263" s="56"/>
    </row>
    <row r="1264" spans="2:8" s="25" customFormat="1" x14ac:dyDescent="0.25">
      <c r="B1264" s="79"/>
      <c r="C1264" s="56"/>
      <c r="D1264" s="56"/>
      <c r="E1264" s="56"/>
      <c r="F1264" s="56"/>
      <c r="G1264" s="56"/>
      <c r="H1264" s="56"/>
    </row>
    <row r="1265" spans="2:8" s="25" customFormat="1" x14ac:dyDescent="0.25">
      <c r="B1265" s="79"/>
      <c r="C1265" s="56"/>
      <c r="D1265" s="56"/>
      <c r="E1265" s="56"/>
      <c r="F1265" s="56"/>
      <c r="G1265" s="56"/>
      <c r="H1265" s="56"/>
    </row>
    <row r="1266" spans="2:8" s="25" customFormat="1" x14ac:dyDescent="0.25">
      <c r="B1266" s="79"/>
      <c r="C1266" s="56"/>
      <c r="D1266" s="56"/>
      <c r="E1266" s="56"/>
      <c r="F1266" s="56"/>
      <c r="G1266" s="56"/>
      <c r="H1266" s="56"/>
    </row>
    <row r="1267" spans="2:8" s="25" customFormat="1" x14ac:dyDescent="0.25">
      <c r="B1267" s="79"/>
      <c r="C1267" s="56"/>
      <c r="D1267" s="56"/>
      <c r="E1267" s="56"/>
      <c r="F1267" s="56"/>
      <c r="G1267" s="56"/>
      <c r="H1267" s="56"/>
    </row>
    <row r="1268" spans="2:8" s="25" customFormat="1" x14ac:dyDescent="0.25">
      <c r="B1268" s="79"/>
      <c r="C1268" s="56"/>
      <c r="D1268" s="56"/>
      <c r="E1268" s="56"/>
      <c r="F1268" s="56"/>
      <c r="G1268" s="56"/>
      <c r="H1268" s="56"/>
    </row>
    <row r="1269" spans="2:8" s="25" customFormat="1" x14ac:dyDescent="0.25">
      <c r="B1269" s="79"/>
      <c r="C1269" s="56"/>
      <c r="D1269" s="56"/>
      <c r="E1269" s="56"/>
      <c r="F1269" s="56"/>
      <c r="G1269" s="56"/>
      <c r="H1269" s="56"/>
    </row>
    <row r="1270" spans="2:8" s="25" customFormat="1" x14ac:dyDescent="0.25">
      <c r="B1270" s="79"/>
      <c r="C1270" s="56"/>
      <c r="D1270" s="56"/>
      <c r="E1270" s="56"/>
      <c r="F1270" s="56"/>
      <c r="G1270" s="56"/>
      <c r="H1270" s="56"/>
    </row>
    <row r="1271" spans="2:8" s="25" customFormat="1" x14ac:dyDescent="0.25">
      <c r="B1271" s="79"/>
      <c r="C1271" s="56"/>
      <c r="D1271" s="56"/>
      <c r="E1271" s="56"/>
      <c r="F1271" s="56"/>
      <c r="G1271" s="56"/>
      <c r="H1271" s="56"/>
    </row>
    <row r="1272" spans="2:8" s="25" customFormat="1" x14ac:dyDescent="0.25">
      <c r="B1272" s="79"/>
      <c r="C1272" s="56"/>
      <c r="D1272" s="56"/>
      <c r="E1272" s="56"/>
      <c r="F1272" s="56"/>
      <c r="G1272" s="56"/>
      <c r="H1272" s="56"/>
    </row>
    <row r="1273" spans="2:8" s="25" customFormat="1" x14ac:dyDescent="0.25">
      <c r="B1273" s="79"/>
      <c r="C1273" s="56"/>
      <c r="D1273" s="56"/>
      <c r="E1273" s="56"/>
      <c r="F1273" s="56"/>
      <c r="G1273" s="56"/>
      <c r="H1273" s="56"/>
    </row>
    <row r="1274" spans="2:8" s="25" customFormat="1" x14ac:dyDescent="0.25">
      <c r="B1274" s="79"/>
      <c r="C1274" s="56"/>
      <c r="D1274" s="56"/>
      <c r="E1274" s="56"/>
      <c r="F1274" s="56"/>
      <c r="G1274" s="56"/>
      <c r="H1274" s="56"/>
    </row>
    <row r="1275" spans="2:8" s="25" customFormat="1" x14ac:dyDescent="0.25">
      <c r="B1275" s="79"/>
      <c r="C1275" s="56"/>
      <c r="D1275" s="56"/>
      <c r="E1275" s="56"/>
      <c r="F1275" s="56"/>
      <c r="G1275" s="56"/>
      <c r="H1275" s="56"/>
    </row>
    <row r="1276" spans="2:8" s="25" customFormat="1" x14ac:dyDescent="0.25">
      <c r="B1276" s="79"/>
      <c r="C1276" s="56"/>
      <c r="D1276" s="56"/>
      <c r="E1276" s="56"/>
      <c r="F1276" s="56"/>
      <c r="G1276" s="56"/>
      <c r="H1276" s="56"/>
    </row>
    <row r="1277" spans="2:8" s="25" customFormat="1" x14ac:dyDescent="0.25">
      <c r="B1277" s="79"/>
      <c r="C1277" s="56"/>
      <c r="D1277" s="56"/>
      <c r="E1277" s="56"/>
      <c r="F1277" s="56"/>
      <c r="G1277" s="56"/>
      <c r="H1277" s="56"/>
    </row>
    <row r="1278" spans="2:8" s="25" customFormat="1" x14ac:dyDescent="0.25">
      <c r="B1278" s="79"/>
      <c r="C1278" s="56"/>
      <c r="D1278" s="56"/>
      <c r="E1278" s="56"/>
      <c r="F1278" s="56"/>
      <c r="G1278" s="56"/>
      <c r="H1278" s="56"/>
    </row>
    <row r="1279" spans="2:8" s="25" customFormat="1" x14ac:dyDescent="0.25">
      <c r="B1279" s="79"/>
      <c r="C1279" s="56"/>
      <c r="D1279" s="56"/>
      <c r="E1279" s="56"/>
      <c r="F1279" s="56"/>
      <c r="G1279" s="56"/>
      <c r="H1279" s="56"/>
    </row>
    <row r="1280" spans="2:8" s="25" customFormat="1" x14ac:dyDescent="0.25">
      <c r="B1280" s="79"/>
      <c r="C1280" s="56"/>
      <c r="D1280" s="56"/>
      <c r="E1280" s="56"/>
      <c r="F1280" s="56"/>
      <c r="G1280" s="56"/>
      <c r="H1280" s="56"/>
    </row>
    <row r="1281" spans="2:8" s="25" customFormat="1" x14ac:dyDescent="0.25">
      <c r="B1281" s="79"/>
      <c r="C1281" s="56"/>
      <c r="D1281" s="56"/>
      <c r="E1281" s="56"/>
      <c r="F1281" s="56"/>
      <c r="G1281" s="56"/>
      <c r="H1281" s="56"/>
    </row>
    <row r="1282" spans="2:8" s="25" customFormat="1" x14ac:dyDescent="0.25">
      <c r="B1282" s="79"/>
      <c r="C1282" s="56"/>
      <c r="D1282" s="56"/>
      <c r="E1282" s="56"/>
      <c r="F1282" s="56"/>
      <c r="G1282" s="56"/>
      <c r="H1282" s="56"/>
    </row>
    <row r="1283" spans="2:8" s="25" customFormat="1" x14ac:dyDescent="0.25">
      <c r="B1283" s="79"/>
      <c r="C1283" s="56"/>
      <c r="D1283" s="56"/>
      <c r="E1283" s="56"/>
      <c r="F1283" s="56"/>
      <c r="G1283" s="56"/>
      <c r="H1283" s="56"/>
    </row>
    <row r="1284" spans="2:8" s="25" customFormat="1" x14ac:dyDescent="0.25">
      <c r="B1284" s="79"/>
      <c r="C1284" s="56"/>
      <c r="D1284" s="56"/>
      <c r="E1284" s="56"/>
      <c r="F1284" s="56"/>
      <c r="G1284" s="56"/>
      <c r="H1284" s="56"/>
    </row>
    <row r="1285" spans="2:8" s="25" customFormat="1" x14ac:dyDescent="0.25">
      <c r="B1285" s="79"/>
      <c r="C1285" s="56"/>
      <c r="D1285" s="56"/>
      <c r="E1285" s="56"/>
      <c r="F1285" s="56"/>
      <c r="G1285" s="56"/>
      <c r="H1285" s="56"/>
    </row>
    <row r="1286" spans="2:8" s="25" customFormat="1" x14ac:dyDescent="0.25">
      <c r="B1286" s="79"/>
      <c r="C1286" s="56"/>
      <c r="D1286" s="56"/>
      <c r="E1286" s="56"/>
      <c r="F1286" s="56"/>
      <c r="G1286" s="56"/>
      <c r="H1286" s="56"/>
    </row>
    <row r="1287" spans="2:8" s="25" customFormat="1" x14ac:dyDescent="0.25">
      <c r="B1287" s="79"/>
      <c r="C1287" s="56"/>
      <c r="D1287" s="56"/>
      <c r="E1287" s="56"/>
      <c r="F1287" s="56"/>
      <c r="G1287" s="56"/>
      <c r="H1287" s="56"/>
    </row>
    <row r="1288" spans="2:8" s="25" customFormat="1" x14ac:dyDescent="0.25">
      <c r="B1288" s="79"/>
      <c r="C1288" s="56"/>
      <c r="D1288" s="56"/>
      <c r="E1288" s="56"/>
      <c r="F1288" s="56"/>
      <c r="G1288" s="56"/>
      <c r="H1288" s="56"/>
    </row>
    <row r="1289" spans="2:8" s="25" customFormat="1" x14ac:dyDescent="0.25">
      <c r="B1289" s="79"/>
      <c r="C1289" s="56"/>
      <c r="D1289" s="56"/>
      <c r="E1289" s="56"/>
      <c r="F1289" s="56"/>
      <c r="G1289" s="56"/>
      <c r="H1289" s="56"/>
    </row>
    <row r="1290" spans="2:8" s="25" customFormat="1" x14ac:dyDescent="0.25">
      <c r="B1290" s="79"/>
      <c r="C1290" s="56"/>
      <c r="D1290" s="56"/>
      <c r="E1290" s="56"/>
      <c r="F1290" s="56"/>
      <c r="G1290" s="56"/>
      <c r="H1290" s="56"/>
    </row>
    <row r="1291" spans="2:8" s="25" customFormat="1" x14ac:dyDescent="0.25">
      <c r="B1291" s="79"/>
      <c r="C1291" s="56"/>
      <c r="D1291" s="56"/>
      <c r="E1291" s="56"/>
      <c r="F1291" s="56"/>
      <c r="G1291" s="56"/>
      <c r="H1291" s="56"/>
    </row>
    <row r="1292" spans="2:8" s="25" customFormat="1" x14ac:dyDescent="0.25">
      <c r="B1292" s="79"/>
      <c r="C1292" s="56"/>
      <c r="D1292" s="56"/>
      <c r="E1292" s="56"/>
      <c r="F1292" s="56"/>
      <c r="G1292" s="56"/>
      <c r="H1292" s="56"/>
    </row>
    <row r="1293" spans="2:8" s="25" customFormat="1" x14ac:dyDescent="0.25">
      <c r="B1293" s="79"/>
      <c r="C1293" s="56"/>
      <c r="D1293" s="56"/>
      <c r="E1293" s="56"/>
      <c r="F1293" s="56"/>
      <c r="G1293" s="56"/>
      <c r="H1293" s="56"/>
    </row>
    <row r="1294" spans="2:8" s="25" customFormat="1" x14ac:dyDescent="0.25">
      <c r="B1294" s="79"/>
      <c r="C1294" s="56"/>
      <c r="D1294" s="56"/>
      <c r="E1294" s="56"/>
      <c r="F1294" s="56"/>
      <c r="G1294" s="56"/>
      <c r="H1294" s="56"/>
    </row>
  </sheetData>
  <autoFilter ref="B2:B262" xr:uid="{84FEC557-8AE4-4584-A4C5-B122AB853FBF}"/>
  <mergeCells count="2">
    <mergeCell ref="A1:I1"/>
    <mergeCell ref="A262:B26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CDFF-B774-4C6A-915F-D23613B66466}">
  <sheetPr>
    <pageSetUpPr fitToPage="1"/>
  </sheetPr>
  <dimension ref="A1:Z257"/>
  <sheetViews>
    <sheetView zoomScale="85" zoomScaleNormal="85" workbookViewId="0">
      <pane ySplit="2" topLeftCell="A186" activePane="bottomLeft" state="frozen"/>
      <selection pane="bottomLeft" activeCell="K180" sqref="K180"/>
    </sheetView>
  </sheetViews>
  <sheetFormatPr defaultColWidth="9.109375" defaultRowHeight="13.8" x14ac:dyDescent="0.25"/>
  <cols>
    <col min="1" max="1" width="61.88671875" style="122" customWidth="1"/>
    <col min="2" max="2" width="13.6640625" style="206" customWidth="1"/>
    <col min="3" max="3" width="21.6640625" style="141" customWidth="1"/>
    <col min="4" max="4" width="19.6640625" style="122" customWidth="1"/>
    <col min="5" max="5" width="21.5546875" style="122" customWidth="1"/>
    <col min="6" max="6" width="20.6640625" style="122" customWidth="1"/>
    <col min="7" max="7" width="20.33203125" style="122" customWidth="1"/>
    <col min="8" max="8" width="22.6640625" style="122" customWidth="1"/>
    <col min="9" max="9" width="20.6640625" style="122" customWidth="1"/>
    <col min="10" max="10" width="21.44140625" style="122" customWidth="1"/>
    <col min="11" max="16384" width="9.109375" style="122"/>
  </cols>
  <sheetData>
    <row r="1" spans="1:26" s="121" customFormat="1" ht="30" customHeight="1" x14ac:dyDescent="0.25">
      <c r="A1" s="171" t="s">
        <v>453</v>
      </c>
      <c r="B1" s="201"/>
      <c r="C1" s="172"/>
      <c r="D1" s="172"/>
      <c r="E1" s="172"/>
      <c r="F1" s="172"/>
      <c r="G1" s="172"/>
      <c r="H1" s="172"/>
      <c r="I1" s="172"/>
      <c r="J1" s="173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 ht="40.200000000000003" customHeight="1" x14ac:dyDescent="0.25">
      <c r="A2" s="123" t="s">
        <v>140</v>
      </c>
      <c r="B2" s="202" t="s">
        <v>498</v>
      </c>
      <c r="C2" s="124" t="s">
        <v>78</v>
      </c>
      <c r="D2" s="125" t="s">
        <v>79</v>
      </c>
      <c r="E2" s="125" t="s">
        <v>80</v>
      </c>
      <c r="F2" s="125" t="s">
        <v>455</v>
      </c>
      <c r="G2" s="125" t="s">
        <v>456</v>
      </c>
      <c r="H2" s="125" t="s">
        <v>83</v>
      </c>
      <c r="I2" s="125" t="s">
        <v>84</v>
      </c>
      <c r="J2" s="124" t="s">
        <v>85</v>
      </c>
    </row>
    <row r="3" spans="1:26" ht="19.95" customHeight="1" x14ac:dyDescent="0.25">
      <c r="A3" s="126" t="s">
        <v>386</v>
      </c>
      <c r="B3" s="203" t="s">
        <v>499</v>
      </c>
      <c r="C3" s="127" t="s">
        <v>110</v>
      </c>
      <c r="D3" s="143">
        <f>64796+19438.8</f>
        <v>84234.8</v>
      </c>
      <c r="E3" s="143"/>
      <c r="F3" s="143">
        <f>22426.55+5921.81</f>
        <v>28348.36</v>
      </c>
      <c r="G3" s="143">
        <v>21541.11</v>
      </c>
      <c r="H3" s="143">
        <v>5000</v>
      </c>
      <c r="I3" s="143"/>
      <c r="J3" s="143">
        <f>SUM(D3:I3)</f>
        <v>139124.27000000002</v>
      </c>
    </row>
    <row r="4" spans="1:26" ht="19.95" customHeight="1" x14ac:dyDescent="0.25">
      <c r="A4" s="128" t="s">
        <v>461</v>
      </c>
      <c r="B4" s="203" t="s">
        <v>499</v>
      </c>
      <c r="C4" s="127"/>
      <c r="D4" s="143">
        <v>0</v>
      </c>
      <c r="E4" s="143"/>
      <c r="F4" s="143"/>
      <c r="G4" s="143"/>
      <c r="I4" s="143">
        <f>12500+2500</f>
        <v>15000</v>
      </c>
      <c r="J4" s="143">
        <f>SUM(D4:I4)</f>
        <v>15000</v>
      </c>
    </row>
    <row r="5" spans="1:26" ht="19.95" customHeight="1" x14ac:dyDescent="0.25">
      <c r="A5" s="128" t="s">
        <v>86</v>
      </c>
      <c r="B5" s="203" t="s">
        <v>499</v>
      </c>
      <c r="C5" s="129" t="s">
        <v>87</v>
      </c>
      <c r="D5" s="143">
        <f>10670-1746</f>
        <v>8924</v>
      </c>
      <c r="E5" s="143">
        <f>(3*48.5)+(4*48.5)+(3*48.5)+(11*48.5)+(6*48.5)+(4*48.5)+(5*48.5)</f>
        <v>1746</v>
      </c>
      <c r="F5" s="143"/>
      <c r="G5" s="143"/>
      <c r="H5" s="143"/>
      <c r="I5" s="143"/>
      <c r="J5" s="143">
        <f t="shared" ref="J5:J37" si="0">SUM(D5:I5)</f>
        <v>10670</v>
      </c>
    </row>
    <row r="6" spans="1:26" ht="19.95" customHeight="1" x14ac:dyDescent="0.25">
      <c r="A6" s="128" t="s">
        <v>462</v>
      </c>
      <c r="B6" s="203" t="s">
        <v>499</v>
      </c>
      <c r="C6" s="129"/>
      <c r="D6" s="143">
        <v>0</v>
      </c>
      <c r="E6" s="143"/>
      <c r="F6" s="143"/>
      <c r="G6" s="143">
        <v>831</v>
      </c>
      <c r="H6" s="143"/>
      <c r="I6" s="143"/>
      <c r="J6" s="143">
        <f t="shared" si="0"/>
        <v>831</v>
      </c>
    </row>
    <row r="7" spans="1:26" ht="19.95" customHeight="1" x14ac:dyDescent="0.25">
      <c r="A7" s="128" t="s">
        <v>90</v>
      </c>
      <c r="B7" s="203" t="s">
        <v>499</v>
      </c>
      <c r="C7" s="129" t="s">
        <v>91</v>
      </c>
      <c r="D7" s="143">
        <v>10912.5</v>
      </c>
      <c r="E7" s="143"/>
      <c r="F7" s="143">
        <f>335.7+895.2+2240.7</f>
        <v>3471.6</v>
      </c>
      <c r="G7" s="143"/>
      <c r="H7" s="143"/>
      <c r="I7" s="143">
        <v>12500</v>
      </c>
      <c r="J7" s="143">
        <f t="shared" si="0"/>
        <v>26884.1</v>
      </c>
    </row>
    <row r="8" spans="1:26" ht="19.95" customHeight="1" x14ac:dyDescent="0.25">
      <c r="A8" s="128" t="s">
        <v>92</v>
      </c>
      <c r="B8" s="203" t="s">
        <v>499</v>
      </c>
      <c r="C8" s="129" t="s">
        <v>93</v>
      </c>
      <c r="D8" s="143">
        <v>970</v>
      </c>
      <c r="E8" s="143"/>
      <c r="F8" s="143"/>
      <c r="G8" s="143"/>
      <c r="H8" s="143"/>
      <c r="I8" s="143"/>
      <c r="J8" s="143">
        <f t="shared" si="0"/>
        <v>970</v>
      </c>
    </row>
    <row r="9" spans="1:26" ht="19.95" customHeight="1" x14ac:dyDescent="0.25">
      <c r="A9" s="130" t="s">
        <v>148</v>
      </c>
      <c r="B9" s="203" t="s">
        <v>499</v>
      </c>
      <c r="C9" s="131" t="s">
        <v>103</v>
      </c>
      <c r="D9" s="143">
        <v>0</v>
      </c>
      <c r="E9" s="143"/>
      <c r="F9" s="143">
        <f>1109.7+1612.27</f>
        <v>2721.9700000000003</v>
      </c>
      <c r="G9" s="143"/>
      <c r="H9" s="143"/>
      <c r="I9" s="143"/>
      <c r="J9" s="143">
        <f t="shared" si="0"/>
        <v>2721.9700000000003</v>
      </c>
    </row>
    <row r="10" spans="1:26" ht="19.95" customHeight="1" x14ac:dyDescent="0.25">
      <c r="A10" s="128" t="s">
        <v>94</v>
      </c>
      <c r="B10" s="203" t="s">
        <v>499</v>
      </c>
      <c r="C10" s="129" t="s">
        <v>95</v>
      </c>
      <c r="D10" s="143">
        <v>40740</v>
      </c>
      <c r="E10" s="143"/>
      <c r="F10" s="143"/>
      <c r="G10" s="143">
        <v>390</v>
      </c>
      <c r="H10" s="143">
        <v>5000</v>
      </c>
      <c r="I10" s="143"/>
      <c r="J10" s="143">
        <f t="shared" si="0"/>
        <v>46130</v>
      </c>
    </row>
    <row r="11" spans="1:26" ht="19.95" customHeight="1" x14ac:dyDescent="0.25">
      <c r="A11" s="128" t="s">
        <v>96</v>
      </c>
      <c r="B11" s="203" t="s">
        <v>499</v>
      </c>
      <c r="C11" s="129" t="s">
        <v>91</v>
      </c>
      <c r="D11" s="143">
        <v>10912.5</v>
      </c>
      <c r="E11" s="143"/>
      <c r="F11" s="143"/>
      <c r="G11" s="143">
        <v>495</v>
      </c>
      <c r="H11" s="143"/>
      <c r="I11" s="143"/>
      <c r="J11" s="143">
        <f t="shared" si="0"/>
        <v>11407.5</v>
      </c>
    </row>
    <row r="12" spans="1:26" ht="19.95" customHeight="1" x14ac:dyDescent="0.25">
      <c r="A12" s="128" t="s">
        <v>97</v>
      </c>
      <c r="B12" s="203" t="s">
        <v>499</v>
      </c>
      <c r="C12" s="129"/>
      <c r="D12" s="143">
        <v>0</v>
      </c>
      <c r="E12" s="143"/>
      <c r="F12" s="143">
        <f>3546.46+223.8+441.35</f>
        <v>4211.6100000000006</v>
      </c>
      <c r="G12" s="143"/>
      <c r="H12" s="143"/>
      <c r="I12" s="143">
        <v>12500</v>
      </c>
      <c r="J12" s="143">
        <f t="shared" si="0"/>
        <v>16711.61</v>
      </c>
    </row>
    <row r="13" spans="1:26" ht="19.95" customHeight="1" x14ac:dyDescent="0.25">
      <c r="A13" s="128" t="s">
        <v>362</v>
      </c>
      <c r="B13" s="203" t="s">
        <v>499</v>
      </c>
      <c r="C13" s="129" t="s">
        <v>95</v>
      </c>
      <c r="D13" s="143">
        <v>17005.310000000001</v>
      </c>
      <c r="E13" s="143"/>
      <c r="F13" s="143">
        <f>471.79+36.86</f>
        <v>508.65000000000003</v>
      </c>
      <c r="G13" s="143">
        <v>3300.7</v>
      </c>
      <c r="H13" s="143">
        <v>2500</v>
      </c>
      <c r="I13" s="143">
        <f>12500+6250</f>
        <v>18750</v>
      </c>
      <c r="J13" s="143">
        <f t="shared" si="0"/>
        <v>42064.66</v>
      </c>
    </row>
    <row r="14" spans="1:26" ht="19.95" customHeight="1" x14ac:dyDescent="0.25">
      <c r="A14" s="128" t="s">
        <v>99</v>
      </c>
      <c r="B14" s="203" t="s">
        <v>499</v>
      </c>
      <c r="C14" s="129" t="s">
        <v>95</v>
      </c>
      <c r="D14" s="143">
        <v>11185.31</v>
      </c>
      <c r="E14" s="143"/>
      <c r="F14" s="143"/>
      <c r="G14" s="143"/>
      <c r="H14" s="143"/>
      <c r="I14" s="143"/>
      <c r="J14" s="143">
        <f t="shared" si="0"/>
        <v>11185.31</v>
      </c>
    </row>
    <row r="15" spans="1:26" ht="19.95" customHeight="1" x14ac:dyDescent="0.25">
      <c r="A15" s="128" t="s">
        <v>100</v>
      </c>
      <c r="B15" s="203" t="s">
        <v>499</v>
      </c>
      <c r="C15" s="129"/>
      <c r="D15" s="143">
        <v>0</v>
      </c>
      <c r="E15" s="143"/>
      <c r="F15" s="143"/>
      <c r="G15" s="143"/>
      <c r="H15" s="143"/>
      <c r="I15" s="143">
        <v>6250</v>
      </c>
      <c r="J15" s="143">
        <f t="shared" si="0"/>
        <v>6250</v>
      </c>
    </row>
    <row r="16" spans="1:26" ht="19.95" customHeight="1" x14ac:dyDescent="0.25">
      <c r="A16" s="128" t="s">
        <v>162</v>
      </c>
      <c r="B16" s="203" t="s">
        <v>499</v>
      </c>
      <c r="C16" s="129"/>
      <c r="D16" s="143">
        <v>0</v>
      </c>
      <c r="E16" s="143"/>
      <c r="F16" s="143"/>
      <c r="G16" s="143">
        <v>285</v>
      </c>
      <c r="H16" s="143"/>
      <c r="I16" s="143"/>
      <c r="J16" s="143">
        <f t="shared" si="0"/>
        <v>285</v>
      </c>
    </row>
    <row r="17" spans="1:10" ht="19.95" customHeight="1" x14ac:dyDescent="0.25">
      <c r="A17" s="128" t="s">
        <v>460</v>
      </c>
      <c r="B17" s="203" t="s">
        <v>499</v>
      </c>
      <c r="C17" s="129" t="s">
        <v>352</v>
      </c>
      <c r="D17" s="143">
        <f>7275+8366.25</f>
        <v>15641.25</v>
      </c>
      <c r="E17" s="143"/>
      <c r="F17" s="143"/>
      <c r="G17" s="143">
        <v>260</v>
      </c>
      <c r="H17" s="143">
        <v>20000</v>
      </c>
      <c r="I17" s="143">
        <v>7500</v>
      </c>
      <c r="J17" s="143">
        <f t="shared" si="0"/>
        <v>43401.25</v>
      </c>
    </row>
    <row r="18" spans="1:10" ht="19.95" customHeight="1" x14ac:dyDescent="0.25">
      <c r="A18" s="128" t="s">
        <v>373</v>
      </c>
      <c r="B18" s="203" t="s">
        <v>499</v>
      </c>
      <c r="C18" s="129" t="s">
        <v>103</v>
      </c>
      <c r="D18" s="143">
        <f>27037.12-485</f>
        <v>26552.12</v>
      </c>
      <c r="E18" s="143">
        <f>(6*48.5)+(2*48.5)+(2*48.5)</f>
        <v>485</v>
      </c>
      <c r="F18" s="143">
        <f>232.77+1512.31+160.03+55.95</f>
        <v>1961.06</v>
      </c>
      <c r="G18" s="143">
        <v>2440</v>
      </c>
      <c r="H18" s="143"/>
      <c r="I18" s="143"/>
      <c r="J18" s="143">
        <f t="shared" si="0"/>
        <v>31438.18</v>
      </c>
    </row>
    <row r="19" spans="1:10" ht="19.95" customHeight="1" x14ac:dyDescent="0.25">
      <c r="A19" s="128" t="s">
        <v>104</v>
      </c>
      <c r="B19" s="203" t="s">
        <v>499</v>
      </c>
      <c r="C19" s="131" t="s">
        <v>105</v>
      </c>
      <c r="D19" s="143">
        <v>3265.4</v>
      </c>
      <c r="E19" s="143"/>
      <c r="F19" s="143"/>
      <c r="G19" s="143"/>
      <c r="H19" s="143"/>
      <c r="I19" s="143"/>
      <c r="J19" s="143">
        <f t="shared" si="0"/>
        <v>3265.4</v>
      </c>
    </row>
    <row r="20" spans="1:10" ht="19.95" customHeight="1" x14ac:dyDescent="0.25">
      <c r="A20" s="128" t="s">
        <v>474</v>
      </c>
      <c r="B20" s="203" t="s">
        <v>499</v>
      </c>
      <c r="C20" s="129" t="s">
        <v>91</v>
      </c>
      <c r="D20" s="143">
        <v>5456.25</v>
      </c>
      <c r="E20" s="143"/>
      <c r="F20" s="143"/>
      <c r="G20" s="143"/>
      <c r="H20" s="143">
        <v>2500</v>
      </c>
      <c r="I20" s="143">
        <v>12500</v>
      </c>
      <c r="J20" s="143">
        <f t="shared" si="0"/>
        <v>20456.25</v>
      </c>
    </row>
    <row r="21" spans="1:10" ht="19.95" customHeight="1" x14ac:dyDescent="0.25">
      <c r="A21" s="130" t="s">
        <v>170</v>
      </c>
      <c r="B21" s="203" t="s">
        <v>499</v>
      </c>
      <c r="C21" s="131" t="s">
        <v>95</v>
      </c>
      <c r="D21" s="143">
        <v>18733.13</v>
      </c>
      <c r="E21" s="143"/>
      <c r="F21" s="143">
        <v>687.39</v>
      </c>
      <c r="G21" s="143"/>
      <c r="H21" s="143"/>
      <c r="I21" s="143"/>
      <c r="J21" s="143">
        <f t="shared" si="0"/>
        <v>19420.52</v>
      </c>
    </row>
    <row r="22" spans="1:10" ht="19.95" customHeight="1" x14ac:dyDescent="0.25">
      <c r="A22" s="128" t="s">
        <v>479</v>
      </c>
      <c r="B22" s="203" t="s">
        <v>499</v>
      </c>
      <c r="C22" s="127"/>
      <c r="D22" s="143">
        <v>0</v>
      </c>
      <c r="E22" s="143"/>
      <c r="F22" s="143"/>
      <c r="G22" s="143"/>
      <c r="H22" s="143"/>
      <c r="I22" s="143">
        <v>15000</v>
      </c>
      <c r="J22" s="143">
        <f t="shared" si="0"/>
        <v>15000</v>
      </c>
    </row>
    <row r="23" spans="1:10" ht="19.95" customHeight="1" x14ac:dyDescent="0.25">
      <c r="A23" s="128" t="s">
        <v>108</v>
      </c>
      <c r="B23" s="203" t="s">
        <v>499</v>
      </c>
      <c r="C23" s="127"/>
      <c r="D23" s="143">
        <v>0</v>
      </c>
      <c r="E23" s="143"/>
      <c r="F23" s="143"/>
      <c r="G23" s="143"/>
      <c r="H23" s="143"/>
      <c r="I23" s="143"/>
      <c r="J23" s="143">
        <f t="shared" si="0"/>
        <v>0</v>
      </c>
    </row>
    <row r="24" spans="1:10" ht="19.95" customHeight="1" x14ac:dyDescent="0.25">
      <c r="A24" s="128" t="s">
        <v>111</v>
      </c>
      <c r="B24" s="203" t="s">
        <v>499</v>
      </c>
      <c r="C24" s="129" t="s">
        <v>112</v>
      </c>
      <c r="D24" s="143">
        <f>3249.5-824.5</f>
        <v>2425</v>
      </c>
      <c r="E24" s="143">
        <f>(3.5*48.5)+(2.5*48.5)+(4.5*48.5)+(6.5*48.5)</f>
        <v>824.5</v>
      </c>
      <c r="F24" s="143"/>
      <c r="G24" s="143"/>
      <c r="H24" s="143"/>
      <c r="I24" s="143">
        <v>7500</v>
      </c>
      <c r="J24" s="143">
        <f t="shared" si="0"/>
        <v>10749.5</v>
      </c>
    </row>
    <row r="25" spans="1:10" ht="19.95" customHeight="1" x14ac:dyDescent="0.25">
      <c r="A25" s="128" t="s">
        <v>463</v>
      </c>
      <c r="B25" s="203" t="s">
        <v>499</v>
      </c>
      <c r="C25" s="129" t="s">
        <v>93</v>
      </c>
      <c r="D25" s="143">
        <v>1940</v>
      </c>
      <c r="E25" s="143"/>
      <c r="F25" s="143"/>
      <c r="G25" s="143">
        <v>520</v>
      </c>
      <c r="H25" s="143"/>
      <c r="I25" s="143"/>
      <c r="J25" s="143">
        <f t="shared" si="0"/>
        <v>2460</v>
      </c>
    </row>
    <row r="26" spans="1:10" ht="19.95" customHeight="1" x14ac:dyDescent="0.25">
      <c r="A26" s="128" t="s">
        <v>459</v>
      </c>
      <c r="B26" s="203" t="s">
        <v>499</v>
      </c>
      <c r="C26" s="129" t="s">
        <v>103</v>
      </c>
      <c r="D26" s="143">
        <f>4413.5-48.5</f>
        <v>4365</v>
      </c>
      <c r="E26" s="143">
        <f>1*48.5</f>
        <v>48.5</v>
      </c>
      <c r="F26" s="143">
        <v>188.69</v>
      </c>
      <c r="G26" s="143"/>
      <c r="H26" s="143"/>
      <c r="I26" s="143"/>
      <c r="J26" s="143">
        <f t="shared" si="0"/>
        <v>4602.1899999999996</v>
      </c>
    </row>
    <row r="27" spans="1:10" ht="19.95" customHeight="1" x14ac:dyDescent="0.25">
      <c r="A27" s="128" t="s">
        <v>458</v>
      </c>
      <c r="B27" s="203" t="s">
        <v>499</v>
      </c>
      <c r="C27" s="127"/>
      <c r="D27" s="143">
        <v>0</v>
      </c>
      <c r="E27" s="143"/>
      <c r="F27" s="143"/>
      <c r="G27" s="143"/>
      <c r="H27" s="143">
        <v>25000</v>
      </c>
      <c r="I27" s="143"/>
      <c r="J27" s="143">
        <f t="shared" si="0"/>
        <v>25000</v>
      </c>
    </row>
    <row r="28" spans="1:10" ht="19.95" customHeight="1" x14ac:dyDescent="0.25">
      <c r="A28" s="128" t="s">
        <v>357</v>
      </c>
      <c r="B28" s="203" t="s">
        <v>499</v>
      </c>
      <c r="C28" s="129" t="s">
        <v>352</v>
      </c>
      <c r="D28" s="143">
        <f>9093.75+3637.5</f>
        <v>12731.25</v>
      </c>
      <c r="E28" s="143"/>
      <c r="F28" s="143"/>
      <c r="G28" s="143">
        <v>600</v>
      </c>
      <c r="H28" s="143">
        <f>2500+20000</f>
        <v>22500</v>
      </c>
      <c r="I28" s="143">
        <f>4166.67+15000</f>
        <v>19166.669999999998</v>
      </c>
      <c r="J28" s="143">
        <f t="shared" si="0"/>
        <v>54997.919999999998</v>
      </c>
    </row>
    <row r="29" spans="1:10" ht="19.95" customHeight="1" x14ac:dyDescent="0.25">
      <c r="A29" s="128" t="s">
        <v>117</v>
      </c>
      <c r="B29" s="203" t="s">
        <v>499</v>
      </c>
      <c r="C29" s="129" t="s">
        <v>93</v>
      </c>
      <c r="D29" s="143">
        <v>3880</v>
      </c>
      <c r="E29" s="143"/>
      <c r="F29" s="143">
        <v>424.44</v>
      </c>
      <c r="G29" s="143"/>
      <c r="H29" s="143">
        <v>5000</v>
      </c>
      <c r="I29" s="143"/>
      <c r="J29" s="143">
        <f t="shared" si="0"/>
        <v>9304.4399999999987</v>
      </c>
    </row>
    <row r="30" spans="1:10" ht="19.95" customHeight="1" x14ac:dyDescent="0.25">
      <c r="A30" s="128" t="s">
        <v>179</v>
      </c>
      <c r="B30" s="203" t="s">
        <v>499</v>
      </c>
      <c r="C30" s="129"/>
      <c r="D30" s="143">
        <v>0</v>
      </c>
      <c r="E30" s="143"/>
      <c r="F30" s="143"/>
      <c r="G30" s="143">
        <v>765</v>
      </c>
      <c r="H30" s="143">
        <v>2500</v>
      </c>
      <c r="I30" s="143"/>
      <c r="J30" s="143">
        <f t="shared" si="0"/>
        <v>3265</v>
      </c>
    </row>
    <row r="31" spans="1:10" ht="19.95" customHeight="1" x14ac:dyDescent="0.25">
      <c r="A31" s="128" t="s">
        <v>356</v>
      </c>
      <c r="B31" s="203" t="s">
        <v>499</v>
      </c>
      <c r="C31" s="129" t="s">
        <v>112</v>
      </c>
      <c r="D31" s="143">
        <f>2303.75-121.25</f>
        <v>2182.5</v>
      </c>
      <c r="E31" s="143">
        <f>2.5*48.5</f>
        <v>121.25</v>
      </c>
      <c r="F31" s="143"/>
      <c r="G31" s="143">
        <v>260</v>
      </c>
      <c r="H31" s="143"/>
      <c r="I31" s="143"/>
      <c r="J31" s="143">
        <f t="shared" si="0"/>
        <v>2563.75</v>
      </c>
    </row>
    <row r="32" spans="1:10" ht="19.95" customHeight="1" x14ac:dyDescent="0.25">
      <c r="A32" s="128" t="s">
        <v>374</v>
      </c>
      <c r="B32" s="203" t="s">
        <v>499</v>
      </c>
      <c r="C32" s="129"/>
      <c r="D32" s="143">
        <v>0</v>
      </c>
      <c r="E32" s="143"/>
      <c r="F32" s="143"/>
      <c r="G32" s="143"/>
      <c r="H32" s="143"/>
      <c r="I32" s="143">
        <v>6250</v>
      </c>
      <c r="J32" s="143">
        <f t="shared" si="0"/>
        <v>6250</v>
      </c>
    </row>
    <row r="33" spans="1:10" ht="19.95" customHeight="1" x14ac:dyDescent="0.25">
      <c r="A33" s="128" t="s">
        <v>358</v>
      </c>
      <c r="B33" s="203" t="s">
        <v>499</v>
      </c>
      <c r="C33" s="129"/>
      <c r="D33" s="143">
        <v>0</v>
      </c>
      <c r="E33" s="143"/>
      <c r="F33" s="143"/>
      <c r="G33" s="143">
        <v>5000</v>
      </c>
      <c r="H33" s="143"/>
      <c r="I33" s="143">
        <v>15000</v>
      </c>
      <c r="J33" s="143">
        <f t="shared" si="0"/>
        <v>20000</v>
      </c>
    </row>
    <row r="34" spans="1:10" ht="19.95" customHeight="1" x14ac:dyDescent="0.25">
      <c r="A34" s="128" t="s">
        <v>388</v>
      </c>
      <c r="B34" s="203" t="s">
        <v>499</v>
      </c>
      <c r="C34" s="129"/>
      <c r="D34" s="143"/>
      <c r="E34" s="143"/>
      <c r="F34" s="143"/>
      <c r="G34" s="143"/>
      <c r="H34" s="143"/>
      <c r="I34" s="143"/>
      <c r="J34" s="143">
        <f t="shared" si="0"/>
        <v>0</v>
      </c>
    </row>
    <row r="35" spans="1:10" ht="19.95" customHeight="1" x14ac:dyDescent="0.25">
      <c r="A35" s="128" t="s">
        <v>355</v>
      </c>
      <c r="B35" s="203" t="s">
        <v>499</v>
      </c>
      <c r="C35" s="129"/>
      <c r="D35" s="143">
        <v>0</v>
      </c>
      <c r="E35" s="143"/>
      <c r="F35" s="143"/>
      <c r="G35" s="143"/>
      <c r="H35" s="143">
        <v>5000</v>
      </c>
      <c r="I35" s="143">
        <v>15000</v>
      </c>
      <c r="J35" s="143">
        <f t="shared" si="0"/>
        <v>20000</v>
      </c>
    </row>
    <row r="36" spans="1:10" ht="19.95" customHeight="1" x14ac:dyDescent="0.25">
      <c r="A36" s="128" t="s">
        <v>375</v>
      </c>
      <c r="B36" s="203" t="s">
        <v>499</v>
      </c>
      <c r="C36" s="129" t="s">
        <v>93</v>
      </c>
      <c r="D36" s="143">
        <v>8245</v>
      </c>
      <c r="E36" s="143"/>
      <c r="F36" s="143">
        <f>1370.86+1175.1</f>
        <v>2545.96</v>
      </c>
      <c r="G36" s="143"/>
      <c r="H36" s="143"/>
      <c r="I36" s="143"/>
      <c r="J36" s="143">
        <f t="shared" si="0"/>
        <v>10790.96</v>
      </c>
    </row>
    <row r="37" spans="1:10" ht="19.95" customHeight="1" x14ac:dyDescent="0.25">
      <c r="A37" s="128" t="s">
        <v>376</v>
      </c>
      <c r="B37" s="203" t="s">
        <v>499</v>
      </c>
      <c r="C37" s="129" t="s">
        <v>112</v>
      </c>
      <c r="D37" s="143">
        <f>7648.45-1142.18</f>
        <v>6506.2699999999995</v>
      </c>
      <c r="E37" s="143">
        <f>(1.5*48.5)+(0.5*48.5)+(3.5*63.05)+(3.5*48.5)+(5.5*48.5)+(2.5*48.5)+(5.5*48.5)</f>
        <v>1142.175</v>
      </c>
      <c r="F37" s="143"/>
      <c r="G37" s="143">
        <v>260</v>
      </c>
      <c r="H37" s="143"/>
      <c r="I37" s="143"/>
      <c r="J37" s="143">
        <f t="shared" si="0"/>
        <v>7908.4449999999997</v>
      </c>
    </row>
    <row r="38" spans="1:10" ht="19.95" customHeight="1" x14ac:dyDescent="0.25">
      <c r="A38" s="128" t="s">
        <v>377</v>
      </c>
      <c r="B38" s="203" t="s">
        <v>499</v>
      </c>
      <c r="C38" s="129" t="s">
        <v>91</v>
      </c>
      <c r="D38" s="143">
        <v>15459.38</v>
      </c>
      <c r="E38" s="143"/>
      <c r="F38" s="143">
        <v>727.39</v>
      </c>
      <c r="G38" s="143"/>
      <c r="H38" s="143"/>
      <c r="I38" s="143">
        <v>12500</v>
      </c>
      <c r="J38" s="143">
        <f t="shared" ref="J38:J59" si="1">SUM(D38:I38)</f>
        <v>28686.769999999997</v>
      </c>
    </row>
    <row r="39" spans="1:10" ht="19.95" customHeight="1" x14ac:dyDescent="0.25">
      <c r="A39" s="128" t="s">
        <v>190</v>
      </c>
      <c r="B39" s="203" t="s">
        <v>499</v>
      </c>
      <c r="C39" s="127"/>
      <c r="D39" s="143"/>
      <c r="E39" s="143"/>
      <c r="F39" s="143"/>
      <c r="G39" s="143"/>
      <c r="H39" s="143"/>
      <c r="I39" s="143"/>
      <c r="J39" s="143">
        <f t="shared" si="1"/>
        <v>0</v>
      </c>
    </row>
    <row r="40" spans="1:10" ht="19.95" customHeight="1" x14ac:dyDescent="0.25">
      <c r="A40" s="130" t="s">
        <v>192</v>
      </c>
      <c r="B40" s="203" t="s">
        <v>499</v>
      </c>
      <c r="C40" s="131" t="s">
        <v>91</v>
      </c>
      <c r="D40" s="143">
        <v>14550</v>
      </c>
      <c r="E40" s="143"/>
      <c r="F40" s="143"/>
      <c r="G40" s="143"/>
      <c r="H40" s="143"/>
      <c r="I40" s="143"/>
      <c r="J40" s="143">
        <f t="shared" si="1"/>
        <v>14550</v>
      </c>
    </row>
    <row r="41" spans="1:10" ht="19.95" customHeight="1" x14ac:dyDescent="0.25">
      <c r="A41" s="128" t="s">
        <v>194</v>
      </c>
      <c r="B41" s="203" t="s">
        <v>499</v>
      </c>
      <c r="C41" s="129" t="s">
        <v>91</v>
      </c>
      <c r="D41" s="143">
        <f>10912.5+4728.75</f>
        <v>15641.25</v>
      </c>
      <c r="E41" s="143"/>
      <c r="F41" s="143"/>
      <c r="G41" s="143"/>
      <c r="H41" s="143"/>
      <c r="I41" s="143"/>
      <c r="J41" s="143">
        <f t="shared" si="1"/>
        <v>15641.25</v>
      </c>
    </row>
    <row r="42" spans="1:10" ht="19.95" customHeight="1" x14ac:dyDescent="0.25">
      <c r="A42" s="130" t="s">
        <v>193</v>
      </c>
      <c r="B42" s="203" t="s">
        <v>499</v>
      </c>
      <c r="C42" s="129" t="s">
        <v>352</v>
      </c>
      <c r="D42" s="144">
        <v>9457.5</v>
      </c>
      <c r="E42" s="143"/>
      <c r="F42" s="143">
        <f>1574.82+2406+1211.4</f>
        <v>5192.2199999999993</v>
      </c>
      <c r="G42" s="143">
        <v>332.8</v>
      </c>
      <c r="H42" s="144">
        <f>2500+2500</f>
        <v>5000</v>
      </c>
      <c r="I42" s="143">
        <v>6500</v>
      </c>
      <c r="J42" s="143">
        <f t="shared" si="1"/>
        <v>26482.519999999997</v>
      </c>
    </row>
    <row r="43" spans="1:10" ht="19.95" customHeight="1" x14ac:dyDescent="0.25">
      <c r="A43" s="130" t="s">
        <v>202</v>
      </c>
      <c r="B43" s="203" t="s">
        <v>499</v>
      </c>
      <c r="C43" s="131" t="s">
        <v>95</v>
      </c>
      <c r="D43" s="143">
        <v>16550.63</v>
      </c>
      <c r="E43" s="143"/>
      <c r="F43" s="143">
        <f>620.3+1003.11</f>
        <v>1623.4099999999999</v>
      </c>
      <c r="G43" s="143">
        <v>5109.97</v>
      </c>
      <c r="H43" s="143"/>
      <c r="I43" s="143">
        <v>12500</v>
      </c>
      <c r="J43" s="143">
        <f t="shared" si="1"/>
        <v>35784.01</v>
      </c>
    </row>
    <row r="44" spans="1:10" ht="19.95" customHeight="1" x14ac:dyDescent="0.25">
      <c r="A44" s="128" t="s">
        <v>378</v>
      </c>
      <c r="B44" s="203" t="s">
        <v>499</v>
      </c>
      <c r="C44" s="129" t="s">
        <v>95</v>
      </c>
      <c r="D44" s="143">
        <v>6052.8</v>
      </c>
      <c r="E44" s="143"/>
      <c r="F44" s="143"/>
      <c r="G44" s="143">
        <v>260</v>
      </c>
      <c r="H44" s="143"/>
      <c r="I44" s="143"/>
      <c r="J44" s="143">
        <f t="shared" si="1"/>
        <v>6312.8</v>
      </c>
    </row>
    <row r="45" spans="1:10" ht="19.95" customHeight="1" x14ac:dyDescent="0.25">
      <c r="A45" s="128" t="s">
        <v>387</v>
      </c>
      <c r="B45" s="203" t="s">
        <v>499</v>
      </c>
      <c r="C45" s="129" t="s">
        <v>112</v>
      </c>
      <c r="D45" s="143">
        <f>16237.8-4622.05</f>
        <v>11615.75</v>
      </c>
      <c r="E45" s="143">
        <f>(11*63.05)+(11.5*48.5)+(9.5*48.5)+(23.5*48.5)+(36.5*48.5)</f>
        <v>4622.05</v>
      </c>
      <c r="F45" s="143"/>
      <c r="G45" s="143">
        <v>1300</v>
      </c>
      <c r="H45" s="143"/>
      <c r="I45" s="143"/>
      <c r="J45" s="143">
        <f t="shared" si="1"/>
        <v>17537.8</v>
      </c>
    </row>
    <row r="46" spans="1:10" ht="19.95" customHeight="1" x14ac:dyDescent="0.25">
      <c r="A46" s="128" t="s">
        <v>361</v>
      </c>
      <c r="B46" s="203" t="s">
        <v>499</v>
      </c>
      <c r="C46" s="129" t="s">
        <v>91</v>
      </c>
      <c r="D46" s="143">
        <v>1818.75</v>
      </c>
      <c r="E46" s="143"/>
      <c r="F46" s="143"/>
      <c r="G46" s="143"/>
      <c r="H46" s="143">
        <f>15000+2500+2500</f>
        <v>20000</v>
      </c>
      <c r="I46" s="143"/>
      <c r="J46" s="143">
        <f t="shared" si="1"/>
        <v>21818.75</v>
      </c>
    </row>
    <row r="47" spans="1:10" ht="19.95" customHeight="1" x14ac:dyDescent="0.25">
      <c r="A47" s="128" t="s">
        <v>360</v>
      </c>
      <c r="B47" s="203" t="s">
        <v>499</v>
      </c>
      <c r="C47" s="129" t="s">
        <v>112</v>
      </c>
      <c r="D47" s="143">
        <f>11167.13-1673.25</f>
        <v>9493.8799999999992</v>
      </c>
      <c r="E47" s="143">
        <f>34.5*48.5</f>
        <v>1673.25</v>
      </c>
      <c r="F47" s="143"/>
      <c r="G47" s="143">
        <v>520</v>
      </c>
      <c r="H47" s="143">
        <v>5000</v>
      </c>
      <c r="I47" s="143"/>
      <c r="J47" s="143">
        <f t="shared" si="1"/>
        <v>16687.129999999997</v>
      </c>
    </row>
    <row r="48" spans="1:10" ht="19.95" customHeight="1" x14ac:dyDescent="0.25">
      <c r="A48" s="130" t="s">
        <v>215</v>
      </c>
      <c r="B48" s="203" t="s">
        <v>499</v>
      </c>
      <c r="C48" s="127" t="s">
        <v>87</v>
      </c>
      <c r="D48" s="143">
        <v>7954</v>
      </c>
      <c r="E48" s="143"/>
      <c r="F48" s="143">
        <v>156.66999999999999</v>
      </c>
      <c r="G48" s="143">
        <v>260</v>
      </c>
      <c r="H48" s="143"/>
      <c r="I48" s="143"/>
      <c r="J48" s="143">
        <f t="shared" si="1"/>
        <v>8370.67</v>
      </c>
    </row>
    <row r="49" spans="1:10" ht="19.95" customHeight="1" x14ac:dyDescent="0.25">
      <c r="A49" s="128" t="s">
        <v>219</v>
      </c>
      <c r="B49" s="203" t="s">
        <v>499</v>
      </c>
      <c r="C49" s="129"/>
      <c r="D49" s="143"/>
      <c r="E49" s="143"/>
      <c r="F49" s="143"/>
      <c r="G49" s="143"/>
      <c r="H49" s="143"/>
      <c r="I49" s="143"/>
      <c r="J49" s="143">
        <f t="shared" si="1"/>
        <v>0</v>
      </c>
    </row>
    <row r="50" spans="1:10" ht="19.95" customHeight="1" x14ac:dyDescent="0.25">
      <c r="A50" s="128" t="s">
        <v>379</v>
      </c>
      <c r="B50" s="203" t="s">
        <v>499</v>
      </c>
      <c r="C50" s="129" t="s">
        <v>95</v>
      </c>
      <c r="D50" s="143">
        <v>11821.88</v>
      </c>
      <c r="E50" s="143"/>
      <c r="F50" s="143"/>
      <c r="G50" s="143"/>
      <c r="H50" s="143"/>
      <c r="I50" s="143"/>
      <c r="J50" s="143">
        <f t="shared" si="1"/>
        <v>11821.88</v>
      </c>
    </row>
    <row r="51" spans="1:10" ht="19.95" customHeight="1" x14ac:dyDescent="0.25">
      <c r="A51" s="128" t="s">
        <v>225</v>
      </c>
      <c r="B51" s="203" t="s">
        <v>499</v>
      </c>
      <c r="C51" s="129"/>
      <c r="D51" s="143">
        <v>0</v>
      </c>
      <c r="E51" s="143"/>
      <c r="F51" s="143"/>
      <c r="G51" s="143"/>
      <c r="H51" s="143">
        <f>2500+2500</f>
        <v>5000</v>
      </c>
      <c r="I51" s="143"/>
      <c r="J51" s="143">
        <f t="shared" si="1"/>
        <v>5000</v>
      </c>
    </row>
    <row r="52" spans="1:10" ht="19.95" customHeight="1" x14ac:dyDescent="0.25">
      <c r="A52" s="128" t="s">
        <v>236</v>
      </c>
      <c r="B52" s="203" t="s">
        <v>499</v>
      </c>
      <c r="C52" s="129"/>
      <c r="D52" s="143">
        <v>0</v>
      </c>
      <c r="E52" s="143"/>
      <c r="F52" s="143"/>
      <c r="G52" s="143">
        <v>1095</v>
      </c>
      <c r="H52" s="143"/>
      <c r="I52" s="143"/>
      <c r="J52" s="143">
        <f t="shared" si="1"/>
        <v>1095</v>
      </c>
    </row>
    <row r="53" spans="1:10" ht="19.95" customHeight="1" x14ac:dyDescent="0.25">
      <c r="A53" s="128" t="s">
        <v>380</v>
      </c>
      <c r="B53" s="203" t="s">
        <v>499</v>
      </c>
      <c r="C53" s="129" t="s">
        <v>93</v>
      </c>
      <c r="D53" s="143">
        <v>6984</v>
      </c>
      <c r="E53" s="143"/>
      <c r="F53" s="143">
        <v>114.24</v>
      </c>
      <c r="G53" s="143">
        <v>260</v>
      </c>
      <c r="H53" s="143"/>
      <c r="I53" s="143"/>
      <c r="J53" s="143">
        <f t="shared" si="1"/>
        <v>7358.24</v>
      </c>
    </row>
    <row r="54" spans="1:10" ht="19.95" customHeight="1" x14ac:dyDescent="0.25">
      <c r="A54" s="128" t="s">
        <v>381</v>
      </c>
      <c r="B54" s="203" t="s">
        <v>499</v>
      </c>
      <c r="C54" s="129" t="s">
        <v>91</v>
      </c>
      <c r="D54" s="143">
        <f>15459.38+8911.88</f>
        <v>24371.26</v>
      </c>
      <c r="E54" s="143"/>
      <c r="F54" s="143">
        <v>753.4</v>
      </c>
      <c r="G54" s="143">
        <v>260</v>
      </c>
      <c r="H54" s="143"/>
      <c r="I54" s="143"/>
      <c r="J54" s="143">
        <f t="shared" si="1"/>
        <v>25384.66</v>
      </c>
    </row>
    <row r="55" spans="1:10" ht="19.95" customHeight="1" x14ac:dyDescent="0.25">
      <c r="A55" s="128" t="s">
        <v>382</v>
      </c>
      <c r="B55" s="203" t="s">
        <v>499</v>
      </c>
      <c r="C55" s="129" t="s">
        <v>87</v>
      </c>
      <c r="D55" s="143">
        <v>4455.53</v>
      </c>
      <c r="E55" s="143"/>
      <c r="F55" s="143"/>
      <c r="G55" s="143"/>
      <c r="H55" s="143"/>
      <c r="I55" s="143"/>
      <c r="J55" s="143">
        <f t="shared" si="1"/>
        <v>4455.53</v>
      </c>
    </row>
    <row r="56" spans="1:10" ht="19.95" customHeight="1" x14ac:dyDescent="0.25">
      <c r="A56" s="128" t="s">
        <v>383</v>
      </c>
      <c r="B56" s="203" t="s">
        <v>499</v>
      </c>
      <c r="C56" s="129"/>
      <c r="D56" s="143">
        <v>0</v>
      </c>
      <c r="E56" s="143"/>
      <c r="F56" s="143"/>
      <c r="G56" s="143"/>
      <c r="H56" s="143"/>
      <c r="I56" s="143">
        <v>6250</v>
      </c>
      <c r="J56" s="143">
        <f t="shared" si="1"/>
        <v>6250</v>
      </c>
    </row>
    <row r="57" spans="1:10" ht="19.95" customHeight="1" x14ac:dyDescent="0.25">
      <c r="A57" s="128" t="s">
        <v>497</v>
      </c>
      <c r="B57" s="203" t="s">
        <v>499</v>
      </c>
      <c r="C57" s="129"/>
      <c r="D57" s="143"/>
      <c r="E57" s="143"/>
      <c r="F57" s="143"/>
      <c r="G57" s="143">
        <v>213</v>
      </c>
      <c r="H57" s="143"/>
      <c r="I57" s="143"/>
      <c r="J57" s="143">
        <f t="shared" si="1"/>
        <v>213</v>
      </c>
    </row>
    <row r="58" spans="1:10" ht="19.95" customHeight="1" x14ac:dyDescent="0.25">
      <c r="A58" s="128" t="s">
        <v>384</v>
      </c>
      <c r="B58" s="203" t="s">
        <v>499</v>
      </c>
      <c r="C58" s="129" t="s">
        <v>87</v>
      </c>
      <c r="D58" s="143">
        <v>1345.06</v>
      </c>
      <c r="E58" s="143"/>
      <c r="F58" s="143">
        <v>425.53</v>
      </c>
      <c r="G58" s="143"/>
      <c r="H58" s="143"/>
      <c r="I58" s="143"/>
      <c r="J58" s="143">
        <f t="shared" si="1"/>
        <v>1770.59</v>
      </c>
    </row>
    <row r="59" spans="1:10" ht="19.95" customHeight="1" x14ac:dyDescent="0.25">
      <c r="A59" s="128" t="s">
        <v>385</v>
      </c>
      <c r="B59" s="203" t="s">
        <v>499</v>
      </c>
      <c r="C59" s="129" t="s">
        <v>93</v>
      </c>
      <c r="D59" s="143">
        <v>12998</v>
      </c>
      <c r="E59" s="143"/>
      <c r="F59" s="143">
        <v>534.64</v>
      </c>
      <c r="G59" s="143">
        <v>260</v>
      </c>
      <c r="H59" s="143"/>
      <c r="I59" s="143"/>
      <c r="J59" s="143">
        <f t="shared" si="1"/>
        <v>13792.64</v>
      </c>
    </row>
    <row r="60" spans="1:10" ht="19.95" customHeight="1" x14ac:dyDescent="0.25">
      <c r="A60" s="132" t="s">
        <v>85</v>
      </c>
      <c r="B60" s="204"/>
      <c r="C60" s="133"/>
      <c r="D60" s="146">
        <f t="shared" ref="D60:J60" si="2">SUM(D3:D59)</f>
        <v>467377.26</v>
      </c>
      <c r="E60" s="146">
        <f t="shared" si="2"/>
        <v>10662.725</v>
      </c>
      <c r="F60" s="146">
        <f t="shared" si="2"/>
        <v>54597.229999999996</v>
      </c>
      <c r="G60" s="146">
        <f t="shared" si="2"/>
        <v>46818.58</v>
      </c>
      <c r="H60" s="146">
        <f t="shared" si="2"/>
        <v>130000</v>
      </c>
      <c r="I60" s="146">
        <f t="shared" si="2"/>
        <v>200666.66999999998</v>
      </c>
      <c r="J60" s="146">
        <f t="shared" si="2"/>
        <v>910122.46500000008</v>
      </c>
    </row>
    <row r="61" spans="1:10" ht="19.95" customHeight="1" x14ac:dyDescent="0.25">
      <c r="A61" s="134" t="s">
        <v>363</v>
      </c>
      <c r="B61" s="203" t="s">
        <v>500</v>
      </c>
      <c r="C61" s="131"/>
      <c r="D61" s="148"/>
      <c r="E61" s="148"/>
      <c r="F61" s="148">
        <v>4658.1499999999996</v>
      </c>
      <c r="G61" s="148"/>
      <c r="H61" s="147"/>
      <c r="I61" s="148"/>
      <c r="J61" s="148">
        <f>SUM(D61:I61)</f>
        <v>4658.1499999999996</v>
      </c>
    </row>
    <row r="62" spans="1:10" ht="19.95" customHeight="1" x14ac:dyDescent="0.25">
      <c r="A62" s="130" t="s">
        <v>143</v>
      </c>
      <c r="B62" s="203" t="s">
        <v>500</v>
      </c>
      <c r="C62" s="131"/>
      <c r="D62" s="147"/>
      <c r="E62" s="147"/>
      <c r="F62" s="147"/>
      <c r="G62" s="147">
        <v>1200</v>
      </c>
      <c r="H62" s="147"/>
      <c r="I62" s="147">
        <v>15000</v>
      </c>
      <c r="J62" s="147">
        <f t="shared" ref="J62" si="3">SUM(D62:I62)</f>
        <v>16200</v>
      </c>
    </row>
    <row r="63" spans="1:10" ht="19.95" customHeight="1" x14ac:dyDescent="0.25">
      <c r="A63" s="128" t="s">
        <v>144</v>
      </c>
      <c r="B63" s="203" t="s">
        <v>500</v>
      </c>
      <c r="C63" s="129" t="s">
        <v>112</v>
      </c>
      <c r="D63" s="147">
        <v>12610</v>
      </c>
      <c r="E63" s="147"/>
      <c r="F63" s="147"/>
      <c r="G63" s="147">
        <v>780</v>
      </c>
      <c r="H63" s="147"/>
      <c r="I63" s="147"/>
      <c r="J63" s="147">
        <f t="shared" ref="J63:J99" si="4">SUM(D63:I63)</f>
        <v>13390</v>
      </c>
    </row>
    <row r="64" spans="1:10" ht="19.95" customHeight="1" x14ac:dyDescent="0.25">
      <c r="A64" s="128" t="s">
        <v>145</v>
      </c>
      <c r="B64" s="203" t="s">
        <v>500</v>
      </c>
      <c r="C64" s="129" t="s">
        <v>103</v>
      </c>
      <c r="D64" s="147">
        <v>5820</v>
      </c>
      <c r="E64" s="147"/>
      <c r="F64" s="147">
        <f>13.99+3124.38+75.54+1686.31</f>
        <v>4900.2199999999993</v>
      </c>
      <c r="G64" s="147">
        <v>780</v>
      </c>
      <c r="H64" s="147"/>
      <c r="I64" s="147"/>
      <c r="J64" s="147">
        <f t="shared" si="4"/>
        <v>11500.22</v>
      </c>
    </row>
    <row r="65" spans="1:10" ht="19.95" customHeight="1" x14ac:dyDescent="0.25">
      <c r="A65" s="128" t="s">
        <v>465</v>
      </c>
      <c r="B65" s="203" t="s">
        <v>500</v>
      </c>
      <c r="C65" s="129"/>
      <c r="D65" s="147"/>
      <c r="E65" s="147"/>
      <c r="F65" s="147">
        <v>111.9</v>
      </c>
      <c r="G65" s="147"/>
      <c r="H65" s="147"/>
      <c r="I65" s="147"/>
      <c r="J65" s="147">
        <f t="shared" si="4"/>
        <v>111.9</v>
      </c>
    </row>
    <row r="66" spans="1:10" ht="19.95" customHeight="1" x14ac:dyDescent="0.25">
      <c r="A66" s="134" t="s">
        <v>452</v>
      </c>
      <c r="B66" s="203" t="s">
        <v>500</v>
      </c>
      <c r="C66" s="131"/>
      <c r="D66" s="148"/>
      <c r="E66" s="148"/>
      <c r="F66" s="148">
        <f>111.9+3987.14+441.35</f>
        <v>4540.3900000000003</v>
      </c>
      <c r="G66" s="148"/>
      <c r="H66" s="147"/>
      <c r="I66" s="148"/>
      <c r="J66" s="148">
        <f>SUM(D66:I66)</f>
        <v>4540.3900000000003</v>
      </c>
    </row>
    <row r="67" spans="1:10" ht="19.95" customHeight="1" x14ac:dyDescent="0.25">
      <c r="A67" s="130" t="s">
        <v>147</v>
      </c>
      <c r="B67" s="203" t="s">
        <v>500</v>
      </c>
      <c r="C67" s="131" t="s">
        <v>87</v>
      </c>
      <c r="D67" s="147">
        <v>4623.6499999999996</v>
      </c>
      <c r="E67" s="147"/>
      <c r="F67" s="147"/>
      <c r="G67" s="147"/>
      <c r="H67" s="147"/>
      <c r="I67" s="147"/>
      <c r="J67" s="147">
        <f t="shared" si="4"/>
        <v>4623.6499999999996</v>
      </c>
    </row>
    <row r="68" spans="1:10" ht="19.95" customHeight="1" x14ac:dyDescent="0.25">
      <c r="A68" s="128" t="s">
        <v>149</v>
      </c>
      <c r="B68" s="203" t="s">
        <v>500</v>
      </c>
      <c r="C68" s="131" t="s">
        <v>93</v>
      </c>
      <c r="D68" s="147">
        <v>8924</v>
      </c>
      <c r="E68" s="147"/>
      <c r="F68" s="147">
        <v>4224.53</v>
      </c>
      <c r="G68" s="147">
        <v>260</v>
      </c>
      <c r="H68" s="147"/>
      <c r="I68" s="147"/>
      <c r="J68" s="147">
        <f t="shared" si="4"/>
        <v>13408.529999999999</v>
      </c>
    </row>
    <row r="69" spans="1:10" ht="19.95" customHeight="1" x14ac:dyDescent="0.25">
      <c r="A69" s="128" t="s">
        <v>151</v>
      </c>
      <c r="B69" s="203" t="s">
        <v>500</v>
      </c>
      <c r="C69" s="129"/>
      <c r="D69" s="147"/>
      <c r="E69" s="147"/>
      <c r="F69" s="147">
        <v>214.02</v>
      </c>
      <c r="G69" s="147"/>
      <c r="H69" s="147"/>
      <c r="I69" s="147"/>
      <c r="J69" s="147">
        <f t="shared" si="4"/>
        <v>214.02</v>
      </c>
    </row>
    <row r="70" spans="1:10" ht="19.95" customHeight="1" x14ac:dyDescent="0.25">
      <c r="A70" s="130" t="s">
        <v>152</v>
      </c>
      <c r="B70" s="203" t="s">
        <v>500</v>
      </c>
      <c r="C70" s="131" t="s">
        <v>87</v>
      </c>
      <c r="D70" s="147">
        <f>15529.67-727.5</f>
        <v>14802.17</v>
      </c>
      <c r="E70" s="147">
        <f>(9*48.5)+(5*48.5)+(1*48.5)</f>
        <v>727.5</v>
      </c>
      <c r="F70" s="147">
        <v>27.98</v>
      </c>
      <c r="G70" s="147">
        <v>871.12</v>
      </c>
      <c r="H70" s="147"/>
      <c r="I70" s="147"/>
      <c r="J70" s="147">
        <f t="shared" si="4"/>
        <v>16428.77</v>
      </c>
    </row>
    <row r="71" spans="1:10" ht="19.95" customHeight="1" x14ac:dyDescent="0.25">
      <c r="A71" s="128" t="s">
        <v>153</v>
      </c>
      <c r="B71" s="203" t="s">
        <v>500</v>
      </c>
      <c r="C71" s="129"/>
      <c r="D71" s="147"/>
      <c r="E71" s="147"/>
      <c r="F71" s="147"/>
      <c r="G71" s="147"/>
      <c r="H71" s="147"/>
      <c r="I71" s="147"/>
      <c r="J71" s="147">
        <f t="shared" si="4"/>
        <v>0</v>
      </c>
    </row>
    <row r="72" spans="1:10" ht="19.95" customHeight="1" x14ac:dyDescent="0.25">
      <c r="A72" s="130" t="s">
        <v>154</v>
      </c>
      <c r="B72" s="203" t="s">
        <v>500</v>
      </c>
      <c r="C72" s="129" t="s">
        <v>103</v>
      </c>
      <c r="D72" s="147">
        <v>8510.1200000000008</v>
      </c>
      <c r="E72" s="147"/>
      <c r="F72" s="147">
        <v>151.08000000000001</v>
      </c>
      <c r="G72" s="147"/>
      <c r="H72" s="147"/>
      <c r="I72" s="147"/>
      <c r="J72" s="147">
        <f t="shared" si="4"/>
        <v>8661.2000000000007</v>
      </c>
    </row>
    <row r="73" spans="1:10" ht="19.95" customHeight="1" x14ac:dyDescent="0.25">
      <c r="A73" s="128" t="s">
        <v>155</v>
      </c>
      <c r="B73" s="203" t="s">
        <v>500</v>
      </c>
      <c r="C73" s="129" t="s">
        <v>352</v>
      </c>
      <c r="D73" s="147">
        <f>10003.13+909.38</f>
        <v>10912.509999999998</v>
      </c>
      <c r="E73" s="147"/>
      <c r="F73" s="147">
        <v>31.6</v>
      </c>
      <c r="G73" s="147"/>
      <c r="H73" s="147"/>
      <c r="I73" s="147">
        <f>4166.67+12500</f>
        <v>16666.669999999998</v>
      </c>
      <c r="J73" s="147">
        <f t="shared" si="4"/>
        <v>27610.78</v>
      </c>
    </row>
    <row r="74" spans="1:10" ht="19.95" customHeight="1" x14ac:dyDescent="0.25">
      <c r="A74" s="128" t="s">
        <v>156</v>
      </c>
      <c r="B74" s="203" t="s">
        <v>500</v>
      </c>
      <c r="C74" s="129"/>
      <c r="D74" s="147"/>
      <c r="E74" s="147"/>
      <c r="F74" s="147">
        <f>335.7+1222.2</f>
        <v>1557.9</v>
      </c>
      <c r="G74" s="147">
        <v>800</v>
      </c>
      <c r="H74" s="147"/>
      <c r="I74" s="147"/>
      <c r="J74" s="147">
        <f t="shared" si="4"/>
        <v>2357.9</v>
      </c>
    </row>
    <row r="75" spans="1:10" ht="19.95" customHeight="1" x14ac:dyDescent="0.25">
      <c r="A75" s="128" t="s">
        <v>466</v>
      </c>
      <c r="B75" s="203" t="s">
        <v>500</v>
      </c>
      <c r="C75" s="129"/>
      <c r="D75" s="147"/>
      <c r="E75" s="147"/>
      <c r="F75" s="147">
        <v>223.8</v>
      </c>
      <c r="G75" s="147"/>
      <c r="H75" s="147"/>
      <c r="I75" s="147"/>
      <c r="J75" s="147">
        <f t="shared" si="4"/>
        <v>223.8</v>
      </c>
    </row>
    <row r="76" spans="1:10" ht="19.95" customHeight="1" x14ac:dyDescent="0.25">
      <c r="A76" s="130" t="s">
        <v>157</v>
      </c>
      <c r="B76" s="203" t="s">
        <v>500</v>
      </c>
      <c r="C76" s="131" t="s">
        <v>112</v>
      </c>
      <c r="D76" s="147">
        <f>2546.25-121.25</f>
        <v>2425</v>
      </c>
      <c r="E76" s="147">
        <f>2.5*48.5</f>
        <v>121.25</v>
      </c>
      <c r="F76" s="147"/>
      <c r="G76" s="147"/>
      <c r="H76" s="147"/>
      <c r="I76" s="147"/>
      <c r="J76" s="147">
        <f t="shared" si="4"/>
        <v>2546.25</v>
      </c>
    </row>
    <row r="77" spans="1:10" ht="19.95" customHeight="1" x14ac:dyDescent="0.25">
      <c r="A77" s="130" t="s">
        <v>364</v>
      </c>
      <c r="B77" s="203" t="s">
        <v>500</v>
      </c>
      <c r="C77" s="131" t="s">
        <v>95</v>
      </c>
      <c r="D77" s="147">
        <v>2364.38</v>
      </c>
      <c r="E77" s="147"/>
      <c r="F77" s="147"/>
      <c r="G77" s="147"/>
      <c r="H77" s="147"/>
      <c r="I77" s="147"/>
      <c r="J77" s="147">
        <f t="shared" si="4"/>
        <v>2364.38</v>
      </c>
    </row>
    <row r="78" spans="1:10" ht="19.95" customHeight="1" x14ac:dyDescent="0.25">
      <c r="A78" s="128" t="s">
        <v>467</v>
      </c>
      <c r="B78" s="203" t="s">
        <v>500</v>
      </c>
      <c r="C78" s="131" t="s">
        <v>112</v>
      </c>
      <c r="D78" s="147">
        <v>606.25</v>
      </c>
      <c r="E78" s="147"/>
      <c r="F78" s="147"/>
      <c r="G78" s="147"/>
      <c r="H78" s="147"/>
      <c r="I78" s="147"/>
      <c r="J78" s="147">
        <f t="shared" si="4"/>
        <v>606.25</v>
      </c>
    </row>
    <row r="79" spans="1:10" ht="19.95" customHeight="1" x14ac:dyDescent="0.25">
      <c r="A79" s="128" t="s">
        <v>468</v>
      </c>
      <c r="B79" s="203" t="s">
        <v>500</v>
      </c>
      <c r="C79" s="131" t="s">
        <v>93</v>
      </c>
      <c r="D79" s="147">
        <v>3783</v>
      </c>
      <c r="E79" s="147"/>
      <c r="F79" s="147">
        <v>2247.65</v>
      </c>
      <c r="G79" s="147"/>
      <c r="H79" s="147"/>
      <c r="I79" s="147"/>
      <c r="J79" s="147">
        <f t="shared" si="4"/>
        <v>6030.65</v>
      </c>
    </row>
    <row r="80" spans="1:10" ht="19.95" customHeight="1" x14ac:dyDescent="0.25">
      <c r="A80" s="134" t="s">
        <v>365</v>
      </c>
      <c r="B80" s="203" t="s">
        <v>500</v>
      </c>
      <c r="C80" s="131"/>
      <c r="D80" s="148"/>
      <c r="E80" s="148"/>
      <c r="F80" s="148"/>
      <c r="G80" s="148">
        <v>300</v>
      </c>
      <c r="H80" s="147"/>
      <c r="I80" s="148"/>
      <c r="J80" s="148">
        <f>SUM(D80:I80)</f>
        <v>300</v>
      </c>
    </row>
    <row r="81" spans="1:10" ht="19.95" customHeight="1" x14ac:dyDescent="0.25">
      <c r="A81" s="130" t="s">
        <v>161</v>
      </c>
      <c r="B81" s="203" t="s">
        <v>500</v>
      </c>
      <c r="C81" s="131" t="s">
        <v>87</v>
      </c>
      <c r="D81" s="147">
        <v>3362.65</v>
      </c>
      <c r="E81" s="147"/>
      <c r="F81" s="147"/>
      <c r="G81" s="147"/>
      <c r="H81" s="147"/>
      <c r="I81" s="147"/>
      <c r="J81" s="147">
        <f t="shared" si="4"/>
        <v>3362.65</v>
      </c>
    </row>
    <row r="82" spans="1:10" ht="19.95" customHeight="1" x14ac:dyDescent="0.25">
      <c r="A82" s="128" t="s">
        <v>163</v>
      </c>
      <c r="B82" s="203" t="s">
        <v>500</v>
      </c>
      <c r="C82" s="129"/>
      <c r="D82" s="147"/>
      <c r="E82" s="147"/>
      <c r="F82" s="147">
        <v>339.5</v>
      </c>
      <c r="G82" s="147"/>
      <c r="H82" s="147"/>
      <c r="I82" s="147"/>
      <c r="J82" s="148">
        <f>SUM(D82:I82)</f>
        <v>339.5</v>
      </c>
    </row>
    <row r="83" spans="1:10" ht="19.95" customHeight="1" x14ac:dyDescent="0.25">
      <c r="A83" s="128" t="s">
        <v>164</v>
      </c>
      <c r="B83" s="203" t="s">
        <v>500</v>
      </c>
      <c r="C83" s="129" t="s">
        <v>95</v>
      </c>
      <c r="D83" s="147">
        <v>6052.8</v>
      </c>
      <c r="E83" s="147"/>
      <c r="F83" s="147"/>
      <c r="G83" s="147">
        <v>130</v>
      </c>
      <c r="H83" s="147"/>
      <c r="I83" s="147"/>
      <c r="J83" s="147">
        <f t="shared" si="4"/>
        <v>6182.8</v>
      </c>
    </row>
    <row r="84" spans="1:10" ht="19.95" customHeight="1" x14ac:dyDescent="0.25">
      <c r="A84" s="128" t="s">
        <v>166</v>
      </c>
      <c r="B84" s="203" t="s">
        <v>500</v>
      </c>
      <c r="C84" s="131" t="s">
        <v>87</v>
      </c>
      <c r="D84" s="147">
        <f>15083.5-145.5</f>
        <v>14938</v>
      </c>
      <c r="E84" s="147">
        <f>(1*48.5)+(1*48.5)+(1*48.5)</f>
        <v>145.5</v>
      </c>
      <c r="F84" s="147">
        <v>32.18</v>
      </c>
      <c r="G84" s="147">
        <v>260</v>
      </c>
      <c r="H84" s="147"/>
      <c r="I84" s="147"/>
      <c r="J84" s="147">
        <f t="shared" si="4"/>
        <v>15375.68</v>
      </c>
    </row>
    <row r="85" spans="1:10" ht="19.95" customHeight="1" x14ac:dyDescent="0.25">
      <c r="A85" s="130" t="s">
        <v>167</v>
      </c>
      <c r="B85" s="203" t="s">
        <v>500</v>
      </c>
      <c r="C85" s="131" t="s">
        <v>95</v>
      </c>
      <c r="D85" s="147">
        <v>16140.8</v>
      </c>
      <c r="E85" s="147"/>
      <c r="F85" s="147"/>
      <c r="G85" s="147">
        <v>520</v>
      </c>
      <c r="H85" s="147"/>
      <c r="I85" s="147"/>
      <c r="J85" s="147">
        <f t="shared" si="4"/>
        <v>16660.8</v>
      </c>
    </row>
    <row r="86" spans="1:10" ht="19.95" customHeight="1" x14ac:dyDescent="0.25">
      <c r="A86" s="128" t="s">
        <v>168</v>
      </c>
      <c r="B86" s="203" t="s">
        <v>500</v>
      </c>
      <c r="C86" s="129" t="s">
        <v>91</v>
      </c>
      <c r="D86" s="147">
        <v>7275</v>
      </c>
      <c r="E86" s="147"/>
      <c r="F86" s="147"/>
      <c r="G86" s="147"/>
      <c r="H86" s="147"/>
      <c r="I86" s="147"/>
      <c r="J86" s="147">
        <f t="shared" si="4"/>
        <v>7275</v>
      </c>
    </row>
    <row r="87" spans="1:10" ht="19.95" customHeight="1" x14ac:dyDescent="0.25">
      <c r="A87" s="128" t="s">
        <v>169</v>
      </c>
      <c r="B87" s="203" t="s">
        <v>500</v>
      </c>
      <c r="C87" s="131" t="s">
        <v>93</v>
      </c>
      <c r="D87" s="147">
        <v>3880</v>
      </c>
      <c r="E87" s="147"/>
      <c r="F87" s="147"/>
      <c r="G87" s="147"/>
      <c r="H87" s="147"/>
      <c r="I87" s="147"/>
      <c r="J87" s="147">
        <f t="shared" si="4"/>
        <v>3880</v>
      </c>
    </row>
    <row r="88" spans="1:10" ht="19.95" customHeight="1" x14ac:dyDescent="0.25">
      <c r="A88" s="128" t="s">
        <v>171</v>
      </c>
      <c r="B88" s="203" t="s">
        <v>500</v>
      </c>
      <c r="C88" s="129"/>
      <c r="D88" s="147"/>
      <c r="E88" s="147"/>
      <c r="F88" s="147">
        <f>763.77+505.89</f>
        <v>1269.6599999999999</v>
      </c>
      <c r="G88" s="147"/>
      <c r="H88" s="147"/>
      <c r="I88" s="147"/>
      <c r="J88" s="148">
        <f>SUM(D88:I88)</f>
        <v>1269.6599999999999</v>
      </c>
    </row>
    <row r="89" spans="1:10" ht="19.95" customHeight="1" x14ac:dyDescent="0.25">
      <c r="A89" s="128" t="s">
        <v>172</v>
      </c>
      <c r="B89" s="203" t="s">
        <v>500</v>
      </c>
      <c r="C89" s="131" t="s">
        <v>95</v>
      </c>
      <c r="D89" s="147">
        <v>1784.8</v>
      </c>
      <c r="E89" s="147"/>
      <c r="F89" s="147"/>
      <c r="G89" s="147"/>
      <c r="H89" s="147"/>
      <c r="I89" s="147"/>
      <c r="J89" s="147">
        <f t="shared" si="4"/>
        <v>1784.8</v>
      </c>
    </row>
    <row r="90" spans="1:10" ht="19.95" customHeight="1" x14ac:dyDescent="0.25">
      <c r="A90" s="128" t="s">
        <v>173</v>
      </c>
      <c r="B90" s="203" t="s">
        <v>500</v>
      </c>
      <c r="C90" s="131" t="s">
        <v>87</v>
      </c>
      <c r="D90" s="147">
        <f>4898.5-48.5</f>
        <v>4850</v>
      </c>
      <c r="E90" s="147">
        <v>48.5</v>
      </c>
      <c r="F90" s="147">
        <f>671.4+13.99+1863.26</f>
        <v>2548.65</v>
      </c>
      <c r="G90" s="147">
        <v>520</v>
      </c>
      <c r="H90" s="147"/>
      <c r="I90" s="147"/>
      <c r="J90" s="147">
        <f t="shared" si="4"/>
        <v>7967.15</v>
      </c>
    </row>
    <row r="91" spans="1:10" ht="19.95" customHeight="1" x14ac:dyDescent="0.25">
      <c r="A91" s="134" t="s">
        <v>464</v>
      </c>
      <c r="B91" s="203" t="s">
        <v>500</v>
      </c>
      <c r="C91" s="131"/>
      <c r="D91" s="148"/>
      <c r="E91" s="148"/>
      <c r="F91" s="148">
        <v>111.9</v>
      </c>
      <c r="G91" s="148"/>
      <c r="H91" s="147"/>
      <c r="I91" s="148"/>
      <c r="J91" s="148">
        <f>SUM(D91:I91)</f>
        <v>111.9</v>
      </c>
    </row>
    <row r="92" spans="1:10" ht="19.95" customHeight="1" x14ac:dyDescent="0.25">
      <c r="A92" s="130" t="s">
        <v>366</v>
      </c>
      <c r="B92" s="203" t="s">
        <v>500</v>
      </c>
      <c r="C92" s="129" t="s">
        <v>91</v>
      </c>
      <c r="D92" s="147">
        <v>5456.25</v>
      </c>
      <c r="E92" s="147"/>
      <c r="F92" s="147">
        <f>111.9+111.9</f>
        <v>223.8</v>
      </c>
      <c r="G92" s="147"/>
      <c r="H92" s="147"/>
      <c r="I92" s="147"/>
      <c r="J92" s="147">
        <f t="shared" si="4"/>
        <v>5680.05</v>
      </c>
    </row>
    <row r="93" spans="1:10" ht="19.95" customHeight="1" x14ac:dyDescent="0.25">
      <c r="A93" s="128" t="s">
        <v>180</v>
      </c>
      <c r="B93" s="203" t="s">
        <v>500</v>
      </c>
      <c r="C93" s="129"/>
      <c r="D93" s="147"/>
      <c r="E93" s="147"/>
      <c r="F93" s="147"/>
      <c r="G93" s="147">
        <v>260</v>
      </c>
      <c r="H93" s="147"/>
      <c r="I93" s="147"/>
      <c r="J93" s="148">
        <f>SUM(D93:I93)</f>
        <v>260</v>
      </c>
    </row>
    <row r="94" spans="1:10" ht="19.95" customHeight="1" x14ac:dyDescent="0.25">
      <c r="A94" s="128" t="s">
        <v>181</v>
      </c>
      <c r="B94" s="203" t="s">
        <v>500</v>
      </c>
      <c r="C94" s="129" t="s">
        <v>95</v>
      </c>
      <c r="D94" s="147">
        <v>7820.63</v>
      </c>
      <c r="E94" s="147"/>
      <c r="F94" s="147">
        <v>111.92</v>
      </c>
      <c r="G94" s="147">
        <v>130</v>
      </c>
      <c r="H94" s="147"/>
      <c r="I94" s="147"/>
      <c r="J94" s="147">
        <f t="shared" si="4"/>
        <v>8062.55</v>
      </c>
    </row>
    <row r="95" spans="1:10" ht="19.95" customHeight="1" x14ac:dyDescent="0.25">
      <c r="A95" s="130" t="s">
        <v>182</v>
      </c>
      <c r="B95" s="203" t="s">
        <v>500</v>
      </c>
      <c r="C95" s="131" t="s">
        <v>93</v>
      </c>
      <c r="D95" s="147">
        <v>3783</v>
      </c>
      <c r="E95" s="147"/>
      <c r="F95" s="147"/>
      <c r="G95" s="148"/>
      <c r="H95" s="147"/>
      <c r="I95" s="147"/>
      <c r="J95" s="147">
        <f t="shared" si="4"/>
        <v>3783</v>
      </c>
    </row>
    <row r="96" spans="1:10" ht="19.95" customHeight="1" x14ac:dyDescent="0.25">
      <c r="A96" s="128" t="s">
        <v>457</v>
      </c>
      <c r="B96" s="203" t="s">
        <v>500</v>
      </c>
      <c r="C96" s="129"/>
      <c r="D96" s="147"/>
      <c r="E96" s="147"/>
      <c r="F96" s="147">
        <v>5468.71</v>
      </c>
      <c r="G96" s="147"/>
      <c r="H96" s="147"/>
      <c r="I96" s="147"/>
      <c r="J96" s="148">
        <f>SUM(D96:I96)</f>
        <v>5468.71</v>
      </c>
    </row>
    <row r="97" spans="1:10" ht="19.95" customHeight="1" x14ac:dyDescent="0.25">
      <c r="A97" s="128" t="s">
        <v>183</v>
      </c>
      <c r="B97" s="203" t="s">
        <v>500</v>
      </c>
      <c r="C97" s="129" t="s">
        <v>352</v>
      </c>
      <c r="D97" s="147">
        <f>7093.13+1818.75</f>
        <v>8911.880000000001</v>
      </c>
      <c r="E97" s="147"/>
      <c r="F97" s="147"/>
      <c r="G97" s="147"/>
      <c r="H97" s="147"/>
      <c r="I97" s="147"/>
      <c r="J97" s="147">
        <f t="shared" si="4"/>
        <v>8911.880000000001</v>
      </c>
    </row>
    <row r="98" spans="1:10" ht="19.95" customHeight="1" x14ac:dyDescent="0.25">
      <c r="A98" s="128" t="s">
        <v>185</v>
      </c>
      <c r="B98" s="203" t="s">
        <v>500</v>
      </c>
      <c r="C98" s="129" t="s">
        <v>91</v>
      </c>
      <c r="D98" s="147">
        <v>14550</v>
      </c>
      <c r="E98" s="147"/>
      <c r="F98" s="147">
        <v>501.61</v>
      </c>
      <c r="G98" s="147"/>
      <c r="H98" s="147"/>
      <c r="I98" s="147"/>
      <c r="J98" s="147">
        <f t="shared" si="4"/>
        <v>15051.61</v>
      </c>
    </row>
    <row r="99" spans="1:10" ht="19.95" customHeight="1" x14ac:dyDescent="0.25">
      <c r="A99" s="128" t="s">
        <v>367</v>
      </c>
      <c r="B99" s="203" t="s">
        <v>500</v>
      </c>
      <c r="C99" s="127"/>
      <c r="D99" s="147"/>
      <c r="E99" s="147"/>
      <c r="F99" s="147"/>
      <c r="G99" s="147"/>
      <c r="H99" s="147"/>
      <c r="I99" s="147">
        <v>12500</v>
      </c>
      <c r="J99" s="147">
        <f t="shared" si="4"/>
        <v>12500</v>
      </c>
    </row>
    <row r="100" spans="1:10" ht="19.95" customHeight="1" x14ac:dyDescent="0.25">
      <c r="A100" s="130" t="s">
        <v>186</v>
      </c>
      <c r="B100" s="203" t="s">
        <v>500</v>
      </c>
      <c r="C100" s="131" t="s">
        <v>112</v>
      </c>
      <c r="D100" s="147">
        <f>11276.25-2788.75</f>
        <v>8487.5</v>
      </c>
      <c r="E100" s="147">
        <f>(4.5*48.5)+(5.5*48.5)+(1*48.5)+(5.5*48.5)+(2.5*48.5)+(1.5*48.5)+(7.5*48.5)+(2.5*48.5)+(0.5*48.5)+557.75+339.5+388</f>
        <v>2788.75</v>
      </c>
      <c r="F100" s="147"/>
      <c r="G100" s="147">
        <v>390</v>
      </c>
      <c r="H100" s="147"/>
      <c r="I100" s="147"/>
      <c r="J100" s="147">
        <f t="shared" ref="J100:J143" si="5">SUM(D100:I100)</f>
        <v>11666.25</v>
      </c>
    </row>
    <row r="101" spans="1:10" ht="19.95" customHeight="1" x14ac:dyDescent="0.25">
      <c r="A101" s="128" t="s">
        <v>187</v>
      </c>
      <c r="B101" s="203" t="s">
        <v>500</v>
      </c>
      <c r="C101" s="131" t="s">
        <v>95</v>
      </c>
      <c r="D101" s="147">
        <v>14123.2</v>
      </c>
      <c r="E101" s="147"/>
      <c r="F101" s="147"/>
      <c r="G101" s="147">
        <v>260</v>
      </c>
      <c r="H101" s="147"/>
      <c r="I101" s="147"/>
      <c r="J101" s="147">
        <f t="shared" si="5"/>
        <v>14383.2</v>
      </c>
    </row>
    <row r="102" spans="1:10" ht="19.95" customHeight="1" x14ac:dyDescent="0.25">
      <c r="A102" s="130" t="s">
        <v>188</v>
      </c>
      <c r="B102" s="203" t="s">
        <v>500</v>
      </c>
      <c r="C102" s="131" t="s">
        <v>105</v>
      </c>
      <c r="D102" s="147">
        <v>3265.4</v>
      </c>
      <c r="E102" s="147"/>
      <c r="F102" s="147"/>
      <c r="G102" s="147"/>
      <c r="H102" s="147"/>
      <c r="I102" s="147"/>
      <c r="J102" s="147">
        <f t="shared" si="5"/>
        <v>3265.4</v>
      </c>
    </row>
    <row r="103" spans="1:10" ht="19.95" customHeight="1" x14ac:dyDescent="0.25">
      <c r="A103" s="128" t="s">
        <v>189</v>
      </c>
      <c r="B103" s="203" t="s">
        <v>500</v>
      </c>
      <c r="C103" s="131" t="s">
        <v>93</v>
      </c>
      <c r="D103" s="147">
        <v>19594</v>
      </c>
      <c r="E103" s="147"/>
      <c r="F103" s="147">
        <v>1241.52</v>
      </c>
      <c r="G103" s="147">
        <v>520</v>
      </c>
      <c r="H103" s="147"/>
      <c r="I103" s="147"/>
      <c r="J103" s="147">
        <f t="shared" si="5"/>
        <v>21355.52</v>
      </c>
    </row>
    <row r="104" spans="1:10" ht="19.95" customHeight="1" x14ac:dyDescent="0.25">
      <c r="A104" s="130" t="s">
        <v>191</v>
      </c>
      <c r="B104" s="203" t="s">
        <v>500</v>
      </c>
      <c r="C104" s="131"/>
      <c r="D104" s="147"/>
      <c r="E104" s="147"/>
      <c r="F104" s="147">
        <f>111.9+679</f>
        <v>790.9</v>
      </c>
      <c r="G104" s="147"/>
      <c r="H104" s="147"/>
      <c r="I104" s="147"/>
      <c r="J104" s="147">
        <f t="shared" si="5"/>
        <v>790.9</v>
      </c>
    </row>
    <row r="105" spans="1:10" ht="19.95" customHeight="1" x14ac:dyDescent="0.25">
      <c r="A105" s="128" t="s">
        <v>195</v>
      </c>
      <c r="B105" s="203" t="s">
        <v>500</v>
      </c>
      <c r="C105" s="129" t="s">
        <v>352</v>
      </c>
      <c r="D105" s="147">
        <f>1818.75+15641.25</f>
        <v>17460</v>
      </c>
      <c r="E105" s="147"/>
      <c r="F105" s="147">
        <f>143.5+63.2+279.75+143.5</f>
        <v>629.95000000000005</v>
      </c>
      <c r="G105" s="147">
        <v>780</v>
      </c>
      <c r="H105" s="147"/>
      <c r="I105" s="147">
        <v>4166.67</v>
      </c>
      <c r="J105" s="147">
        <f t="shared" si="5"/>
        <v>23036.620000000003</v>
      </c>
    </row>
    <row r="106" spans="1:10" ht="19.95" customHeight="1" x14ac:dyDescent="0.25">
      <c r="A106" s="128" t="s">
        <v>196</v>
      </c>
      <c r="B106" s="203" t="s">
        <v>500</v>
      </c>
      <c r="C106" s="131" t="s">
        <v>87</v>
      </c>
      <c r="D106" s="147">
        <f>2363.56-48.5</f>
        <v>2315.06</v>
      </c>
      <c r="E106" s="147">
        <v>48.5</v>
      </c>
      <c r="F106" s="147">
        <v>27.98</v>
      </c>
      <c r="G106" s="147">
        <v>260</v>
      </c>
      <c r="H106" s="147"/>
      <c r="I106" s="147"/>
      <c r="J106" s="147">
        <f t="shared" si="5"/>
        <v>2651.54</v>
      </c>
    </row>
    <row r="107" spans="1:10" ht="19.95" customHeight="1" x14ac:dyDescent="0.25">
      <c r="A107" s="128" t="s">
        <v>197</v>
      </c>
      <c r="B107" s="203" t="s">
        <v>500</v>
      </c>
      <c r="C107" s="129" t="s">
        <v>103</v>
      </c>
      <c r="D107" s="147">
        <f>2037-97</f>
        <v>1940</v>
      </c>
      <c r="E107" s="147">
        <f>2*48.5</f>
        <v>97</v>
      </c>
      <c r="F107" s="147"/>
      <c r="G107" s="147"/>
      <c r="H107" s="147"/>
      <c r="I107" s="147"/>
      <c r="J107" s="147">
        <f t="shared" si="5"/>
        <v>2037</v>
      </c>
    </row>
    <row r="108" spans="1:10" ht="19.95" customHeight="1" x14ac:dyDescent="0.25">
      <c r="A108" s="130" t="s">
        <v>200</v>
      </c>
      <c r="B108" s="203" t="s">
        <v>500</v>
      </c>
      <c r="C108" s="129" t="s">
        <v>103</v>
      </c>
      <c r="D108" s="147">
        <v>7566</v>
      </c>
      <c r="E108" s="147"/>
      <c r="F108" s="147">
        <f>98.2+98.2</f>
        <v>196.4</v>
      </c>
      <c r="G108" s="147">
        <v>520</v>
      </c>
      <c r="H108" s="147"/>
      <c r="I108" s="147"/>
      <c r="J108" s="147">
        <f t="shared" si="5"/>
        <v>8282.4</v>
      </c>
    </row>
    <row r="109" spans="1:10" ht="19.95" customHeight="1" x14ac:dyDescent="0.25">
      <c r="A109" s="130" t="s">
        <v>201</v>
      </c>
      <c r="B109" s="203" t="s">
        <v>500</v>
      </c>
      <c r="C109" s="131" t="s">
        <v>105</v>
      </c>
      <c r="D109" s="147">
        <v>3265.4</v>
      </c>
      <c r="E109" s="147"/>
      <c r="F109" s="147"/>
      <c r="G109" s="147"/>
      <c r="H109" s="147"/>
      <c r="I109" s="147"/>
      <c r="J109" s="147">
        <f t="shared" si="5"/>
        <v>3265.4</v>
      </c>
    </row>
    <row r="110" spans="1:10" ht="19.95" customHeight="1" x14ac:dyDescent="0.25">
      <c r="A110" s="128" t="s">
        <v>203</v>
      </c>
      <c r="B110" s="203" t="s">
        <v>500</v>
      </c>
      <c r="C110" s="131" t="s">
        <v>95</v>
      </c>
      <c r="D110" s="147">
        <f>1182.19+21184.8</f>
        <v>22366.989999999998</v>
      </c>
      <c r="E110" s="147"/>
      <c r="F110" s="147"/>
      <c r="G110" s="147"/>
      <c r="H110" s="147"/>
      <c r="I110" s="147"/>
      <c r="J110" s="147">
        <f t="shared" si="5"/>
        <v>22366.989999999998</v>
      </c>
    </row>
    <row r="111" spans="1:10" ht="19.95" customHeight="1" x14ac:dyDescent="0.25">
      <c r="A111" s="130" t="s">
        <v>204</v>
      </c>
      <c r="B111" s="203" t="s">
        <v>500</v>
      </c>
      <c r="C111" s="131" t="s">
        <v>95</v>
      </c>
      <c r="D111" s="147">
        <v>2560.8000000000002</v>
      </c>
      <c r="E111" s="147"/>
      <c r="F111" s="147"/>
      <c r="G111" s="147"/>
      <c r="H111" s="147"/>
      <c r="I111" s="147"/>
      <c r="J111" s="147">
        <f t="shared" si="5"/>
        <v>2560.8000000000002</v>
      </c>
    </row>
    <row r="112" spans="1:10" ht="19.95" customHeight="1" x14ac:dyDescent="0.25">
      <c r="A112" s="128" t="s">
        <v>205</v>
      </c>
      <c r="B112" s="203" t="s">
        <v>500</v>
      </c>
      <c r="C112" s="131" t="s">
        <v>95</v>
      </c>
      <c r="D112" s="147">
        <f>10094.06+3802.4</f>
        <v>13896.46</v>
      </c>
      <c r="E112" s="147"/>
      <c r="F112" s="147"/>
      <c r="G112" s="147">
        <v>390</v>
      </c>
      <c r="H112" s="147"/>
      <c r="I112" s="147"/>
      <c r="J112" s="147">
        <f t="shared" si="5"/>
        <v>14286.46</v>
      </c>
    </row>
    <row r="113" spans="1:10" ht="19.95" customHeight="1" x14ac:dyDescent="0.25">
      <c r="A113" s="128" t="s">
        <v>206</v>
      </c>
      <c r="B113" s="203" t="s">
        <v>500</v>
      </c>
      <c r="C113" s="129"/>
      <c r="D113" s="147"/>
      <c r="E113" s="147"/>
      <c r="F113" s="147"/>
      <c r="G113" s="147">
        <v>300.35000000000002</v>
      </c>
      <c r="H113" s="147"/>
      <c r="I113" s="147">
        <v>12500</v>
      </c>
      <c r="J113" s="147">
        <f t="shared" si="5"/>
        <v>12800.35</v>
      </c>
    </row>
    <row r="114" spans="1:10" ht="19.95" customHeight="1" x14ac:dyDescent="0.25">
      <c r="A114" s="128" t="s">
        <v>368</v>
      </c>
      <c r="B114" s="203" t="s">
        <v>500</v>
      </c>
      <c r="C114" s="129" t="s">
        <v>95</v>
      </c>
      <c r="D114" s="147">
        <v>4345.6000000000004</v>
      </c>
      <c r="E114" s="147"/>
      <c r="F114" s="147"/>
      <c r="G114" s="147">
        <v>260</v>
      </c>
      <c r="H114" s="147"/>
      <c r="I114" s="147"/>
      <c r="J114" s="147">
        <f t="shared" si="5"/>
        <v>4605.6000000000004</v>
      </c>
    </row>
    <row r="115" spans="1:10" ht="19.95" customHeight="1" x14ac:dyDescent="0.25">
      <c r="A115" s="130" t="s">
        <v>208</v>
      </c>
      <c r="B115" s="203" t="s">
        <v>500</v>
      </c>
      <c r="C115" s="131" t="s">
        <v>112</v>
      </c>
      <c r="D115" s="147"/>
      <c r="E115" s="147"/>
      <c r="F115" s="147"/>
      <c r="G115" s="147">
        <v>260</v>
      </c>
      <c r="H115" s="147"/>
      <c r="I115" s="147"/>
      <c r="J115" s="147">
        <f t="shared" si="5"/>
        <v>260</v>
      </c>
    </row>
    <row r="116" spans="1:10" ht="19.95" customHeight="1" x14ac:dyDescent="0.25">
      <c r="A116" s="130" t="s">
        <v>209</v>
      </c>
      <c r="B116" s="203" t="s">
        <v>500</v>
      </c>
      <c r="C116" s="131" t="s">
        <v>91</v>
      </c>
      <c r="D116" s="147"/>
      <c r="E116" s="147"/>
      <c r="F116" s="147"/>
      <c r="G116" s="147"/>
      <c r="H116" s="147"/>
      <c r="I116" s="147">
        <v>15000</v>
      </c>
      <c r="J116" s="147">
        <f t="shared" si="5"/>
        <v>15000</v>
      </c>
    </row>
    <row r="117" spans="1:10" ht="19.95" customHeight="1" x14ac:dyDescent="0.25">
      <c r="A117" s="128" t="s">
        <v>369</v>
      </c>
      <c r="B117" s="203" t="s">
        <v>500</v>
      </c>
      <c r="C117" s="129"/>
      <c r="D117" s="147"/>
      <c r="E117" s="147"/>
      <c r="F117" s="147">
        <v>1414.8</v>
      </c>
      <c r="G117" s="147"/>
      <c r="H117" s="147"/>
      <c r="I117" s="147"/>
      <c r="J117" s="148">
        <f>SUM(D117:I117)</f>
        <v>1414.8</v>
      </c>
    </row>
    <row r="118" spans="1:10" ht="19.95" customHeight="1" x14ac:dyDescent="0.25">
      <c r="A118" s="130" t="s">
        <v>214</v>
      </c>
      <c r="B118" s="203" t="s">
        <v>500</v>
      </c>
      <c r="C118" s="131" t="s">
        <v>105</v>
      </c>
      <c r="D118" s="147">
        <v>3265.4</v>
      </c>
      <c r="E118" s="147"/>
      <c r="F118" s="147">
        <f>4282.98+111.9+479.13</f>
        <v>4874.0099999999993</v>
      </c>
      <c r="G118" s="147"/>
      <c r="H118" s="147"/>
      <c r="I118" s="147"/>
      <c r="J118" s="147">
        <f t="shared" si="5"/>
        <v>8139.41</v>
      </c>
    </row>
    <row r="119" spans="1:10" ht="19.95" customHeight="1" x14ac:dyDescent="0.25">
      <c r="A119" s="130" t="s">
        <v>216</v>
      </c>
      <c r="B119" s="203" t="s">
        <v>500</v>
      </c>
      <c r="C119" s="131" t="s">
        <v>93</v>
      </c>
      <c r="D119" s="147">
        <v>3880</v>
      </c>
      <c r="E119" s="147"/>
      <c r="F119" s="147">
        <v>5713.3</v>
      </c>
      <c r="G119" s="147"/>
      <c r="H119" s="147"/>
      <c r="I119" s="147"/>
      <c r="J119" s="147">
        <f t="shared" si="5"/>
        <v>9593.2999999999993</v>
      </c>
    </row>
    <row r="120" spans="1:10" ht="19.95" customHeight="1" x14ac:dyDescent="0.25">
      <c r="A120" s="128" t="s">
        <v>217</v>
      </c>
      <c r="B120" s="203" t="s">
        <v>500</v>
      </c>
      <c r="C120" s="131" t="s">
        <v>105</v>
      </c>
      <c r="D120" s="147">
        <v>1765.4</v>
      </c>
      <c r="E120" s="147"/>
      <c r="F120" s="147">
        <f>876.49-431.14</f>
        <v>445.35</v>
      </c>
      <c r="G120" s="147"/>
      <c r="H120" s="147"/>
      <c r="I120" s="147"/>
      <c r="J120" s="147">
        <f t="shared" si="5"/>
        <v>2210.75</v>
      </c>
    </row>
    <row r="121" spans="1:10" ht="19.95" customHeight="1" x14ac:dyDescent="0.25">
      <c r="A121" s="128" t="s">
        <v>220</v>
      </c>
      <c r="B121" s="203" t="s">
        <v>500</v>
      </c>
      <c r="C121" s="129" t="s">
        <v>93</v>
      </c>
      <c r="D121" s="147"/>
      <c r="E121" s="147"/>
      <c r="F121" s="147"/>
      <c r="G121" s="147"/>
      <c r="H121" s="147"/>
      <c r="I121" s="147"/>
      <c r="J121" s="147">
        <f t="shared" si="5"/>
        <v>0</v>
      </c>
    </row>
    <row r="122" spans="1:10" ht="19.95" customHeight="1" x14ac:dyDescent="0.25">
      <c r="A122" s="128" t="s">
        <v>221</v>
      </c>
      <c r="B122" s="203" t="s">
        <v>500</v>
      </c>
      <c r="C122" s="131" t="s">
        <v>95</v>
      </c>
      <c r="D122" s="147">
        <v>7915.2</v>
      </c>
      <c r="E122" s="147"/>
      <c r="F122" s="147"/>
      <c r="G122" s="147">
        <v>520</v>
      </c>
      <c r="H122" s="147"/>
      <c r="I122" s="147"/>
      <c r="J122" s="147">
        <f t="shared" si="5"/>
        <v>8435.2000000000007</v>
      </c>
    </row>
    <row r="123" spans="1:10" ht="19.95" customHeight="1" x14ac:dyDescent="0.25">
      <c r="A123" s="128" t="s">
        <v>370</v>
      </c>
      <c r="B123" s="203" t="s">
        <v>500</v>
      </c>
      <c r="C123" s="129"/>
      <c r="D123" s="147"/>
      <c r="E123" s="147"/>
      <c r="F123" s="147">
        <v>1395.16</v>
      </c>
      <c r="G123" s="147"/>
      <c r="H123" s="147"/>
      <c r="I123" s="147"/>
      <c r="J123" s="148">
        <f>SUM(D123:I123)</f>
        <v>1395.16</v>
      </c>
    </row>
    <row r="124" spans="1:10" ht="19.95" customHeight="1" x14ac:dyDescent="0.25">
      <c r="A124" s="128" t="s">
        <v>222</v>
      </c>
      <c r="B124" s="203" t="s">
        <v>500</v>
      </c>
      <c r="C124" s="129"/>
      <c r="D124" s="147"/>
      <c r="E124" s="147"/>
      <c r="F124" s="147">
        <f>111.9+3021.55</f>
        <v>3133.4500000000003</v>
      </c>
      <c r="G124" s="147"/>
      <c r="H124" s="147"/>
      <c r="I124" s="147"/>
      <c r="J124" s="148">
        <f>SUM(D124:I124)</f>
        <v>3133.4500000000003</v>
      </c>
    </row>
    <row r="125" spans="1:10" ht="19.95" customHeight="1" x14ac:dyDescent="0.25">
      <c r="A125" s="128" t="s">
        <v>223</v>
      </c>
      <c r="B125" s="203" t="s">
        <v>500</v>
      </c>
      <c r="C125" s="131" t="s">
        <v>87</v>
      </c>
      <c r="D125" s="147">
        <v>1940</v>
      </c>
      <c r="E125" s="147"/>
      <c r="F125" s="147">
        <f>189.13+221.86</f>
        <v>410.99</v>
      </c>
      <c r="G125" s="147"/>
      <c r="H125" s="147"/>
      <c r="I125" s="147"/>
      <c r="J125" s="147">
        <f t="shared" si="5"/>
        <v>2350.9899999999998</v>
      </c>
    </row>
    <row r="126" spans="1:10" ht="19.95" customHeight="1" x14ac:dyDescent="0.25">
      <c r="A126" s="130" t="s">
        <v>224</v>
      </c>
      <c r="B126" s="203" t="s">
        <v>500</v>
      </c>
      <c r="C126" s="127"/>
      <c r="D126" s="147"/>
      <c r="E126" s="147"/>
      <c r="F126" s="147"/>
      <c r="G126" s="147"/>
      <c r="H126" s="147"/>
      <c r="I126" s="147"/>
      <c r="J126" s="147">
        <f t="shared" si="5"/>
        <v>0</v>
      </c>
    </row>
    <row r="127" spans="1:10" ht="19.95" customHeight="1" x14ac:dyDescent="0.25">
      <c r="A127" s="128" t="s">
        <v>371</v>
      </c>
      <c r="B127" s="203" t="s">
        <v>500</v>
      </c>
      <c r="C127" s="129"/>
      <c r="D127" s="147"/>
      <c r="E127" s="147"/>
      <c r="F127" s="147">
        <f>1368.23+5806.09</f>
        <v>7174.32</v>
      </c>
      <c r="G127" s="147"/>
      <c r="H127" s="147"/>
      <c r="I127" s="147"/>
      <c r="J127" s="148">
        <f>SUM(D127:I127)</f>
        <v>7174.32</v>
      </c>
    </row>
    <row r="128" spans="1:10" ht="19.95" customHeight="1" x14ac:dyDescent="0.25">
      <c r="A128" s="128" t="s">
        <v>225</v>
      </c>
      <c r="B128" s="203" t="s">
        <v>500</v>
      </c>
      <c r="C128" s="129" t="s">
        <v>103</v>
      </c>
      <c r="D128" s="147">
        <v>8322.59</v>
      </c>
      <c r="E128" s="147"/>
      <c r="F128" s="147">
        <f>3946.42+160.03+3968.83</f>
        <v>8075.28</v>
      </c>
      <c r="G128" s="147"/>
      <c r="H128" s="147"/>
      <c r="I128" s="147"/>
      <c r="J128" s="147">
        <f t="shared" si="5"/>
        <v>16397.87</v>
      </c>
    </row>
    <row r="129" spans="1:10" ht="19.95" customHeight="1" x14ac:dyDescent="0.25">
      <c r="A129" s="134" t="s">
        <v>226</v>
      </c>
      <c r="B129" s="203" t="s">
        <v>500</v>
      </c>
      <c r="C129" s="131"/>
      <c r="D129" s="147"/>
      <c r="E129" s="147"/>
      <c r="F129" s="147"/>
      <c r="G129" s="147"/>
      <c r="H129" s="147"/>
      <c r="I129" s="147">
        <v>12500</v>
      </c>
      <c r="J129" s="147">
        <f t="shared" si="5"/>
        <v>12500</v>
      </c>
    </row>
    <row r="130" spans="1:10" ht="19.95" customHeight="1" x14ac:dyDescent="0.25">
      <c r="A130" s="130" t="s">
        <v>227</v>
      </c>
      <c r="B130" s="203" t="s">
        <v>500</v>
      </c>
      <c r="C130" s="129" t="s">
        <v>352</v>
      </c>
      <c r="D130" s="147">
        <f>3637.5+14913.75</f>
        <v>18551.25</v>
      </c>
      <c r="E130" s="147"/>
      <c r="F130" s="147"/>
      <c r="G130" s="148">
        <v>338</v>
      </c>
      <c r="H130" s="147"/>
      <c r="I130" s="147"/>
      <c r="J130" s="147">
        <f t="shared" si="5"/>
        <v>18889.25</v>
      </c>
    </row>
    <row r="131" spans="1:10" ht="19.95" customHeight="1" x14ac:dyDescent="0.25">
      <c r="A131" s="128" t="s">
        <v>229</v>
      </c>
      <c r="B131" s="203" t="s">
        <v>500</v>
      </c>
      <c r="C131" s="131" t="s">
        <v>112</v>
      </c>
      <c r="D131" s="147">
        <v>3637.5</v>
      </c>
      <c r="E131" s="147"/>
      <c r="F131" s="147"/>
      <c r="G131" s="147">
        <v>260</v>
      </c>
      <c r="H131" s="147"/>
      <c r="I131" s="147"/>
      <c r="J131" s="147">
        <f t="shared" si="5"/>
        <v>3897.5</v>
      </c>
    </row>
    <row r="132" spans="1:10" ht="19.95" customHeight="1" x14ac:dyDescent="0.25">
      <c r="A132" s="130" t="s">
        <v>231</v>
      </c>
      <c r="B132" s="203" t="s">
        <v>500</v>
      </c>
      <c r="C132" s="131" t="s">
        <v>91</v>
      </c>
      <c r="D132" s="147">
        <v>9093.75</v>
      </c>
      <c r="E132" s="147"/>
      <c r="F132" s="147">
        <f>223.8+339.5</f>
        <v>563.29999999999995</v>
      </c>
      <c r="G132" s="147"/>
      <c r="H132" s="147"/>
      <c r="I132" s="147"/>
      <c r="J132" s="147">
        <f t="shared" si="5"/>
        <v>9657.0499999999993</v>
      </c>
    </row>
    <row r="133" spans="1:10" ht="19.95" customHeight="1" x14ac:dyDescent="0.25">
      <c r="A133" s="130" t="s">
        <v>232</v>
      </c>
      <c r="B133" s="203" t="s">
        <v>500</v>
      </c>
      <c r="C133" s="131" t="s">
        <v>112</v>
      </c>
      <c r="D133" s="148">
        <f>2934.25-509.25</f>
        <v>2425</v>
      </c>
      <c r="E133" s="147">
        <f>10.5*48.5</f>
        <v>509.25</v>
      </c>
      <c r="F133" s="147"/>
      <c r="G133" s="148">
        <v>4110</v>
      </c>
      <c r="H133" s="147"/>
      <c r="I133" s="147">
        <v>15000</v>
      </c>
      <c r="J133" s="147">
        <f t="shared" si="5"/>
        <v>22044.25</v>
      </c>
    </row>
    <row r="134" spans="1:10" ht="19.95" customHeight="1" x14ac:dyDescent="0.25">
      <c r="A134" s="128" t="s">
        <v>233</v>
      </c>
      <c r="B134" s="203" t="s">
        <v>500</v>
      </c>
      <c r="C134" s="131" t="s">
        <v>112</v>
      </c>
      <c r="D134" s="147">
        <v>9457.5</v>
      </c>
      <c r="E134" s="147"/>
      <c r="F134" s="147"/>
      <c r="G134" s="147"/>
      <c r="H134" s="147"/>
      <c r="I134" s="147"/>
      <c r="J134" s="147">
        <f t="shared" si="5"/>
        <v>9457.5</v>
      </c>
    </row>
    <row r="135" spans="1:10" ht="19.95" customHeight="1" x14ac:dyDescent="0.25">
      <c r="A135" s="130" t="s">
        <v>234</v>
      </c>
      <c r="B135" s="203" t="s">
        <v>500</v>
      </c>
      <c r="C135" s="131" t="s">
        <v>103</v>
      </c>
      <c r="D135" s="147"/>
      <c r="E135" s="147"/>
      <c r="F135" s="147"/>
      <c r="G135" s="148"/>
      <c r="H135" s="147"/>
      <c r="I135" s="147"/>
      <c r="J135" s="147">
        <f t="shared" si="5"/>
        <v>0</v>
      </c>
    </row>
    <row r="136" spans="1:10" ht="19.95" customHeight="1" x14ac:dyDescent="0.25">
      <c r="A136" s="128" t="s">
        <v>235</v>
      </c>
      <c r="B136" s="203" t="s">
        <v>500</v>
      </c>
      <c r="C136" s="131" t="s">
        <v>95</v>
      </c>
      <c r="D136" s="147">
        <v>19632.8</v>
      </c>
      <c r="E136" s="147"/>
      <c r="F136" s="147"/>
      <c r="G136" s="147">
        <v>780</v>
      </c>
      <c r="H136" s="147"/>
      <c r="I136" s="147"/>
      <c r="J136" s="147">
        <f t="shared" si="5"/>
        <v>20412.8</v>
      </c>
    </row>
    <row r="137" spans="1:10" ht="19.95" customHeight="1" x14ac:dyDescent="0.25">
      <c r="A137" s="128" t="s">
        <v>237</v>
      </c>
      <c r="B137" s="203" t="s">
        <v>500</v>
      </c>
      <c r="C137" s="129" t="s">
        <v>95</v>
      </c>
      <c r="D137" s="147"/>
      <c r="E137" s="147"/>
      <c r="F137" s="147"/>
      <c r="G137" s="147"/>
      <c r="H137" s="147"/>
      <c r="I137" s="147"/>
      <c r="J137" s="147">
        <f t="shared" si="5"/>
        <v>0</v>
      </c>
    </row>
    <row r="138" spans="1:10" ht="19.95" customHeight="1" x14ac:dyDescent="0.25">
      <c r="A138" s="128" t="s">
        <v>238</v>
      </c>
      <c r="B138" s="203" t="s">
        <v>500</v>
      </c>
      <c r="C138" s="131" t="s">
        <v>95</v>
      </c>
      <c r="D138" s="147">
        <v>26805.95</v>
      </c>
      <c r="E138" s="147"/>
      <c r="F138" s="147"/>
      <c r="G138" s="147">
        <v>910</v>
      </c>
      <c r="H138" s="147"/>
      <c r="I138" s="147"/>
      <c r="J138" s="147">
        <f t="shared" si="5"/>
        <v>27715.95</v>
      </c>
    </row>
    <row r="139" spans="1:10" ht="19.95" customHeight="1" x14ac:dyDescent="0.25">
      <c r="A139" s="130" t="s">
        <v>239</v>
      </c>
      <c r="B139" s="203" t="s">
        <v>500</v>
      </c>
      <c r="C139" s="131" t="s">
        <v>87</v>
      </c>
      <c r="D139" s="147">
        <v>3492</v>
      </c>
      <c r="E139" s="147"/>
      <c r="F139" s="147">
        <v>1860.46</v>
      </c>
      <c r="G139" s="147"/>
      <c r="H139" s="147"/>
      <c r="I139" s="147"/>
      <c r="J139" s="147">
        <f t="shared" si="5"/>
        <v>5352.46</v>
      </c>
    </row>
    <row r="140" spans="1:10" ht="19.95" customHeight="1" x14ac:dyDescent="0.25">
      <c r="A140" s="128" t="s">
        <v>372</v>
      </c>
      <c r="B140" s="203" t="s">
        <v>500</v>
      </c>
      <c r="C140" s="129"/>
      <c r="D140" s="147"/>
      <c r="E140" s="147"/>
      <c r="F140" s="147">
        <v>151.08000000000001</v>
      </c>
      <c r="G140" s="147"/>
      <c r="H140" s="147"/>
      <c r="I140" s="147"/>
      <c r="J140" s="148">
        <f t="shared" si="5"/>
        <v>151.08000000000001</v>
      </c>
    </row>
    <row r="141" spans="1:10" ht="19.95" customHeight="1" x14ac:dyDescent="0.25">
      <c r="A141" s="128" t="s">
        <v>240</v>
      </c>
      <c r="B141" s="203" t="s">
        <v>500</v>
      </c>
      <c r="C141" s="129"/>
      <c r="D141" s="147"/>
      <c r="E141" s="147"/>
      <c r="F141" s="147">
        <v>339.5</v>
      </c>
      <c r="G141" s="147"/>
      <c r="H141" s="147"/>
      <c r="I141" s="147"/>
      <c r="J141" s="148">
        <f t="shared" si="5"/>
        <v>339.5</v>
      </c>
    </row>
    <row r="142" spans="1:10" ht="19.95" customHeight="1" x14ac:dyDescent="0.25">
      <c r="A142" s="128" t="s">
        <v>241</v>
      </c>
      <c r="B142" s="203" t="s">
        <v>500</v>
      </c>
      <c r="C142" s="131" t="s">
        <v>95</v>
      </c>
      <c r="D142" s="147">
        <v>16550.63</v>
      </c>
      <c r="E142" s="147"/>
      <c r="F142" s="147">
        <v>829.61</v>
      </c>
      <c r="G142" s="147">
        <v>3161.36</v>
      </c>
      <c r="H142" s="147"/>
      <c r="I142" s="147">
        <v>12500</v>
      </c>
      <c r="J142" s="147">
        <f>SUM(D142:I142)</f>
        <v>33041.600000000006</v>
      </c>
    </row>
    <row r="143" spans="1:10" ht="19.95" customHeight="1" x14ac:dyDescent="0.25">
      <c r="A143" s="128" t="s">
        <v>243</v>
      </c>
      <c r="B143" s="203" t="s">
        <v>500</v>
      </c>
      <c r="C143" s="129"/>
      <c r="D143" s="147"/>
      <c r="E143" s="147"/>
      <c r="F143" s="147">
        <v>628.97</v>
      </c>
      <c r="G143" s="147"/>
      <c r="H143" s="147"/>
      <c r="I143" s="147"/>
      <c r="J143" s="148">
        <f t="shared" si="5"/>
        <v>628.97</v>
      </c>
    </row>
    <row r="144" spans="1:10" ht="19.95" customHeight="1" x14ac:dyDescent="0.25">
      <c r="A144" s="132" t="s">
        <v>85</v>
      </c>
      <c r="B144" s="204"/>
      <c r="C144" s="133"/>
      <c r="D144" s="146">
        <f t="shared" ref="D144:J144" si="6">SUM(D61:D143)</f>
        <v>432108.27000000008</v>
      </c>
      <c r="E144" s="146">
        <f t="shared" si="6"/>
        <v>4486.25</v>
      </c>
      <c r="F144" s="146">
        <f t="shared" si="6"/>
        <v>73393.480000000025</v>
      </c>
      <c r="G144" s="146">
        <f t="shared" si="6"/>
        <v>20830.830000000002</v>
      </c>
      <c r="H144" s="146">
        <f t="shared" si="6"/>
        <v>0</v>
      </c>
      <c r="I144" s="146">
        <f t="shared" si="6"/>
        <v>115833.34</v>
      </c>
      <c r="J144" s="146">
        <f t="shared" si="6"/>
        <v>646652.16999999981</v>
      </c>
    </row>
    <row r="145" spans="1:10" ht="19.95" customHeight="1" x14ac:dyDescent="0.25">
      <c r="A145" s="126" t="s">
        <v>389</v>
      </c>
      <c r="B145" s="203" t="s">
        <v>501</v>
      </c>
      <c r="C145" s="135" t="s">
        <v>110</v>
      </c>
      <c r="D145" s="149"/>
      <c r="E145" s="149"/>
      <c r="F145" s="149">
        <v>30175.54</v>
      </c>
      <c r="G145" s="149">
        <v>2000</v>
      </c>
      <c r="H145" s="149"/>
      <c r="I145" s="149"/>
      <c r="J145" s="149">
        <f>D145+E145+F145+G145+H145+I145</f>
        <v>32175.54</v>
      </c>
    </row>
    <row r="146" spans="1:10" ht="19.95" customHeight="1" x14ac:dyDescent="0.25">
      <c r="A146" s="136" t="s">
        <v>390</v>
      </c>
      <c r="B146" s="203" t="s">
        <v>501</v>
      </c>
      <c r="C146" s="135"/>
      <c r="D146" s="149"/>
      <c r="E146" s="149"/>
      <c r="F146" s="149">
        <v>1986.1399999999999</v>
      </c>
      <c r="G146" s="149"/>
      <c r="H146" s="149"/>
      <c r="I146" s="149">
        <v>12000</v>
      </c>
      <c r="J146" s="149">
        <f t="shared" ref="J146:J209" si="7">D146+E146+F146+G146+H146+I146</f>
        <v>13986.14</v>
      </c>
    </row>
    <row r="147" spans="1:10" ht="19.95" customHeight="1" x14ac:dyDescent="0.25">
      <c r="A147" s="136" t="s">
        <v>391</v>
      </c>
      <c r="B147" s="203" t="s">
        <v>501</v>
      </c>
      <c r="C147" s="137" t="s">
        <v>250</v>
      </c>
      <c r="D147" s="149">
        <v>3765.4</v>
      </c>
      <c r="E147" s="149"/>
      <c r="F147" s="149">
        <v>4369.54</v>
      </c>
      <c r="G147" s="149"/>
      <c r="H147" s="149"/>
      <c r="I147" s="149"/>
      <c r="J147" s="149">
        <f t="shared" si="7"/>
        <v>8134.9400000000005</v>
      </c>
    </row>
    <row r="148" spans="1:10" ht="19.95" customHeight="1" x14ac:dyDescent="0.25">
      <c r="A148" s="136" t="s">
        <v>392</v>
      </c>
      <c r="B148" s="203" t="s">
        <v>501</v>
      </c>
      <c r="C148" s="135"/>
      <c r="D148" s="149"/>
      <c r="E148" s="149"/>
      <c r="F148" s="149">
        <v>15654.58</v>
      </c>
      <c r="G148" s="149">
        <v>261</v>
      </c>
      <c r="H148" s="149"/>
      <c r="I148" s="149"/>
      <c r="J148" s="149">
        <f t="shared" si="7"/>
        <v>15915.58</v>
      </c>
    </row>
    <row r="149" spans="1:10" ht="19.95" customHeight="1" x14ac:dyDescent="0.25">
      <c r="A149" s="136" t="s">
        <v>393</v>
      </c>
      <c r="B149" s="203" t="s">
        <v>501</v>
      </c>
      <c r="C149" s="137" t="s">
        <v>250</v>
      </c>
      <c r="D149" s="149">
        <v>2882.7</v>
      </c>
      <c r="E149" s="149"/>
      <c r="F149" s="149">
        <v>3628.94</v>
      </c>
      <c r="G149" s="149"/>
      <c r="H149" s="149"/>
      <c r="I149" s="149"/>
      <c r="J149" s="149">
        <f t="shared" si="7"/>
        <v>6511.6399999999994</v>
      </c>
    </row>
    <row r="150" spans="1:10" ht="19.95" customHeight="1" x14ac:dyDescent="0.25">
      <c r="A150" s="136" t="s">
        <v>394</v>
      </c>
      <c r="B150" s="203" t="s">
        <v>501</v>
      </c>
      <c r="C150" s="135"/>
      <c r="D150" s="149"/>
      <c r="E150" s="149"/>
      <c r="F150" s="149">
        <v>6838.41</v>
      </c>
      <c r="G150" s="149">
        <v>130.5</v>
      </c>
      <c r="H150" s="149"/>
      <c r="I150" s="149"/>
      <c r="J150" s="149">
        <f t="shared" si="7"/>
        <v>6968.91</v>
      </c>
    </row>
    <row r="151" spans="1:10" ht="19.95" customHeight="1" x14ac:dyDescent="0.25">
      <c r="A151" s="138" t="s">
        <v>395</v>
      </c>
      <c r="B151" s="203" t="s">
        <v>501</v>
      </c>
      <c r="C151" s="135" t="s">
        <v>93</v>
      </c>
      <c r="D151" s="149">
        <v>5044</v>
      </c>
      <c r="E151" s="149"/>
      <c r="F151" s="149">
        <v>165.34</v>
      </c>
      <c r="G151" s="149"/>
      <c r="H151" s="149"/>
      <c r="I151" s="149"/>
      <c r="J151" s="149">
        <f t="shared" si="7"/>
        <v>5209.34</v>
      </c>
    </row>
    <row r="152" spans="1:10" ht="19.95" customHeight="1" x14ac:dyDescent="0.25">
      <c r="A152" s="138" t="s">
        <v>268</v>
      </c>
      <c r="B152" s="203" t="s">
        <v>501</v>
      </c>
      <c r="C152" s="135" t="s">
        <v>352</v>
      </c>
      <c r="D152" s="149">
        <v>7093.14</v>
      </c>
      <c r="E152" s="149"/>
      <c r="F152" s="149">
        <v>45.18</v>
      </c>
      <c r="G152" s="149">
        <v>260</v>
      </c>
      <c r="H152" s="149"/>
      <c r="I152" s="149"/>
      <c r="J152" s="149">
        <f t="shared" si="7"/>
        <v>7398.3200000000006</v>
      </c>
    </row>
    <row r="153" spans="1:10" ht="19.95" customHeight="1" x14ac:dyDescent="0.25">
      <c r="A153" s="138" t="s">
        <v>269</v>
      </c>
      <c r="B153" s="203" t="s">
        <v>501</v>
      </c>
      <c r="C153" s="135" t="s">
        <v>112</v>
      </c>
      <c r="D153" s="149">
        <v>7881.25</v>
      </c>
      <c r="E153" s="149"/>
      <c r="F153" s="149">
        <v>0</v>
      </c>
      <c r="G153" s="149">
        <v>130</v>
      </c>
      <c r="H153" s="149"/>
      <c r="I153" s="149"/>
      <c r="J153" s="149">
        <f t="shared" si="7"/>
        <v>8011.25</v>
      </c>
    </row>
    <row r="154" spans="1:10" ht="19.95" customHeight="1" x14ac:dyDescent="0.25">
      <c r="A154" s="138" t="s">
        <v>267</v>
      </c>
      <c r="B154" s="203" t="s">
        <v>501</v>
      </c>
      <c r="C154" s="135" t="s">
        <v>91</v>
      </c>
      <c r="D154" s="149">
        <v>10912.54</v>
      </c>
      <c r="E154" s="149"/>
      <c r="F154" s="149">
        <v>775.17</v>
      </c>
      <c r="G154" s="149"/>
      <c r="H154" s="149"/>
      <c r="I154" s="149"/>
      <c r="J154" s="149">
        <f t="shared" si="7"/>
        <v>11687.710000000001</v>
      </c>
    </row>
    <row r="155" spans="1:10" ht="19.95" customHeight="1" x14ac:dyDescent="0.25">
      <c r="A155" s="138" t="s">
        <v>396</v>
      </c>
      <c r="B155" s="203" t="s">
        <v>501</v>
      </c>
      <c r="C155" s="135"/>
      <c r="D155" s="149"/>
      <c r="E155" s="149"/>
      <c r="F155" s="149">
        <v>3077.55</v>
      </c>
      <c r="G155" s="149"/>
      <c r="H155" s="149"/>
      <c r="I155" s="149"/>
      <c r="J155" s="149">
        <f t="shared" si="7"/>
        <v>3077.55</v>
      </c>
    </row>
    <row r="156" spans="1:10" ht="19.95" customHeight="1" x14ac:dyDescent="0.25">
      <c r="A156" s="138" t="s">
        <v>397</v>
      </c>
      <c r="B156" s="203" t="s">
        <v>501</v>
      </c>
      <c r="C156" s="137" t="s">
        <v>93</v>
      </c>
      <c r="D156" s="149"/>
      <c r="E156" s="149"/>
      <c r="F156" s="149">
        <v>375.12</v>
      </c>
      <c r="G156" s="149"/>
      <c r="H156" s="149"/>
      <c r="I156" s="149"/>
      <c r="J156" s="149">
        <f t="shared" si="7"/>
        <v>375.12</v>
      </c>
    </row>
    <row r="157" spans="1:10" ht="19.95" customHeight="1" x14ac:dyDescent="0.25">
      <c r="A157" s="138" t="s">
        <v>398</v>
      </c>
      <c r="B157" s="203" t="s">
        <v>501</v>
      </c>
      <c r="C157" s="137" t="s">
        <v>95</v>
      </c>
      <c r="D157" s="149">
        <v>3026.3999999999996</v>
      </c>
      <c r="E157" s="149"/>
      <c r="F157" s="149">
        <v>0</v>
      </c>
      <c r="G157" s="149"/>
      <c r="H157" s="149"/>
      <c r="I157" s="149"/>
      <c r="J157" s="149">
        <f t="shared" si="7"/>
        <v>3026.3999999999996</v>
      </c>
    </row>
    <row r="158" spans="1:10" ht="19.95" customHeight="1" x14ac:dyDescent="0.25">
      <c r="A158" s="138" t="s">
        <v>271</v>
      </c>
      <c r="B158" s="203" t="s">
        <v>501</v>
      </c>
      <c r="C158" s="137"/>
      <c r="D158" s="149"/>
      <c r="E158" s="149"/>
      <c r="F158" s="149">
        <v>81.540000000000006</v>
      </c>
      <c r="G158" s="149"/>
      <c r="H158" s="149"/>
      <c r="I158" s="149"/>
      <c r="J158" s="149">
        <f t="shared" si="7"/>
        <v>81.540000000000006</v>
      </c>
    </row>
    <row r="159" spans="1:10" ht="19.95" customHeight="1" x14ac:dyDescent="0.25">
      <c r="A159" s="138" t="s">
        <v>272</v>
      </c>
      <c r="B159" s="203" t="s">
        <v>501</v>
      </c>
      <c r="C159" s="135" t="s">
        <v>112</v>
      </c>
      <c r="D159" s="149">
        <v>5516.88</v>
      </c>
      <c r="E159" s="149"/>
      <c r="F159" s="149">
        <v>10.19</v>
      </c>
      <c r="G159" s="149"/>
      <c r="H159" s="149"/>
      <c r="I159" s="149"/>
      <c r="J159" s="149">
        <f t="shared" si="7"/>
        <v>5527.07</v>
      </c>
    </row>
    <row r="160" spans="1:10" ht="19.95" customHeight="1" x14ac:dyDescent="0.25">
      <c r="A160" s="138" t="s">
        <v>399</v>
      </c>
      <c r="B160" s="203" t="s">
        <v>501</v>
      </c>
      <c r="C160" s="137" t="s">
        <v>95</v>
      </c>
      <c r="D160" s="149">
        <v>3104</v>
      </c>
      <c r="E160" s="149"/>
      <c r="F160" s="149">
        <v>0</v>
      </c>
      <c r="G160" s="149">
        <v>130</v>
      </c>
      <c r="H160" s="149"/>
      <c r="I160" s="149"/>
      <c r="J160" s="149">
        <f t="shared" si="7"/>
        <v>3234</v>
      </c>
    </row>
    <row r="161" spans="1:10" ht="19.95" customHeight="1" x14ac:dyDescent="0.25">
      <c r="A161" s="138" t="s">
        <v>400</v>
      </c>
      <c r="B161" s="203" t="s">
        <v>501</v>
      </c>
      <c r="C161" s="137" t="s">
        <v>93</v>
      </c>
      <c r="D161" s="149">
        <v>1261</v>
      </c>
      <c r="E161" s="149"/>
      <c r="F161" s="149">
        <v>0</v>
      </c>
      <c r="G161" s="149"/>
      <c r="H161" s="149"/>
      <c r="I161" s="149"/>
      <c r="J161" s="149">
        <f t="shared" si="7"/>
        <v>1261</v>
      </c>
    </row>
    <row r="162" spans="1:10" ht="19.95" customHeight="1" x14ac:dyDescent="0.25">
      <c r="A162" s="138" t="s">
        <v>274</v>
      </c>
      <c r="B162" s="203" t="s">
        <v>501</v>
      </c>
      <c r="C162" s="137"/>
      <c r="D162" s="149"/>
      <c r="E162" s="149"/>
      <c r="F162" s="149">
        <v>1652.11</v>
      </c>
      <c r="G162" s="149"/>
      <c r="H162" s="149"/>
      <c r="I162" s="149"/>
      <c r="J162" s="149">
        <f t="shared" si="7"/>
        <v>1652.11</v>
      </c>
    </row>
    <row r="163" spans="1:10" ht="19.95" customHeight="1" x14ac:dyDescent="0.25">
      <c r="A163" s="138" t="s">
        <v>275</v>
      </c>
      <c r="B163" s="203" t="s">
        <v>501</v>
      </c>
      <c r="C163" s="137" t="s">
        <v>112</v>
      </c>
      <c r="D163" s="149">
        <v>8669.4000000000015</v>
      </c>
      <c r="E163" s="149"/>
      <c r="F163" s="149">
        <v>0</v>
      </c>
      <c r="G163" s="149">
        <v>200</v>
      </c>
      <c r="H163" s="149"/>
      <c r="I163" s="149"/>
      <c r="J163" s="149">
        <f t="shared" si="7"/>
        <v>8869.4000000000015</v>
      </c>
    </row>
    <row r="164" spans="1:10" ht="19.95" customHeight="1" x14ac:dyDescent="0.25">
      <c r="A164" s="138" t="s">
        <v>276</v>
      </c>
      <c r="B164" s="203" t="s">
        <v>501</v>
      </c>
      <c r="C164" s="135" t="s">
        <v>103</v>
      </c>
      <c r="D164" s="149">
        <v>11801.65</v>
      </c>
      <c r="E164" s="149"/>
      <c r="F164" s="149">
        <v>5641.2199999999993</v>
      </c>
      <c r="G164" s="149"/>
      <c r="H164" s="149"/>
      <c r="I164" s="149"/>
      <c r="J164" s="149">
        <f t="shared" si="7"/>
        <v>17442.87</v>
      </c>
    </row>
    <row r="165" spans="1:10" ht="19.95" customHeight="1" x14ac:dyDescent="0.25">
      <c r="A165" s="138" t="s">
        <v>277</v>
      </c>
      <c r="B165" s="203" t="s">
        <v>501</v>
      </c>
      <c r="C165" s="137"/>
      <c r="D165" s="149"/>
      <c r="E165" s="149"/>
      <c r="F165" s="149">
        <v>1793.8799999999999</v>
      </c>
      <c r="G165" s="149">
        <v>200</v>
      </c>
      <c r="H165" s="149"/>
      <c r="I165" s="149"/>
      <c r="J165" s="149">
        <f t="shared" si="7"/>
        <v>1993.8799999999999</v>
      </c>
    </row>
    <row r="166" spans="1:10" ht="19.95" customHeight="1" x14ac:dyDescent="0.25">
      <c r="A166" s="138" t="s">
        <v>401</v>
      </c>
      <c r="B166" s="203" t="s">
        <v>501</v>
      </c>
      <c r="C166" s="137" t="s">
        <v>103</v>
      </c>
      <c r="D166" s="149"/>
      <c r="E166" s="149"/>
      <c r="F166" s="149">
        <v>995.26</v>
      </c>
      <c r="G166" s="149"/>
      <c r="H166" s="149"/>
      <c r="I166" s="149"/>
      <c r="J166" s="149">
        <f t="shared" si="7"/>
        <v>995.26</v>
      </c>
    </row>
    <row r="167" spans="1:10" ht="19.95" customHeight="1" x14ac:dyDescent="0.3">
      <c r="A167" s="139" t="s">
        <v>278</v>
      </c>
      <c r="B167" s="203" t="s">
        <v>501</v>
      </c>
      <c r="C167" s="140" t="s">
        <v>91</v>
      </c>
      <c r="D167" s="150">
        <v>14550.07</v>
      </c>
      <c r="E167" s="149"/>
      <c r="F167" s="149">
        <v>1303.44</v>
      </c>
      <c r="G167" s="150"/>
      <c r="H167" s="149"/>
      <c r="I167" s="149"/>
      <c r="J167" s="149">
        <f t="shared" si="7"/>
        <v>15853.51</v>
      </c>
    </row>
    <row r="168" spans="1:10" ht="19.95" customHeight="1" x14ac:dyDescent="0.3">
      <c r="A168" s="139" t="s">
        <v>402</v>
      </c>
      <c r="B168" s="203" t="s">
        <v>501</v>
      </c>
      <c r="C168" s="140" t="s">
        <v>112</v>
      </c>
      <c r="D168" s="150">
        <v>5516.88</v>
      </c>
      <c r="E168" s="149"/>
      <c r="F168" s="149">
        <v>0</v>
      </c>
      <c r="G168" s="150"/>
      <c r="H168" s="149"/>
      <c r="I168" s="149"/>
      <c r="J168" s="149">
        <f t="shared" si="7"/>
        <v>5516.88</v>
      </c>
    </row>
    <row r="169" spans="1:10" ht="19.95" customHeight="1" x14ac:dyDescent="0.3">
      <c r="A169" s="139" t="s">
        <v>280</v>
      </c>
      <c r="B169" s="203" t="s">
        <v>501</v>
      </c>
      <c r="C169" s="140" t="s">
        <v>93</v>
      </c>
      <c r="D169" s="150">
        <v>2231</v>
      </c>
      <c r="E169" s="149"/>
      <c r="F169" s="149">
        <v>818.93000000000006</v>
      </c>
      <c r="G169" s="150"/>
      <c r="H169" s="149"/>
      <c r="I169" s="149"/>
      <c r="J169" s="149">
        <f t="shared" si="7"/>
        <v>3049.9300000000003</v>
      </c>
    </row>
    <row r="170" spans="1:10" ht="19.95" customHeight="1" x14ac:dyDescent="0.3">
      <c r="A170" s="139" t="s">
        <v>403</v>
      </c>
      <c r="B170" s="203" t="s">
        <v>501</v>
      </c>
      <c r="C170" s="137" t="s">
        <v>112</v>
      </c>
      <c r="D170" s="150">
        <v>1261</v>
      </c>
      <c r="E170" s="149"/>
      <c r="F170" s="149">
        <v>0</v>
      </c>
      <c r="G170" s="150"/>
      <c r="H170" s="149"/>
      <c r="I170" s="149"/>
      <c r="J170" s="149">
        <f t="shared" si="7"/>
        <v>1261</v>
      </c>
    </row>
    <row r="171" spans="1:10" ht="19.95" customHeight="1" x14ac:dyDescent="0.3">
      <c r="A171" s="139" t="s">
        <v>282</v>
      </c>
      <c r="B171" s="203" t="s">
        <v>501</v>
      </c>
      <c r="C171" s="140"/>
      <c r="D171" s="150"/>
      <c r="E171" s="149"/>
      <c r="F171" s="149">
        <v>422.68</v>
      </c>
      <c r="G171" s="150"/>
      <c r="H171" s="149"/>
      <c r="I171" s="149"/>
      <c r="J171" s="149">
        <f t="shared" si="7"/>
        <v>422.68</v>
      </c>
    </row>
    <row r="172" spans="1:10" ht="19.95" customHeight="1" x14ac:dyDescent="0.3">
      <c r="A172" s="139" t="s">
        <v>283</v>
      </c>
      <c r="B172" s="203" t="s">
        <v>501</v>
      </c>
      <c r="C172" s="137" t="s">
        <v>87</v>
      </c>
      <c r="D172" s="150">
        <v>3194.5299999999997</v>
      </c>
      <c r="E172" s="149"/>
      <c r="F172" s="149">
        <v>1181.6500000000001</v>
      </c>
      <c r="G172" s="150"/>
      <c r="H172" s="149"/>
      <c r="I172" s="149"/>
      <c r="J172" s="149">
        <f t="shared" si="7"/>
        <v>4376.18</v>
      </c>
    </row>
    <row r="173" spans="1:10" ht="19.95" customHeight="1" x14ac:dyDescent="0.3">
      <c r="A173" s="139" t="s">
        <v>284</v>
      </c>
      <c r="B173" s="203" t="s">
        <v>501</v>
      </c>
      <c r="C173" s="131" t="s">
        <v>112</v>
      </c>
      <c r="D173" s="150">
        <v>10851.880000000001</v>
      </c>
      <c r="E173" s="149"/>
      <c r="F173" s="149">
        <v>0</v>
      </c>
      <c r="G173" s="150">
        <v>780</v>
      </c>
      <c r="H173" s="149"/>
      <c r="I173" s="149"/>
      <c r="J173" s="149">
        <f t="shared" si="7"/>
        <v>11631.880000000001</v>
      </c>
    </row>
    <row r="174" spans="1:10" ht="19.95" customHeight="1" x14ac:dyDescent="0.3">
      <c r="A174" s="139" t="s">
        <v>404</v>
      </c>
      <c r="B174" s="203" t="s">
        <v>501</v>
      </c>
      <c r="C174" s="140" t="s">
        <v>112</v>
      </c>
      <c r="D174" s="150">
        <v>1576.26</v>
      </c>
      <c r="E174" s="149"/>
      <c r="F174" s="149">
        <v>0</v>
      </c>
      <c r="G174" s="150"/>
      <c r="H174" s="149"/>
      <c r="I174" s="149"/>
      <c r="J174" s="149">
        <f t="shared" si="7"/>
        <v>1576.26</v>
      </c>
    </row>
    <row r="175" spans="1:10" ht="19.95" customHeight="1" x14ac:dyDescent="0.3">
      <c r="A175" s="139" t="s">
        <v>285</v>
      </c>
      <c r="B175" s="203" t="s">
        <v>501</v>
      </c>
      <c r="C175" s="131" t="s">
        <v>103</v>
      </c>
      <c r="D175" s="150">
        <v>4455.53</v>
      </c>
      <c r="E175" s="149"/>
      <c r="F175" s="149">
        <v>943.31999999999994</v>
      </c>
      <c r="G175" s="150">
        <v>390</v>
      </c>
      <c r="H175" s="150"/>
      <c r="I175" s="150"/>
      <c r="J175" s="149">
        <f t="shared" si="7"/>
        <v>5788.8499999999995</v>
      </c>
    </row>
    <row r="176" spans="1:10" ht="19.95" customHeight="1" x14ac:dyDescent="0.3">
      <c r="A176" s="139" t="s">
        <v>286</v>
      </c>
      <c r="B176" s="203" t="s">
        <v>501</v>
      </c>
      <c r="C176" s="137" t="s">
        <v>87</v>
      </c>
      <c r="D176" s="150">
        <v>5238</v>
      </c>
      <c r="E176" s="149"/>
      <c r="F176" s="149">
        <v>3420.27</v>
      </c>
      <c r="G176" s="150">
        <v>286</v>
      </c>
      <c r="H176" s="150"/>
      <c r="I176" s="150"/>
      <c r="J176" s="149">
        <f t="shared" si="7"/>
        <v>8944.27</v>
      </c>
    </row>
    <row r="177" spans="1:10" ht="19.95" customHeight="1" x14ac:dyDescent="0.3">
      <c r="A177" s="139" t="s">
        <v>287</v>
      </c>
      <c r="B177" s="203" t="s">
        <v>501</v>
      </c>
      <c r="C177" s="140" t="s">
        <v>352</v>
      </c>
      <c r="D177" s="150">
        <v>21279.42</v>
      </c>
      <c r="E177" s="149"/>
      <c r="F177" s="149">
        <v>45.2</v>
      </c>
      <c r="G177" s="150">
        <v>520</v>
      </c>
      <c r="H177" s="150"/>
      <c r="I177" s="150"/>
      <c r="J177" s="149">
        <f t="shared" si="7"/>
        <v>21844.62</v>
      </c>
    </row>
    <row r="178" spans="1:10" ht="19.95" customHeight="1" x14ac:dyDescent="0.3">
      <c r="A178" s="139" t="s">
        <v>288</v>
      </c>
      <c r="B178" s="203" t="s">
        <v>501</v>
      </c>
      <c r="C178" s="140" t="s">
        <v>112</v>
      </c>
      <c r="D178" s="150">
        <v>3152.51</v>
      </c>
      <c r="E178" s="149"/>
      <c r="F178" s="149">
        <v>0</v>
      </c>
      <c r="G178" s="150"/>
      <c r="H178" s="150"/>
      <c r="I178" s="150"/>
      <c r="J178" s="149">
        <f t="shared" si="7"/>
        <v>3152.51</v>
      </c>
    </row>
    <row r="179" spans="1:10" ht="19.95" customHeight="1" x14ac:dyDescent="0.3">
      <c r="A179" s="139" t="s">
        <v>405</v>
      </c>
      <c r="B179" s="203" t="s">
        <v>501</v>
      </c>
      <c r="C179" s="137" t="s">
        <v>112</v>
      </c>
      <c r="D179" s="150">
        <v>2522</v>
      </c>
      <c r="E179" s="149"/>
      <c r="F179" s="149">
        <v>0</v>
      </c>
      <c r="G179" s="150"/>
      <c r="H179" s="150"/>
      <c r="I179" s="150"/>
      <c r="J179" s="149">
        <f t="shared" si="7"/>
        <v>2522</v>
      </c>
    </row>
    <row r="180" spans="1:10" ht="19.95" customHeight="1" x14ac:dyDescent="0.3">
      <c r="A180" s="139" t="s">
        <v>406</v>
      </c>
      <c r="B180" s="203" t="s">
        <v>501</v>
      </c>
      <c r="C180" s="137" t="s">
        <v>352</v>
      </c>
      <c r="D180" s="150">
        <v>4728.76</v>
      </c>
      <c r="E180" s="149"/>
      <c r="F180" s="149">
        <v>1502.9099999999999</v>
      </c>
      <c r="G180" s="150">
        <v>460</v>
      </c>
      <c r="H180" s="150"/>
      <c r="I180" s="150">
        <v>7500</v>
      </c>
      <c r="J180" s="149">
        <f t="shared" si="7"/>
        <v>14191.67</v>
      </c>
    </row>
    <row r="181" spans="1:10" ht="19.95" customHeight="1" x14ac:dyDescent="0.3">
      <c r="A181" s="139" t="s">
        <v>407</v>
      </c>
      <c r="B181" s="203" t="s">
        <v>501</v>
      </c>
      <c r="C181" s="131"/>
      <c r="D181" s="150"/>
      <c r="E181" s="149"/>
      <c r="F181" s="149">
        <v>241.12</v>
      </c>
      <c r="G181" s="150"/>
      <c r="H181" s="150"/>
      <c r="I181" s="150"/>
      <c r="J181" s="149">
        <f t="shared" si="7"/>
        <v>241.12</v>
      </c>
    </row>
    <row r="182" spans="1:10" ht="19.95" customHeight="1" x14ac:dyDescent="0.3">
      <c r="A182" s="139" t="s">
        <v>289</v>
      </c>
      <c r="B182" s="203" t="s">
        <v>501</v>
      </c>
      <c r="C182" s="135" t="s">
        <v>93</v>
      </c>
      <c r="D182" s="150">
        <v>5044</v>
      </c>
      <c r="E182" s="149"/>
      <c r="F182" s="149">
        <v>0</v>
      </c>
      <c r="G182" s="150"/>
      <c r="H182" s="150"/>
      <c r="I182" s="150"/>
      <c r="J182" s="149">
        <f t="shared" si="7"/>
        <v>5044</v>
      </c>
    </row>
    <row r="183" spans="1:10" ht="19.95" customHeight="1" x14ac:dyDescent="0.3">
      <c r="A183" s="139" t="s">
        <v>290</v>
      </c>
      <c r="B183" s="203" t="s">
        <v>501</v>
      </c>
      <c r="C183" s="140" t="s">
        <v>103</v>
      </c>
      <c r="D183" s="150">
        <v>4539.59</v>
      </c>
      <c r="E183" s="149"/>
      <c r="F183" s="149">
        <v>1840.14</v>
      </c>
      <c r="G183" s="150">
        <v>536.91999999999996</v>
      </c>
      <c r="H183" s="150"/>
      <c r="I183" s="150"/>
      <c r="J183" s="149">
        <f t="shared" si="7"/>
        <v>6916.6500000000005</v>
      </c>
    </row>
    <row r="184" spans="1:10" ht="19.95" customHeight="1" x14ac:dyDescent="0.3">
      <c r="A184" s="139" t="s">
        <v>408</v>
      </c>
      <c r="B184" s="203" t="s">
        <v>501</v>
      </c>
      <c r="C184" s="131" t="s">
        <v>112</v>
      </c>
      <c r="D184" s="150"/>
      <c r="E184" s="149"/>
      <c r="F184" s="149">
        <v>0</v>
      </c>
      <c r="G184" s="150">
        <v>130</v>
      </c>
      <c r="H184" s="150"/>
      <c r="I184" s="150"/>
      <c r="J184" s="149">
        <f t="shared" si="7"/>
        <v>130</v>
      </c>
    </row>
    <row r="185" spans="1:10" ht="19.95" customHeight="1" x14ac:dyDescent="0.3">
      <c r="A185" s="139" t="s">
        <v>254</v>
      </c>
      <c r="B185" s="203" t="s">
        <v>501</v>
      </c>
      <c r="C185" s="135" t="s">
        <v>250</v>
      </c>
      <c r="D185" s="150">
        <v>7530.8</v>
      </c>
      <c r="E185" s="149"/>
      <c r="F185" s="149">
        <v>9924.0400000000009</v>
      </c>
      <c r="G185" s="150"/>
      <c r="H185" s="150"/>
      <c r="I185" s="150"/>
      <c r="J185" s="149">
        <f t="shared" si="7"/>
        <v>17454.84</v>
      </c>
    </row>
    <row r="186" spans="1:10" ht="19.95" customHeight="1" x14ac:dyDescent="0.3">
      <c r="A186" s="139" t="s">
        <v>292</v>
      </c>
      <c r="B186" s="203" t="s">
        <v>501</v>
      </c>
      <c r="C186" s="140" t="s">
        <v>95</v>
      </c>
      <c r="D186" s="150">
        <v>4183.1400000000003</v>
      </c>
      <c r="E186" s="149"/>
      <c r="F186" s="149">
        <v>0</v>
      </c>
      <c r="G186" s="150"/>
      <c r="H186" s="150"/>
      <c r="I186" s="150"/>
      <c r="J186" s="149">
        <f t="shared" si="7"/>
        <v>4183.1400000000003</v>
      </c>
    </row>
    <row r="187" spans="1:10" ht="19.95" customHeight="1" x14ac:dyDescent="0.3">
      <c r="A187" s="139" t="s">
        <v>293</v>
      </c>
      <c r="B187" s="203" t="s">
        <v>501</v>
      </c>
      <c r="C187" s="140" t="s">
        <v>93</v>
      </c>
      <c r="D187" s="150">
        <v>1261</v>
      </c>
      <c r="E187" s="149"/>
      <c r="F187" s="149">
        <v>0</v>
      </c>
      <c r="G187" s="150"/>
      <c r="H187" s="150"/>
      <c r="I187" s="150"/>
      <c r="J187" s="149">
        <f t="shared" si="7"/>
        <v>1261</v>
      </c>
    </row>
    <row r="188" spans="1:10" ht="19.95" customHeight="1" x14ac:dyDescent="0.3">
      <c r="A188" s="139" t="s">
        <v>409</v>
      </c>
      <c r="B188" s="203" t="s">
        <v>501</v>
      </c>
      <c r="C188" s="137" t="s">
        <v>87</v>
      </c>
      <c r="D188" s="150">
        <v>6347.0300000000007</v>
      </c>
      <c r="E188" s="149"/>
      <c r="F188" s="149">
        <v>443.89</v>
      </c>
      <c r="G188" s="150"/>
      <c r="H188" s="150"/>
      <c r="I188" s="150"/>
      <c r="J188" s="149">
        <f t="shared" si="7"/>
        <v>6790.920000000001</v>
      </c>
    </row>
    <row r="189" spans="1:10" ht="19.95" customHeight="1" x14ac:dyDescent="0.3">
      <c r="A189" s="139" t="s">
        <v>295</v>
      </c>
      <c r="B189" s="203" t="s">
        <v>501</v>
      </c>
      <c r="C189" s="131" t="s">
        <v>95</v>
      </c>
      <c r="D189" s="150">
        <v>12493.6</v>
      </c>
      <c r="E189" s="149"/>
      <c r="F189" s="149">
        <v>0</v>
      </c>
      <c r="G189" s="150"/>
      <c r="H189" s="150"/>
      <c r="I189" s="150"/>
      <c r="J189" s="149">
        <f t="shared" si="7"/>
        <v>12493.6</v>
      </c>
    </row>
    <row r="190" spans="1:10" ht="19.95" customHeight="1" x14ac:dyDescent="0.3">
      <c r="A190" s="139" t="s">
        <v>297</v>
      </c>
      <c r="B190" s="203" t="s">
        <v>501</v>
      </c>
      <c r="C190" s="131"/>
      <c r="D190" s="150"/>
      <c r="E190" s="149"/>
      <c r="F190" s="149">
        <v>2323.89</v>
      </c>
      <c r="G190" s="150"/>
      <c r="H190" s="150"/>
      <c r="I190" s="150"/>
      <c r="J190" s="149">
        <f t="shared" si="7"/>
        <v>2323.89</v>
      </c>
    </row>
    <row r="191" spans="1:10" ht="19.95" customHeight="1" x14ac:dyDescent="0.3">
      <c r="A191" s="139" t="s">
        <v>298</v>
      </c>
      <c r="B191" s="203" t="s">
        <v>501</v>
      </c>
      <c r="C191" s="131" t="s">
        <v>103</v>
      </c>
      <c r="D191" s="150">
        <v>4546.0599999999995</v>
      </c>
      <c r="E191" s="149"/>
      <c r="F191" s="149">
        <v>11484.960000000001</v>
      </c>
      <c r="G191" s="150"/>
      <c r="H191" s="150"/>
      <c r="I191" s="150"/>
      <c r="J191" s="149">
        <f t="shared" si="7"/>
        <v>16031.02</v>
      </c>
    </row>
    <row r="192" spans="1:10" ht="19.95" customHeight="1" x14ac:dyDescent="0.3">
      <c r="A192" s="139" t="s">
        <v>410</v>
      </c>
      <c r="B192" s="203" t="s">
        <v>501</v>
      </c>
      <c r="C192" s="131" t="s">
        <v>93</v>
      </c>
      <c r="D192" s="150">
        <v>1261</v>
      </c>
      <c r="E192" s="149"/>
      <c r="F192" s="149">
        <v>0</v>
      </c>
      <c r="G192" s="150"/>
      <c r="H192" s="150"/>
      <c r="I192" s="150"/>
      <c r="J192" s="149">
        <f t="shared" si="7"/>
        <v>1261</v>
      </c>
    </row>
    <row r="193" spans="1:10" ht="19.95" customHeight="1" x14ac:dyDescent="0.3">
      <c r="A193" s="139" t="s">
        <v>411</v>
      </c>
      <c r="B193" s="203" t="s">
        <v>501</v>
      </c>
      <c r="C193" s="131"/>
      <c r="D193" s="150"/>
      <c r="E193" s="149"/>
      <c r="F193" s="149">
        <v>563.64</v>
      </c>
      <c r="G193" s="150"/>
      <c r="H193" s="150"/>
      <c r="I193" s="150"/>
      <c r="J193" s="149">
        <f t="shared" si="7"/>
        <v>563.64</v>
      </c>
    </row>
    <row r="194" spans="1:10" ht="19.95" customHeight="1" x14ac:dyDescent="0.3">
      <c r="A194" s="139" t="s">
        <v>412</v>
      </c>
      <c r="B194" s="203" t="s">
        <v>501</v>
      </c>
      <c r="C194" s="131" t="s">
        <v>87</v>
      </c>
      <c r="D194" s="150">
        <v>485</v>
      </c>
      <c r="E194" s="149"/>
      <c r="F194" s="149">
        <v>277.12</v>
      </c>
      <c r="G194" s="150"/>
      <c r="H194" s="150"/>
      <c r="I194" s="150"/>
      <c r="J194" s="149">
        <f t="shared" si="7"/>
        <v>762.12</v>
      </c>
    </row>
    <row r="195" spans="1:10" ht="19.95" customHeight="1" x14ac:dyDescent="0.3">
      <c r="A195" s="139" t="s">
        <v>413</v>
      </c>
      <c r="B195" s="203" t="s">
        <v>501</v>
      </c>
      <c r="C195" s="140" t="s">
        <v>250</v>
      </c>
      <c r="D195" s="150">
        <v>2648.4</v>
      </c>
      <c r="E195" s="149"/>
      <c r="F195" s="149">
        <v>1481.2</v>
      </c>
      <c r="G195" s="150">
        <v>75</v>
      </c>
      <c r="H195" s="150"/>
      <c r="I195" s="150"/>
      <c r="J195" s="149">
        <f t="shared" si="7"/>
        <v>4204.6000000000004</v>
      </c>
    </row>
    <row r="196" spans="1:10" ht="19.95" customHeight="1" x14ac:dyDescent="0.3">
      <c r="A196" s="139" t="s">
        <v>414</v>
      </c>
      <c r="B196" s="203" t="s">
        <v>501</v>
      </c>
      <c r="C196" s="140" t="s">
        <v>87</v>
      </c>
      <c r="D196" s="150"/>
      <c r="E196" s="149"/>
      <c r="F196" s="149">
        <v>2090.67</v>
      </c>
      <c r="G196" s="150"/>
      <c r="H196" s="150"/>
      <c r="I196" s="150"/>
      <c r="J196" s="149">
        <f t="shared" si="7"/>
        <v>2090.67</v>
      </c>
    </row>
    <row r="197" spans="1:10" ht="19.95" customHeight="1" x14ac:dyDescent="0.3">
      <c r="A197" s="139" t="s">
        <v>415</v>
      </c>
      <c r="B197" s="203" t="s">
        <v>501</v>
      </c>
      <c r="C197" s="137" t="s">
        <v>95</v>
      </c>
      <c r="D197" s="150">
        <v>21643.200000000001</v>
      </c>
      <c r="E197" s="149"/>
      <c r="F197" s="149">
        <v>365.68</v>
      </c>
      <c r="G197" s="150"/>
      <c r="H197" s="150"/>
      <c r="I197" s="150">
        <v>6250</v>
      </c>
      <c r="J197" s="149">
        <f t="shared" si="7"/>
        <v>28258.880000000001</v>
      </c>
    </row>
    <row r="198" spans="1:10" ht="19.95" customHeight="1" x14ac:dyDescent="0.3">
      <c r="A198" s="139" t="s">
        <v>416</v>
      </c>
      <c r="B198" s="203" t="s">
        <v>501</v>
      </c>
      <c r="C198" s="135" t="s">
        <v>103</v>
      </c>
      <c r="D198" s="150">
        <v>5128.0600000000004</v>
      </c>
      <c r="E198" s="149"/>
      <c r="F198" s="149">
        <v>5197.74</v>
      </c>
      <c r="G198" s="150"/>
      <c r="H198" s="150"/>
      <c r="I198" s="150"/>
      <c r="J198" s="149">
        <f t="shared" si="7"/>
        <v>10325.799999999999</v>
      </c>
    </row>
    <row r="199" spans="1:10" ht="19.95" customHeight="1" x14ac:dyDescent="0.3">
      <c r="A199" s="139" t="s">
        <v>417</v>
      </c>
      <c r="B199" s="203" t="s">
        <v>501</v>
      </c>
      <c r="C199" s="140" t="s">
        <v>95</v>
      </c>
      <c r="D199" s="150">
        <v>12549.42</v>
      </c>
      <c r="E199" s="149"/>
      <c r="F199" s="149">
        <v>0</v>
      </c>
      <c r="G199" s="150"/>
      <c r="H199" s="150"/>
      <c r="I199" s="150"/>
      <c r="J199" s="149">
        <f t="shared" si="7"/>
        <v>12549.42</v>
      </c>
    </row>
    <row r="200" spans="1:10" ht="19.95" customHeight="1" x14ac:dyDescent="0.3">
      <c r="A200" s="139" t="s">
        <v>418</v>
      </c>
      <c r="B200" s="203" t="s">
        <v>501</v>
      </c>
      <c r="C200" s="140" t="s">
        <v>103</v>
      </c>
      <c r="D200" s="150"/>
      <c r="E200" s="149"/>
      <c r="F200" s="149">
        <v>371.85</v>
      </c>
      <c r="G200" s="150"/>
      <c r="H200" s="150"/>
      <c r="I200" s="150"/>
      <c r="J200" s="149">
        <f t="shared" si="7"/>
        <v>371.85</v>
      </c>
    </row>
    <row r="201" spans="1:10" ht="19.95" customHeight="1" x14ac:dyDescent="0.3">
      <c r="A201" s="139" t="s">
        <v>303</v>
      </c>
      <c r="B201" s="203" t="s">
        <v>501</v>
      </c>
      <c r="C201" s="137"/>
      <c r="D201" s="150"/>
      <c r="E201" s="149"/>
      <c r="F201" s="149">
        <v>17364.39</v>
      </c>
      <c r="G201" s="150"/>
      <c r="H201" s="150"/>
      <c r="I201" s="150">
        <v>6500</v>
      </c>
      <c r="J201" s="149">
        <f t="shared" si="7"/>
        <v>23864.39</v>
      </c>
    </row>
    <row r="202" spans="1:10" ht="19.95" customHeight="1" x14ac:dyDescent="0.3">
      <c r="A202" s="139" t="s">
        <v>419</v>
      </c>
      <c r="B202" s="203" t="s">
        <v>501</v>
      </c>
      <c r="C202" s="131"/>
      <c r="D202" s="150"/>
      <c r="E202" s="149"/>
      <c r="F202" s="149">
        <v>275.62</v>
      </c>
      <c r="G202" s="150"/>
      <c r="H202" s="150"/>
      <c r="I202" s="150"/>
      <c r="J202" s="149">
        <f t="shared" si="7"/>
        <v>275.62</v>
      </c>
    </row>
    <row r="203" spans="1:10" ht="19.95" customHeight="1" x14ac:dyDescent="0.3">
      <c r="A203" s="139" t="s">
        <v>420</v>
      </c>
      <c r="B203" s="203" t="s">
        <v>501</v>
      </c>
      <c r="C203" s="131" t="s">
        <v>112</v>
      </c>
      <c r="D203" s="150">
        <v>3783</v>
      </c>
      <c r="E203" s="149"/>
      <c r="F203" s="149">
        <v>0</v>
      </c>
      <c r="G203" s="150">
        <v>330</v>
      </c>
      <c r="H203" s="150"/>
      <c r="I203" s="150"/>
      <c r="J203" s="149">
        <f t="shared" si="7"/>
        <v>4113</v>
      </c>
    </row>
    <row r="204" spans="1:10" ht="19.95" customHeight="1" x14ac:dyDescent="0.3">
      <c r="A204" s="139" t="s">
        <v>421</v>
      </c>
      <c r="B204" s="203" t="s">
        <v>501</v>
      </c>
      <c r="C204" s="135" t="s">
        <v>112</v>
      </c>
      <c r="D204" s="150">
        <v>7699.38</v>
      </c>
      <c r="E204" s="149"/>
      <c r="F204" s="149">
        <v>0</v>
      </c>
      <c r="G204" s="150">
        <v>260</v>
      </c>
      <c r="H204" s="150"/>
      <c r="I204" s="150"/>
      <c r="J204" s="149">
        <f t="shared" si="7"/>
        <v>7959.38</v>
      </c>
    </row>
    <row r="205" spans="1:10" ht="19.95" customHeight="1" x14ac:dyDescent="0.3">
      <c r="A205" s="139" t="s">
        <v>422</v>
      </c>
      <c r="B205" s="203" t="s">
        <v>501</v>
      </c>
      <c r="C205" s="131"/>
      <c r="D205" s="150"/>
      <c r="E205" s="149"/>
      <c r="F205" s="149">
        <v>320</v>
      </c>
      <c r="G205" s="150"/>
      <c r="H205" s="150"/>
      <c r="I205" s="150"/>
      <c r="J205" s="149">
        <f t="shared" si="7"/>
        <v>320</v>
      </c>
    </row>
    <row r="206" spans="1:10" ht="19.95" customHeight="1" x14ac:dyDescent="0.3">
      <c r="A206" s="139" t="s">
        <v>423</v>
      </c>
      <c r="B206" s="203" t="s">
        <v>501</v>
      </c>
      <c r="C206" s="140" t="s">
        <v>112</v>
      </c>
      <c r="D206" s="150">
        <v>6305</v>
      </c>
      <c r="E206" s="149"/>
      <c r="F206" s="149">
        <v>0</v>
      </c>
      <c r="G206" s="150"/>
      <c r="H206" s="150"/>
      <c r="I206" s="150"/>
      <c r="J206" s="149">
        <f t="shared" si="7"/>
        <v>6305</v>
      </c>
    </row>
    <row r="207" spans="1:10" ht="19.95" customHeight="1" x14ac:dyDescent="0.3">
      <c r="A207" s="139" t="s">
        <v>310</v>
      </c>
      <c r="B207" s="203" t="s">
        <v>501</v>
      </c>
      <c r="C207" s="137" t="s">
        <v>93</v>
      </c>
      <c r="D207" s="150">
        <v>1940</v>
      </c>
      <c r="E207" s="149"/>
      <c r="F207" s="149">
        <v>1415.62</v>
      </c>
      <c r="G207" s="150"/>
      <c r="H207" s="150"/>
      <c r="I207" s="150"/>
      <c r="J207" s="149">
        <f t="shared" si="7"/>
        <v>3355.62</v>
      </c>
    </row>
    <row r="208" spans="1:10" ht="19.95" customHeight="1" x14ac:dyDescent="0.3">
      <c r="A208" s="139" t="s">
        <v>311</v>
      </c>
      <c r="B208" s="203" t="s">
        <v>501</v>
      </c>
      <c r="C208" s="135" t="s">
        <v>103</v>
      </c>
      <c r="D208" s="150">
        <v>8031.59</v>
      </c>
      <c r="E208" s="149"/>
      <c r="F208" s="149">
        <v>10335.14</v>
      </c>
      <c r="G208" s="150"/>
      <c r="H208" s="150"/>
      <c r="I208" s="150"/>
      <c r="J208" s="149">
        <f t="shared" si="7"/>
        <v>18366.73</v>
      </c>
    </row>
    <row r="209" spans="1:10" ht="19.95" customHeight="1" x14ac:dyDescent="0.3">
      <c r="A209" s="139" t="s">
        <v>424</v>
      </c>
      <c r="B209" s="203" t="s">
        <v>501</v>
      </c>
      <c r="C209" s="140" t="s">
        <v>95</v>
      </c>
      <c r="D209" s="150">
        <v>9821.2800000000007</v>
      </c>
      <c r="E209" s="149"/>
      <c r="F209" s="149">
        <v>0</v>
      </c>
      <c r="G209" s="150"/>
      <c r="H209" s="150"/>
      <c r="I209" s="150"/>
      <c r="J209" s="149">
        <f t="shared" si="7"/>
        <v>9821.2800000000007</v>
      </c>
    </row>
    <row r="210" spans="1:10" ht="19.95" customHeight="1" x14ac:dyDescent="0.3">
      <c r="A210" s="139" t="s">
        <v>425</v>
      </c>
      <c r="B210" s="203" t="s">
        <v>501</v>
      </c>
      <c r="C210" s="137" t="s">
        <v>91</v>
      </c>
      <c r="D210" s="150">
        <v>1818.76</v>
      </c>
      <c r="E210" s="149"/>
      <c r="F210" s="149">
        <v>0</v>
      </c>
      <c r="G210" s="150"/>
      <c r="H210" s="150"/>
      <c r="I210" s="150"/>
      <c r="J210" s="149">
        <f t="shared" ref="J210:J255" si="8">D210+E210+F210+G210+H210+I210</f>
        <v>1818.76</v>
      </c>
    </row>
    <row r="211" spans="1:10" ht="19.95" customHeight="1" x14ac:dyDescent="0.3">
      <c r="A211" s="139" t="s">
        <v>426</v>
      </c>
      <c r="B211" s="203" t="s">
        <v>501</v>
      </c>
      <c r="C211" s="137" t="s">
        <v>87</v>
      </c>
      <c r="D211" s="150">
        <v>1940</v>
      </c>
      <c r="E211" s="149"/>
      <c r="F211" s="149">
        <v>290.74</v>
      </c>
      <c r="G211" s="150">
        <v>260</v>
      </c>
      <c r="H211" s="150"/>
      <c r="I211" s="150"/>
      <c r="J211" s="149">
        <f t="shared" si="8"/>
        <v>2490.7399999999998</v>
      </c>
    </row>
    <row r="212" spans="1:10" ht="19.95" customHeight="1" x14ac:dyDescent="0.3">
      <c r="A212" s="139" t="s">
        <v>316</v>
      </c>
      <c r="B212" s="203" t="s">
        <v>501</v>
      </c>
      <c r="C212" s="140" t="s">
        <v>95</v>
      </c>
      <c r="D212" s="150">
        <v>16550.7</v>
      </c>
      <c r="E212" s="149"/>
      <c r="F212" s="149">
        <v>486.72</v>
      </c>
      <c r="G212" s="150">
        <v>260</v>
      </c>
      <c r="H212" s="150"/>
      <c r="I212" s="150"/>
      <c r="J212" s="149">
        <f t="shared" si="8"/>
        <v>17297.420000000002</v>
      </c>
    </row>
    <row r="213" spans="1:10" ht="19.95" customHeight="1" x14ac:dyDescent="0.3">
      <c r="A213" s="139" t="s">
        <v>427</v>
      </c>
      <c r="B213" s="203" t="s">
        <v>501</v>
      </c>
      <c r="C213" s="140" t="s">
        <v>95</v>
      </c>
      <c r="D213" s="150">
        <v>18080.800000000003</v>
      </c>
      <c r="E213" s="149"/>
      <c r="F213" s="149">
        <v>0</v>
      </c>
      <c r="G213" s="150"/>
      <c r="H213" s="150"/>
      <c r="I213" s="150"/>
      <c r="J213" s="149">
        <f t="shared" si="8"/>
        <v>18080.800000000003</v>
      </c>
    </row>
    <row r="214" spans="1:10" ht="19.95" customHeight="1" x14ac:dyDescent="0.3">
      <c r="A214" s="139" t="s">
        <v>318</v>
      </c>
      <c r="B214" s="203" t="s">
        <v>501</v>
      </c>
      <c r="C214" s="137"/>
      <c r="D214" s="149"/>
      <c r="E214" s="149"/>
      <c r="F214" s="149">
        <v>2568.5099999999998</v>
      </c>
      <c r="G214" s="150"/>
      <c r="H214" s="150"/>
      <c r="I214" s="150"/>
      <c r="J214" s="149">
        <f t="shared" si="8"/>
        <v>2568.5099999999998</v>
      </c>
    </row>
    <row r="215" spans="1:10" ht="19.95" customHeight="1" x14ac:dyDescent="0.3">
      <c r="A215" s="139" t="s">
        <v>428</v>
      </c>
      <c r="B215" s="203" t="s">
        <v>501</v>
      </c>
      <c r="C215" s="131" t="s">
        <v>112</v>
      </c>
      <c r="D215" s="149">
        <v>1576.25</v>
      </c>
      <c r="E215" s="149"/>
      <c r="F215" s="149">
        <v>0</v>
      </c>
      <c r="G215" s="150"/>
      <c r="H215" s="150"/>
      <c r="I215" s="150"/>
      <c r="J215" s="149">
        <f t="shared" si="8"/>
        <v>1576.25</v>
      </c>
    </row>
    <row r="216" spans="1:10" ht="19.95" customHeight="1" x14ac:dyDescent="0.3">
      <c r="A216" s="139" t="s">
        <v>429</v>
      </c>
      <c r="B216" s="203" t="s">
        <v>501</v>
      </c>
      <c r="C216" s="137"/>
      <c r="D216" s="149"/>
      <c r="E216" s="149"/>
      <c r="F216" s="149">
        <v>2404.89</v>
      </c>
      <c r="G216" s="150"/>
      <c r="H216" s="150"/>
      <c r="I216" s="150"/>
      <c r="J216" s="149">
        <f t="shared" si="8"/>
        <v>2404.89</v>
      </c>
    </row>
    <row r="217" spans="1:10" ht="19.95" customHeight="1" x14ac:dyDescent="0.3">
      <c r="A217" s="139" t="s">
        <v>430</v>
      </c>
      <c r="B217" s="203" t="s">
        <v>501</v>
      </c>
      <c r="C217" s="140" t="s">
        <v>95</v>
      </c>
      <c r="D217" s="149">
        <v>9700</v>
      </c>
      <c r="E217" s="149"/>
      <c r="F217" s="149">
        <v>0</v>
      </c>
      <c r="G217" s="150">
        <v>260</v>
      </c>
      <c r="H217" s="150"/>
      <c r="I217" s="150"/>
      <c r="J217" s="149">
        <f t="shared" si="8"/>
        <v>9960</v>
      </c>
    </row>
    <row r="218" spans="1:10" ht="19.95" customHeight="1" x14ac:dyDescent="0.3">
      <c r="A218" s="139" t="s">
        <v>260</v>
      </c>
      <c r="B218" s="203" t="s">
        <v>501</v>
      </c>
      <c r="C218" s="140"/>
      <c r="D218" s="150"/>
      <c r="E218" s="149"/>
      <c r="F218" s="149">
        <v>0</v>
      </c>
      <c r="G218" s="150"/>
      <c r="H218" s="150"/>
      <c r="I218" s="150">
        <v>10000</v>
      </c>
      <c r="J218" s="149">
        <f t="shared" si="8"/>
        <v>10000</v>
      </c>
    </row>
    <row r="219" spans="1:10" ht="19.95" customHeight="1" x14ac:dyDescent="0.3">
      <c r="A219" s="139" t="s">
        <v>431</v>
      </c>
      <c r="B219" s="203" t="s">
        <v>501</v>
      </c>
      <c r="C219" s="135" t="s">
        <v>91</v>
      </c>
      <c r="D219" s="150">
        <v>5456.25</v>
      </c>
      <c r="E219" s="149"/>
      <c r="F219" s="149">
        <v>0</v>
      </c>
      <c r="G219" s="150"/>
      <c r="H219" s="150"/>
      <c r="I219" s="150"/>
      <c r="J219" s="149">
        <f t="shared" si="8"/>
        <v>5456.25</v>
      </c>
    </row>
    <row r="220" spans="1:10" ht="19.95" customHeight="1" x14ac:dyDescent="0.3">
      <c r="A220" s="139" t="s">
        <v>432</v>
      </c>
      <c r="B220" s="203" t="s">
        <v>501</v>
      </c>
      <c r="C220" s="140"/>
      <c r="D220" s="150"/>
      <c r="E220" s="149"/>
      <c r="F220" s="149">
        <v>1531.65</v>
      </c>
      <c r="G220" s="150"/>
      <c r="H220" s="150"/>
      <c r="I220" s="150"/>
      <c r="J220" s="149">
        <f t="shared" si="8"/>
        <v>1531.65</v>
      </c>
    </row>
    <row r="221" spans="1:10" ht="19.95" customHeight="1" x14ac:dyDescent="0.3">
      <c r="A221" s="139" t="s">
        <v>433</v>
      </c>
      <c r="B221" s="203" t="s">
        <v>501</v>
      </c>
      <c r="C221" s="140"/>
      <c r="D221" s="150"/>
      <c r="E221" s="149"/>
      <c r="F221" s="149">
        <v>772.17</v>
      </c>
      <c r="G221" s="150"/>
      <c r="H221" s="150"/>
      <c r="I221" s="150"/>
      <c r="J221" s="149">
        <f t="shared" si="8"/>
        <v>772.17</v>
      </c>
    </row>
    <row r="222" spans="1:10" ht="19.95" customHeight="1" x14ac:dyDescent="0.3">
      <c r="A222" s="139" t="s">
        <v>434</v>
      </c>
      <c r="B222" s="203" t="s">
        <v>501</v>
      </c>
      <c r="C222" s="137" t="s">
        <v>352</v>
      </c>
      <c r="D222" s="150">
        <v>21825.030000000002</v>
      </c>
      <c r="E222" s="149"/>
      <c r="F222" s="149">
        <v>1793.64</v>
      </c>
      <c r="G222" s="150">
        <v>200</v>
      </c>
      <c r="H222" s="150"/>
      <c r="I222" s="150">
        <v>7500</v>
      </c>
      <c r="J222" s="149">
        <f t="shared" si="8"/>
        <v>31318.670000000002</v>
      </c>
    </row>
    <row r="223" spans="1:10" ht="19.95" customHeight="1" x14ac:dyDescent="0.3">
      <c r="A223" s="139" t="s">
        <v>325</v>
      </c>
      <c r="B223" s="203" t="s">
        <v>501</v>
      </c>
      <c r="C223" s="140" t="s">
        <v>95</v>
      </c>
      <c r="D223" s="150">
        <v>4728.76</v>
      </c>
      <c r="E223" s="149"/>
      <c r="F223" s="149">
        <v>486.72</v>
      </c>
      <c r="G223" s="150"/>
      <c r="H223" s="150"/>
      <c r="I223" s="150"/>
      <c r="J223" s="149">
        <f t="shared" si="8"/>
        <v>5215.4800000000005</v>
      </c>
    </row>
    <row r="224" spans="1:10" ht="19.95" customHeight="1" x14ac:dyDescent="0.3">
      <c r="A224" s="139" t="s">
        <v>209</v>
      </c>
      <c r="B224" s="203" t="s">
        <v>501</v>
      </c>
      <c r="C224" s="131" t="s">
        <v>91</v>
      </c>
      <c r="D224" s="150"/>
      <c r="E224" s="149"/>
      <c r="F224" s="149">
        <v>409.98</v>
      </c>
      <c r="G224" s="150"/>
      <c r="H224" s="150"/>
      <c r="I224" s="150"/>
      <c r="J224" s="149">
        <f t="shared" si="8"/>
        <v>409.98</v>
      </c>
    </row>
    <row r="225" spans="1:10" ht="19.95" customHeight="1" x14ac:dyDescent="0.3">
      <c r="A225" s="139" t="s">
        <v>326</v>
      </c>
      <c r="B225" s="203" t="s">
        <v>501</v>
      </c>
      <c r="C225" s="140" t="s">
        <v>87</v>
      </c>
      <c r="D225" s="150">
        <v>3880</v>
      </c>
      <c r="E225" s="149"/>
      <c r="F225" s="149">
        <v>2432.5300000000002</v>
      </c>
      <c r="G225" s="150"/>
      <c r="H225" s="150"/>
      <c r="I225" s="150"/>
      <c r="J225" s="149">
        <f t="shared" si="8"/>
        <v>6312.5300000000007</v>
      </c>
    </row>
    <row r="226" spans="1:10" ht="19.95" customHeight="1" x14ac:dyDescent="0.3">
      <c r="A226" s="139" t="s">
        <v>435</v>
      </c>
      <c r="B226" s="203" t="s">
        <v>501</v>
      </c>
      <c r="C226" s="137" t="s">
        <v>95</v>
      </c>
      <c r="D226" s="150">
        <v>6001.9</v>
      </c>
      <c r="E226" s="149"/>
      <c r="F226" s="149">
        <v>0</v>
      </c>
      <c r="G226" s="150">
        <v>130</v>
      </c>
      <c r="H226" s="150"/>
      <c r="I226" s="150"/>
      <c r="J226" s="149">
        <f t="shared" si="8"/>
        <v>6131.9</v>
      </c>
    </row>
    <row r="227" spans="1:10" ht="19.95" customHeight="1" x14ac:dyDescent="0.3">
      <c r="A227" s="139" t="s">
        <v>327</v>
      </c>
      <c r="B227" s="203" t="s">
        <v>501</v>
      </c>
      <c r="C227" s="137" t="s">
        <v>112</v>
      </c>
      <c r="D227" s="150">
        <v>15883.76</v>
      </c>
      <c r="E227" s="149"/>
      <c r="F227" s="149">
        <v>0</v>
      </c>
      <c r="G227" s="150">
        <v>710</v>
      </c>
      <c r="H227" s="150"/>
      <c r="I227" s="150"/>
      <c r="J227" s="149">
        <f t="shared" si="8"/>
        <v>16593.760000000002</v>
      </c>
    </row>
    <row r="228" spans="1:10" ht="19.95" customHeight="1" x14ac:dyDescent="0.3">
      <c r="A228" s="139" t="s">
        <v>328</v>
      </c>
      <c r="B228" s="203" t="s">
        <v>501</v>
      </c>
      <c r="C228" s="140" t="s">
        <v>112</v>
      </c>
      <c r="D228" s="150">
        <v>2970.63</v>
      </c>
      <c r="E228" s="149"/>
      <c r="F228" s="149">
        <v>0</v>
      </c>
      <c r="G228" s="150">
        <v>390</v>
      </c>
      <c r="H228" s="150"/>
      <c r="I228" s="150"/>
      <c r="J228" s="149">
        <f t="shared" si="8"/>
        <v>3360.63</v>
      </c>
    </row>
    <row r="229" spans="1:10" ht="19.95" customHeight="1" x14ac:dyDescent="0.3">
      <c r="A229" s="139" t="s">
        <v>436</v>
      </c>
      <c r="B229" s="203" t="s">
        <v>501</v>
      </c>
      <c r="C229" s="140"/>
      <c r="D229" s="150"/>
      <c r="E229" s="149"/>
      <c r="F229" s="149">
        <v>743.26</v>
      </c>
      <c r="G229" s="150"/>
      <c r="H229" s="150"/>
      <c r="I229" s="150"/>
      <c r="J229" s="149">
        <f t="shared" si="8"/>
        <v>743.26</v>
      </c>
    </row>
    <row r="230" spans="1:10" ht="19.95" customHeight="1" x14ac:dyDescent="0.3">
      <c r="A230" s="139" t="s">
        <v>437</v>
      </c>
      <c r="B230" s="203" t="s">
        <v>501</v>
      </c>
      <c r="C230" s="135"/>
      <c r="D230" s="150"/>
      <c r="E230" s="149"/>
      <c r="F230" s="149">
        <v>470.51</v>
      </c>
      <c r="G230" s="150"/>
      <c r="H230" s="150"/>
      <c r="I230" s="150"/>
      <c r="J230" s="149">
        <f t="shared" si="8"/>
        <v>470.51</v>
      </c>
    </row>
    <row r="231" spans="1:10" ht="19.95" customHeight="1" x14ac:dyDescent="0.3">
      <c r="A231" s="139" t="s">
        <v>438</v>
      </c>
      <c r="B231" s="203" t="s">
        <v>501</v>
      </c>
      <c r="C231" s="140" t="s">
        <v>103</v>
      </c>
      <c r="D231" s="150">
        <v>4455.53</v>
      </c>
      <c r="E231" s="149"/>
      <c r="F231" s="149">
        <v>1225.06</v>
      </c>
      <c r="G231" s="150">
        <v>589.01</v>
      </c>
      <c r="H231" s="150"/>
      <c r="I231" s="150"/>
      <c r="J231" s="149">
        <f t="shared" si="8"/>
        <v>6269.6</v>
      </c>
    </row>
    <row r="232" spans="1:10" ht="19.95" customHeight="1" x14ac:dyDescent="0.3">
      <c r="A232" s="139" t="s">
        <v>439</v>
      </c>
      <c r="B232" s="203" t="s">
        <v>501</v>
      </c>
      <c r="C232" s="140" t="s">
        <v>95</v>
      </c>
      <c r="D232" s="150">
        <v>5638.14</v>
      </c>
      <c r="E232" s="149"/>
      <c r="F232" s="149">
        <v>0</v>
      </c>
      <c r="G232" s="150"/>
      <c r="H232" s="150"/>
      <c r="I232" s="150"/>
      <c r="J232" s="149">
        <f t="shared" si="8"/>
        <v>5638.14</v>
      </c>
    </row>
    <row r="233" spans="1:10" ht="19.95" customHeight="1" x14ac:dyDescent="0.3">
      <c r="A233" s="139" t="s">
        <v>440</v>
      </c>
      <c r="B233" s="203" t="s">
        <v>501</v>
      </c>
      <c r="C233" s="131" t="s">
        <v>95</v>
      </c>
      <c r="D233" s="150">
        <v>1818.76</v>
      </c>
      <c r="E233" s="149"/>
      <c r="F233" s="149">
        <v>2678.72</v>
      </c>
      <c r="G233" s="150">
        <v>3001.31</v>
      </c>
      <c r="H233" s="150"/>
      <c r="I233" s="150">
        <v>12500</v>
      </c>
      <c r="J233" s="149">
        <f t="shared" si="8"/>
        <v>19998.79</v>
      </c>
    </row>
    <row r="234" spans="1:10" ht="19.95" customHeight="1" x14ac:dyDescent="0.3">
      <c r="A234" s="139" t="s">
        <v>441</v>
      </c>
      <c r="B234" s="203" t="s">
        <v>501</v>
      </c>
      <c r="C234" s="140"/>
      <c r="D234" s="150"/>
      <c r="E234" s="149"/>
      <c r="F234" s="149">
        <v>809.34</v>
      </c>
      <c r="G234" s="150"/>
      <c r="H234" s="150"/>
      <c r="I234" s="150"/>
      <c r="J234" s="149">
        <f t="shared" si="8"/>
        <v>809.34</v>
      </c>
    </row>
    <row r="235" spans="1:10" ht="19.95" customHeight="1" x14ac:dyDescent="0.3">
      <c r="A235" s="139" t="s">
        <v>442</v>
      </c>
      <c r="B235" s="203" t="s">
        <v>501</v>
      </c>
      <c r="C235" s="137" t="s">
        <v>95</v>
      </c>
      <c r="D235" s="150">
        <v>18236</v>
      </c>
      <c r="E235" s="149"/>
      <c r="F235" s="149">
        <v>0</v>
      </c>
      <c r="G235" s="150">
        <v>260</v>
      </c>
      <c r="H235" s="150"/>
      <c r="I235" s="150"/>
      <c r="J235" s="149">
        <f t="shared" si="8"/>
        <v>18496</v>
      </c>
    </row>
    <row r="236" spans="1:10" ht="19.95" customHeight="1" x14ac:dyDescent="0.3">
      <c r="A236" s="139" t="s">
        <v>443</v>
      </c>
      <c r="B236" s="203" t="s">
        <v>501</v>
      </c>
      <c r="C236" s="140" t="s">
        <v>112</v>
      </c>
      <c r="D236" s="150">
        <v>1394.38</v>
      </c>
      <c r="E236" s="149"/>
      <c r="F236" s="149">
        <v>0</v>
      </c>
      <c r="G236" s="150"/>
      <c r="H236" s="150"/>
      <c r="I236" s="150"/>
      <c r="J236" s="149">
        <f t="shared" si="8"/>
        <v>1394.38</v>
      </c>
    </row>
    <row r="237" spans="1:10" ht="19.95" customHeight="1" x14ac:dyDescent="0.3">
      <c r="A237" s="139" t="s">
        <v>334</v>
      </c>
      <c r="B237" s="203" t="s">
        <v>501</v>
      </c>
      <c r="C237" s="140" t="s">
        <v>93</v>
      </c>
      <c r="D237" s="150">
        <v>12998</v>
      </c>
      <c r="E237" s="149"/>
      <c r="F237" s="149">
        <v>5195.76</v>
      </c>
      <c r="G237" s="150"/>
      <c r="H237" s="150"/>
      <c r="I237" s="150"/>
      <c r="J237" s="149">
        <f t="shared" si="8"/>
        <v>18193.760000000002</v>
      </c>
    </row>
    <row r="238" spans="1:10" ht="19.95" customHeight="1" x14ac:dyDescent="0.3">
      <c r="A238" s="139" t="s">
        <v>335</v>
      </c>
      <c r="B238" s="203" t="s">
        <v>501</v>
      </c>
      <c r="C238" s="137" t="s">
        <v>87</v>
      </c>
      <c r="D238" s="150">
        <v>1940</v>
      </c>
      <c r="E238" s="149"/>
      <c r="F238" s="149">
        <v>40.770000000000003</v>
      </c>
      <c r="G238" s="150"/>
      <c r="H238" s="150"/>
      <c r="I238" s="150"/>
      <c r="J238" s="149">
        <f t="shared" si="8"/>
        <v>1980.77</v>
      </c>
    </row>
    <row r="239" spans="1:10" ht="19.95" customHeight="1" x14ac:dyDescent="0.3">
      <c r="A239" s="139" t="s">
        <v>336</v>
      </c>
      <c r="B239" s="203" t="s">
        <v>501</v>
      </c>
      <c r="C239" s="135" t="s">
        <v>103</v>
      </c>
      <c r="D239" s="150">
        <v>1940</v>
      </c>
      <c r="E239" s="149"/>
      <c r="F239" s="149">
        <v>407.90000000000003</v>
      </c>
      <c r="G239" s="150"/>
      <c r="H239" s="150"/>
      <c r="I239" s="150"/>
      <c r="J239" s="149">
        <f t="shared" si="8"/>
        <v>2347.9</v>
      </c>
    </row>
    <row r="240" spans="1:10" ht="19.95" customHeight="1" x14ac:dyDescent="0.3">
      <c r="A240" s="139" t="s">
        <v>444</v>
      </c>
      <c r="B240" s="203" t="s">
        <v>501</v>
      </c>
      <c r="C240" s="131" t="s">
        <v>352</v>
      </c>
      <c r="D240" s="150">
        <v>8366.26</v>
      </c>
      <c r="E240" s="149"/>
      <c r="F240" s="149">
        <v>0</v>
      </c>
      <c r="G240" s="150"/>
      <c r="H240" s="150"/>
      <c r="I240" s="150"/>
      <c r="J240" s="149">
        <f t="shared" si="8"/>
        <v>8366.26</v>
      </c>
    </row>
    <row r="241" spans="1:10" ht="19.95" customHeight="1" x14ac:dyDescent="0.3">
      <c r="A241" s="139" t="s">
        <v>445</v>
      </c>
      <c r="B241" s="203" t="s">
        <v>501</v>
      </c>
      <c r="C241" s="140" t="s">
        <v>95</v>
      </c>
      <c r="D241" s="150">
        <v>6001.9</v>
      </c>
      <c r="E241" s="149"/>
      <c r="F241" s="149">
        <v>486.72</v>
      </c>
      <c r="G241" s="150">
        <v>390</v>
      </c>
      <c r="H241" s="150"/>
      <c r="I241" s="150"/>
      <c r="J241" s="149">
        <f t="shared" si="8"/>
        <v>6878.62</v>
      </c>
    </row>
    <row r="242" spans="1:10" ht="19.95" customHeight="1" x14ac:dyDescent="0.3">
      <c r="A242" s="139" t="s">
        <v>446</v>
      </c>
      <c r="B242" s="203" t="s">
        <v>501</v>
      </c>
      <c r="C242" s="140" t="s">
        <v>91</v>
      </c>
      <c r="D242" s="150">
        <v>1818.76</v>
      </c>
      <c r="E242" s="149"/>
      <c r="F242" s="149">
        <v>960</v>
      </c>
      <c r="G242" s="150"/>
      <c r="H242" s="150"/>
      <c r="I242" s="150"/>
      <c r="J242" s="149">
        <f t="shared" si="8"/>
        <v>2778.76</v>
      </c>
    </row>
    <row r="243" spans="1:10" ht="19.95" customHeight="1" x14ac:dyDescent="0.3">
      <c r="A243" s="139" t="s">
        <v>339</v>
      </c>
      <c r="B243" s="203" t="s">
        <v>501</v>
      </c>
      <c r="C243" s="137" t="s">
        <v>93</v>
      </c>
      <c r="D243" s="150">
        <v>2522</v>
      </c>
      <c r="E243" s="149"/>
      <c r="F243" s="149">
        <v>6414.67</v>
      </c>
      <c r="G243" s="150">
        <v>200</v>
      </c>
      <c r="H243" s="150"/>
      <c r="I243" s="150"/>
      <c r="J243" s="149">
        <f t="shared" si="8"/>
        <v>9136.67</v>
      </c>
    </row>
    <row r="244" spans="1:10" ht="19.95" customHeight="1" x14ac:dyDescent="0.3">
      <c r="A244" s="139" t="s">
        <v>340</v>
      </c>
      <c r="B244" s="203" t="s">
        <v>501</v>
      </c>
      <c r="C244" s="140" t="s">
        <v>112</v>
      </c>
      <c r="D244" s="150">
        <v>2182.5100000000002</v>
      </c>
      <c r="E244" s="149"/>
      <c r="F244" s="149">
        <v>0</v>
      </c>
      <c r="G244" s="150">
        <v>520</v>
      </c>
      <c r="H244" s="150"/>
      <c r="I244" s="150">
        <v>15000</v>
      </c>
      <c r="J244" s="149">
        <f t="shared" si="8"/>
        <v>17702.510000000002</v>
      </c>
    </row>
    <row r="245" spans="1:10" ht="19.95" customHeight="1" x14ac:dyDescent="0.3">
      <c r="A245" s="139" t="s">
        <v>341</v>
      </c>
      <c r="B245" s="203" t="s">
        <v>501</v>
      </c>
      <c r="C245" s="137" t="s">
        <v>93</v>
      </c>
      <c r="D245" s="150">
        <v>4462</v>
      </c>
      <c r="E245" s="149"/>
      <c r="F245" s="149">
        <v>484.58</v>
      </c>
      <c r="G245" s="150"/>
      <c r="H245" s="150"/>
      <c r="I245" s="150"/>
      <c r="J245" s="149">
        <f t="shared" si="8"/>
        <v>4946.58</v>
      </c>
    </row>
    <row r="246" spans="1:10" ht="19.95" customHeight="1" x14ac:dyDescent="0.3">
      <c r="A246" s="139" t="s">
        <v>447</v>
      </c>
      <c r="B246" s="203" t="s">
        <v>501</v>
      </c>
      <c r="C246" s="135"/>
      <c r="D246" s="150"/>
      <c r="E246" s="149"/>
      <c r="F246" s="149">
        <v>459.5</v>
      </c>
      <c r="G246" s="150"/>
      <c r="H246" s="150"/>
      <c r="I246" s="150"/>
      <c r="J246" s="149">
        <f t="shared" si="8"/>
        <v>459.5</v>
      </c>
    </row>
    <row r="247" spans="1:10" ht="19.95" customHeight="1" x14ac:dyDescent="0.3">
      <c r="A247" s="139" t="s">
        <v>342</v>
      </c>
      <c r="B247" s="203" t="s">
        <v>501</v>
      </c>
      <c r="C247" s="131" t="s">
        <v>87</v>
      </c>
      <c r="D247" s="149">
        <v>3152.5</v>
      </c>
      <c r="E247" s="149"/>
      <c r="F247" s="149">
        <v>551.80999999999995</v>
      </c>
      <c r="G247" s="150">
        <v>650</v>
      </c>
      <c r="H247" s="150"/>
      <c r="I247" s="150"/>
      <c r="J247" s="149">
        <f t="shared" si="8"/>
        <v>4354.3099999999995</v>
      </c>
    </row>
    <row r="248" spans="1:10" ht="19.95" customHeight="1" x14ac:dyDescent="0.3">
      <c r="A248" s="139" t="s">
        <v>448</v>
      </c>
      <c r="B248" s="203" t="s">
        <v>501</v>
      </c>
      <c r="C248" s="137"/>
      <c r="D248" s="150"/>
      <c r="E248" s="149"/>
      <c r="F248" s="149">
        <v>2178.88</v>
      </c>
      <c r="G248" s="150"/>
      <c r="H248" s="150"/>
      <c r="I248" s="150"/>
      <c r="J248" s="149">
        <f t="shared" si="8"/>
        <v>2178.88</v>
      </c>
    </row>
    <row r="249" spans="1:10" ht="19.95" customHeight="1" x14ac:dyDescent="0.3">
      <c r="A249" s="139" t="s">
        <v>345</v>
      </c>
      <c r="B249" s="203" t="s">
        <v>501</v>
      </c>
      <c r="C249" s="135" t="s">
        <v>87</v>
      </c>
      <c r="D249" s="150">
        <v>11323.12</v>
      </c>
      <c r="E249" s="149"/>
      <c r="F249" s="149">
        <v>2138.7399999999998</v>
      </c>
      <c r="G249" s="150">
        <v>130</v>
      </c>
      <c r="H249" s="150"/>
      <c r="I249" s="150"/>
      <c r="J249" s="149">
        <f t="shared" si="8"/>
        <v>13591.86</v>
      </c>
    </row>
    <row r="250" spans="1:10" ht="19.95" customHeight="1" x14ac:dyDescent="0.3">
      <c r="A250" s="139" t="s">
        <v>346</v>
      </c>
      <c r="B250" s="203" t="s">
        <v>501</v>
      </c>
      <c r="C250" s="140" t="s">
        <v>95</v>
      </c>
      <c r="D250" s="150">
        <v>11019.2</v>
      </c>
      <c r="E250" s="149"/>
      <c r="F250" s="149">
        <v>0</v>
      </c>
      <c r="G250" s="150"/>
      <c r="H250" s="150"/>
      <c r="I250" s="150"/>
      <c r="J250" s="149">
        <f t="shared" si="8"/>
        <v>11019.2</v>
      </c>
    </row>
    <row r="251" spans="1:10" ht="19.95" customHeight="1" x14ac:dyDescent="0.3">
      <c r="A251" s="139" t="s">
        <v>347</v>
      </c>
      <c r="B251" s="203" t="s">
        <v>501</v>
      </c>
      <c r="C251" s="131" t="s">
        <v>103</v>
      </c>
      <c r="D251" s="150">
        <v>1261</v>
      </c>
      <c r="E251" s="149"/>
      <c r="F251" s="149">
        <v>295.8</v>
      </c>
      <c r="G251" s="150"/>
      <c r="H251" s="150"/>
      <c r="I251" s="150"/>
      <c r="J251" s="149">
        <f t="shared" si="8"/>
        <v>1556.8</v>
      </c>
    </row>
    <row r="252" spans="1:10" ht="19.95" customHeight="1" x14ac:dyDescent="0.3">
      <c r="A252" s="139" t="s">
        <v>348</v>
      </c>
      <c r="B252" s="203" t="s">
        <v>501</v>
      </c>
      <c r="C252" s="140" t="s">
        <v>112</v>
      </c>
      <c r="D252" s="150">
        <v>5516.88</v>
      </c>
      <c r="E252" s="149"/>
      <c r="F252" s="149">
        <v>0</v>
      </c>
      <c r="G252" s="150">
        <v>260</v>
      </c>
      <c r="H252" s="150"/>
      <c r="I252" s="150"/>
      <c r="J252" s="149">
        <f t="shared" si="8"/>
        <v>5776.88</v>
      </c>
    </row>
    <row r="253" spans="1:10" ht="19.95" customHeight="1" x14ac:dyDescent="0.3">
      <c r="A253" s="139" t="s">
        <v>449</v>
      </c>
      <c r="B253" s="203" t="s">
        <v>501</v>
      </c>
      <c r="C253" s="140"/>
      <c r="D253" s="149"/>
      <c r="E253" s="149"/>
      <c r="F253" s="149">
        <v>1799.58</v>
      </c>
      <c r="G253" s="150"/>
      <c r="H253" s="150"/>
      <c r="I253" s="150">
        <v>6250</v>
      </c>
      <c r="J253" s="149">
        <f t="shared" si="8"/>
        <v>8049.58</v>
      </c>
    </row>
    <row r="254" spans="1:10" ht="19.95" customHeight="1" x14ac:dyDescent="0.3">
      <c r="A254" s="139" t="s">
        <v>450</v>
      </c>
      <c r="B254" s="203" t="s">
        <v>501</v>
      </c>
      <c r="C254" s="140" t="s">
        <v>112</v>
      </c>
      <c r="D254" s="149">
        <v>6305</v>
      </c>
      <c r="E254" s="149"/>
      <c r="F254" s="149">
        <v>0</v>
      </c>
      <c r="G254" s="150">
        <v>260</v>
      </c>
      <c r="H254" s="150"/>
      <c r="I254" s="150"/>
      <c r="J254" s="149">
        <f t="shared" si="8"/>
        <v>6565</v>
      </c>
    </row>
    <row r="255" spans="1:10" ht="19.95" customHeight="1" x14ac:dyDescent="0.3">
      <c r="A255" s="139" t="s">
        <v>451</v>
      </c>
      <c r="B255" s="203" t="s">
        <v>501</v>
      </c>
      <c r="C255" s="140" t="s">
        <v>112</v>
      </c>
      <c r="D255" s="149">
        <v>2017.6</v>
      </c>
      <c r="E255" s="149"/>
      <c r="F255" s="149">
        <v>0</v>
      </c>
      <c r="G255" s="150"/>
      <c r="H255" s="150"/>
      <c r="I255" s="150"/>
      <c r="J255" s="149">
        <f t="shared" si="8"/>
        <v>2017.6</v>
      </c>
    </row>
    <row r="256" spans="1:10" ht="19.95" customHeight="1" x14ac:dyDescent="0.25">
      <c r="A256" s="132" t="s">
        <v>85</v>
      </c>
      <c r="B256" s="204"/>
      <c r="C256" s="133"/>
      <c r="D256" s="145">
        <f t="shared" ref="D256:I256" si="9">SUM(D145:D255)</f>
        <v>503539.13000000024</v>
      </c>
      <c r="E256" s="145">
        <f t="shared" si="9"/>
        <v>0</v>
      </c>
      <c r="F256" s="145">
        <f t="shared" si="9"/>
        <v>193739.96999999997</v>
      </c>
      <c r="G256" s="145">
        <f t="shared" si="9"/>
        <v>15549.74</v>
      </c>
      <c r="H256" s="145">
        <f t="shared" si="9"/>
        <v>0</v>
      </c>
      <c r="I256" s="145">
        <f t="shared" si="9"/>
        <v>83500</v>
      </c>
      <c r="J256" s="151">
        <f t="shared" ref="J256" si="10">C256+D256+E256+F256+G256+H256+I256</f>
        <v>796328.8400000002</v>
      </c>
    </row>
    <row r="257" spans="1:10" ht="42" customHeight="1" x14ac:dyDescent="0.25">
      <c r="A257" s="153" t="s">
        <v>62</v>
      </c>
      <c r="B257" s="205"/>
      <c r="C257" s="154"/>
      <c r="D257" s="155">
        <f t="shared" ref="D257:J257" si="11">D60+D144+D256</f>
        <v>1403024.6600000001</v>
      </c>
      <c r="E257" s="155">
        <f t="shared" si="11"/>
        <v>15148.975</v>
      </c>
      <c r="F257" s="155">
        <f t="shared" si="11"/>
        <v>321730.68</v>
      </c>
      <c r="G257" s="155">
        <f t="shared" si="11"/>
        <v>83199.150000000009</v>
      </c>
      <c r="H257" s="155">
        <f t="shared" si="11"/>
        <v>130000</v>
      </c>
      <c r="I257" s="155">
        <f t="shared" si="11"/>
        <v>400000.01</v>
      </c>
      <c r="J257" s="155">
        <f t="shared" si="11"/>
        <v>2353103.4750000001</v>
      </c>
    </row>
  </sheetData>
  <phoneticPr fontId="49" type="noConversion"/>
  <pageMargins left="0.7" right="0.7" top="0.75" bottom="0.75" header="0.3" footer="0.3"/>
  <pageSetup paperSize="8" scale="1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7EFD10-1376-4EBB-9FAD-ECE86C45E8DE}">
          <x14:formula1>
            <xm:f>Dados!$A$1:$A$11</xm:f>
          </x14:formula1>
          <xm:sqref>C145:C255 C61:C143 C3:C59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25F0-B4F9-4433-906A-4EA9B25785AE}">
  <sheetPr>
    <pageSetUpPr fitToPage="1"/>
  </sheetPr>
  <dimension ref="A1:AH292"/>
  <sheetViews>
    <sheetView topLeftCell="I1" zoomScale="70" zoomScaleNormal="70" workbookViewId="0">
      <pane ySplit="2" topLeftCell="A279" activePane="bottomLeft" state="frozen"/>
      <selection pane="bottomLeft" activeCell="A225" sqref="A225"/>
    </sheetView>
  </sheetViews>
  <sheetFormatPr defaultColWidth="9.109375" defaultRowHeight="15" customHeight="1" x14ac:dyDescent="0.25"/>
  <cols>
    <col min="1" max="1" width="52.33203125" style="236" customWidth="1"/>
    <col min="2" max="2" width="15.44140625" style="236" customWidth="1"/>
    <col min="3" max="3" width="19.44140625" style="269" customWidth="1"/>
    <col min="4" max="4" width="21.6640625" style="269" customWidth="1"/>
    <col min="5" max="5" width="20.44140625" style="236" customWidth="1"/>
    <col min="6" max="13" width="21.5546875" style="236" customWidth="1"/>
    <col min="14" max="14" width="20.6640625" style="274" customWidth="1"/>
    <col min="15" max="15" width="20.33203125" style="236" customWidth="1"/>
    <col min="16" max="16" width="22.6640625" style="236" customWidth="1"/>
    <col min="17" max="17" width="20.6640625" style="236" customWidth="1"/>
    <col min="18" max="18" width="21.44140625" style="236" customWidth="1"/>
    <col min="19" max="19" width="9.109375" style="236"/>
    <col min="20" max="20" width="15.109375" style="236" customWidth="1"/>
    <col min="21" max="16384" width="9.109375" style="236"/>
  </cols>
  <sheetData>
    <row r="1" spans="1:34" s="232" customFormat="1" ht="30" customHeight="1" x14ac:dyDescent="0.25">
      <c r="A1" s="227" t="s">
        <v>496</v>
      </c>
      <c r="B1" s="228"/>
      <c r="C1" s="229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71"/>
      <c r="O1" s="228"/>
      <c r="P1" s="228"/>
      <c r="Q1" s="228"/>
      <c r="R1" s="230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</row>
    <row r="2" spans="1:34" ht="40.200000000000003" customHeight="1" x14ac:dyDescent="0.25">
      <c r="A2" s="233" t="s">
        <v>544</v>
      </c>
      <c r="B2" s="233" t="s">
        <v>526</v>
      </c>
      <c r="C2" s="233" t="s">
        <v>498</v>
      </c>
      <c r="D2" s="234" t="s">
        <v>545</v>
      </c>
      <c r="E2" s="235" t="s">
        <v>546</v>
      </c>
      <c r="F2" s="235" t="s">
        <v>548</v>
      </c>
      <c r="G2" s="235" t="s">
        <v>527</v>
      </c>
      <c r="H2" s="235" t="s">
        <v>528</v>
      </c>
      <c r="I2" s="235" t="s">
        <v>529</v>
      </c>
      <c r="J2" s="235" t="s">
        <v>530</v>
      </c>
      <c r="K2" s="235" t="s">
        <v>531</v>
      </c>
      <c r="L2" s="235" t="s">
        <v>569</v>
      </c>
      <c r="M2" s="235" t="s">
        <v>532</v>
      </c>
      <c r="N2" s="272" t="s">
        <v>542</v>
      </c>
      <c r="O2" s="235" t="s">
        <v>82</v>
      </c>
      <c r="P2" s="235" t="s">
        <v>543</v>
      </c>
      <c r="Q2" s="235" t="s">
        <v>549</v>
      </c>
      <c r="R2" s="234" t="s">
        <v>85</v>
      </c>
    </row>
    <row r="3" spans="1:34" ht="19.95" customHeight="1" x14ac:dyDescent="0.25">
      <c r="A3" s="237" t="s">
        <v>386</v>
      </c>
      <c r="B3" s="238"/>
      <c r="C3" s="239" t="s">
        <v>499</v>
      </c>
      <c r="D3" s="240" t="s">
        <v>110</v>
      </c>
      <c r="E3" s="241">
        <v>89152.7</v>
      </c>
      <c r="F3" s="241"/>
      <c r="G3" s="241">
        <v>17715.28</v>
      </c>
      <c r="H3" s="241"/>
      <c r="I3" s="241"/>
      <c r="J3" s="241"/>
      <c r="K3" s="241"/>
      <c r="L3" s="241"/>
      <c r="M3" s="241"/>
      <c r="N3" s="143">
        <f>SUM(G3:M3)</f>
        <v>17715.28</v>
      </c>
      <c r="O3" s="241">
        <v>44040</v>
      </c>
      <c r="P3" s="241">
        <v>5000</v>
      </c>
      <c r="Q3" s="241"/>
      <c r="R3" s="241">
        <f>E3+F3+N3+O3+P3+Q3</f>
        <v>155907.97999999998</v>
      </c>
    </row>
    <row r="4" spans="1:34" ht="19.95" customHeight="1" x14ac:dyDescent="0.25">
      <c r="A4" s="238" t="s">
        <v>461</v>
      </c>
      <c r="B4" s="238"/>
      <c r="C4" s="239" t="s">
        <v>499</v>
      </c>
      <c r="D4" s="240"/>
      <c r="E4" s="241"/>
      <c r="F4" s="241"/>
      <c r="G4" s="241"/>
      <c r="H4" s="241"/>
      <c r="I4" s="241"/>
      <c r="J4" s="241"/>
      <c r="K4" s="241"/>
      <c r="L4" s="241"/>
      <c r="M4" s="241"/>
      <c r="N4" s="143">
        <f t="shared" ref="N4:N69" si="0">SUM(G4:M4)</f>
        <v>0</v>
      </c>
      <c r="O4" s="241"/>
      <c r="P4" s="242">
        <v>15000</v>
      </c>
      <c r="Q4" s="241"/>
      <c r="R4" s="241">
        <f t="shared" ref="R4:R67" si="1">E4+F4+N4+O4+P4+Q4</f>
        <v>15000</v>
      </c>
    </row>
    <row r="5" spans="1:34" ht="19.95" customHeight="1" x14ac:dyDescent="0.25">
      <c r="A5" s="238" t="s">
        <v>86</v>
      </c>
      <c r="B5" s="238"/>
      <c r="C5" s="239" t="s">
        <v>499</v>
      </c>
      <c r="D5" s="239" t="s">
        <v>87</v>
      </c>
      <c r="E5" s="241">
        <v>7663</v>
      </c>
      <c r="F5" s="241">
        <v>1018.5</v>
      </c>
      <c r="G5" s="241">
        <v>241.91</v>
      </c>
      <c r="H5" s="241"/>
      <c r="I5" s="241">
        <v>570.72</v>
      </c>
      <c r="J5" s="241"/>
      <c r="K5" s="241"/>
      <c r="L5" s="241"/>
      <c r="M5" s="241"/>
      <c r="N5" s="143">
        <f t="shared" si="0"/>
        <v>812.63</v>
      </c>
      <c r="O5" s="241"/>
      <c r="P5" s="241"/>
      <c r="Q5" s="241"/>
      <c r="R5" s="241">
        <f t="shared" si="1"/>
        <v>9494.1299999999992</v>
      </c>
    </row>
    <row r="6" spans="1:34" ht="19.95" customHeight="1" x14ac:dyDescent="0.25">
      <c r="A6" s="238" t="s">
        <v>462</v>
      </c>
      <c r="B6" s="238"/>
      <c r="C6" s="239" t="s">
        <v>499</v>
      </c>
      <c r="D6" s="239"/>
      <c r="E6" s="241"/>
      <c r="F6" s="241"/>
      <c r="G6" s="241"/>
      <c r="H6" s="241"/>
      <c r="I6" s="241"/>
      <c r="J6" s="241"/>
      <c r="K6" s="241"/>
      <c r="L6" s="241">
        <v>32211.87</v>
      </c>
      <c r="M6" s="241"/>
      <c r="N6" s="143">
        <f t="shared" si="0"/>
        <v>32211.87</v>
      </c>
      <c r="O6" s="241">
        <v>148.5</v>
      </c>
      <c r="P6" s="241"/>
      <c r="Q6" s="241"/>
      <c r="R6" s="241">
        <f t="shared" si="1"/>
        <v>32360.37</v>
      </c>
    </row>
    <row r="7" spans="1:34" ht="19.95" customHeight="1" x14ac:dyDescent="0.25">
      <c r="A7" s="238" t="s">
        <v>573</v>
      </c>
      <c r="B7" s="238"/>
      <c r="C7" s="239" t="s">
        <v>499</v>
      </c>
      <c r="D7" s="239" t="s">
        <v>91</v>
      </c>
      <c r="E7" s="241">
        <v>9093.75</v>
      </c>
      <c r="F7" s="241"/>
      <c r="G7" s="241"/>
      <c r="H7" s="241"/>
      <c r="I7" s="241">
        <v>1934.66</v>
      </c>
      <c r="J7" s="241"/>
      <c r="K7" s="241"/>
      <c r="L7" s="241"/>
      <c r="M7" s="241"/>
      <c r="N7" s="143">
        <f t="shared" si="0"/>
        <v>1934.66</v>
      </c>
      <c r="O7" s="241">
        <v>610.38</v>
      </c>
      <c r="P7" s="241"/>
      <c r="Q7" s="241">
        <v>12500</v>
      </c>
      <c r="R7" s="241">
        <f t="shared" si="1"/>
        <v>24138.79</v>
      </c>
    </row>
    <row r="8" spans="1:34" ht="19.95" customHeight="1" x14ac:dyDescent="0.25">
      <c r="A8" s="238" t="s">
        <v>92</v>
      </c>
      <c r="B8" s="238"/>
      <c r="C8" s="239" t="s">
        <v>499</v>
      </c>
      <c r="D8" s="239" t="s">
        <v>93</v>
      </c>
      <c r="E8" s="241"/>
      <c r="F8" s="241"/>
      <c r="G8" s="241"/>
      <c r="H8" s="241"/>
      <c r="I8" s="241"/>
      <c r="J8" s="241"/>
      <c r="K8" s="241"/>
      <c r="L8" s="241"/>
      <c r="M8" s="241"/>
      <c r="N8" s="143">
        <f t="shared" si="0"/>
        <v>0</v>
      </c>
      <c r="O8" s="241"/>
      <c r="P8" s="241"/>
      <c r="Q8" s="241"/>
      <c r="R8" s="241">
        <f t="shared" si="1"/>
        <v>0</v>
      </c>
    </row>
    <row r="9" spans="1:34" ht="19.95" customHeight="1" x14ac:dyDescent="0.25">
      <c r="A9" s="243" t="s">
        <v>148</v>
      </c>
      <c r="B9" s="238"/>
      <c r="C9" s="239" t="s">
        <v>499</v>
      </c>
      <c r="D9" s="244" t="s">
        <v>103</v>
      </c>
      <c r="E9" s="241">
        <v>674.64</v>
      </c>
      <c r="F9" s="241"/>
      <c r="G9" s="241">
        <v>1250.02</v>
      </c>
      <c r="H9" s="241"/>
      <c r="I9" s="241">
        <v>1059.2</v>
      </c>
      <c r="J9" s="241"/>
      <c r="K9" s="241"/>
      <c r="L9" s="241"/>
      <c r="M9" s="241"/>
      <c r="N9" s="143">
        <f t="shared" si="0"/>
        <v>2309.2200000000003</v>
      </c>
      <c r="O9" s="241"/>
      <c r="P9" s="241"/>
      <c r="Q9" s="241"/>
      <c r="R9" s="241">
        <f t="shared" si="1"/>
        <v>2983.86</v>
      </c>
    </row>
    <row r="10" spans="1:34" ht="19.95" customHeight="1" x14ac:dyDescent="0.25">
      <c r="A10" s="238" t="s">
        <v>473</v>
      </c>
      <c r="B10" s="238"/>
      <c r="C10" s="239" t="s">
        <v>499</v>
      </c>
      <c r="D10" s="239" t="s">
        <v>95</v>
      </c>
      <c r="E10" s="241">
        <v>45195.94</v>
      </c>
      <c r="F10" s="241"/>
      <c r="G10" s="241"/>
      <c r="H10" s="241"/>
      <c r="I10" s="241"/>
      <c r="J10" s="241">
        <v>471.79</v>
      </c>
      <c r="K10" s="241"/>
      <c r="L10" s="241"/>
      <c r="M10" s="241"/>
      <c r="N10" s="143">
        <f t="shared" si="0"/>
        <v>471.79</v>
      </c>
      <c r="O10" s="241">
        <v>260</v>
      </c>
      <c r="P10" s="241">
        <v>5000</v>
      </c>
      <c r="Q10" s="241"/>
      <c r="R10" s="241">
        <f t="shared" si="1"/>
        <v>50927.73</v>
      </c>
    </row>
    <row r="11" spans="1:34" ht="19.95" customHeight="1" x14ac:dyDescent="0.25">
      <c r="A11" s="238" t="s">
        <v>96</v>
      </c>
      <c r="B11" s="238"/>
      <c r="C11" s="239" t="s">
        <v>499</v>
      </c>
      <c r="D11" s="239" t="s">
        <v>91</v>
      </c>
      <c r="E11" s="241">
        <v>10912.5</v>
      </c>
      <c r="F11" s="241"/>
      <c r="G11" s="241"/>
      <c r="H11" s="241"/>
      <c r="I11" s="241"/>
      <c r="J11" s="241"/>
      <c r="K11" s="241"/>
      <c r="L11" s="241">
        <v>11981.35</v>
      </c>
      <c r="M11" s="241"/>
      <c r="N11" s="143">
        <f t="shared" si="0"/>
        <v>11981.35</v>
      </c>
      <c r="O11" s="241">
        <v>330</v>
      </c>
      <c r="P11" s="241"/>
      <c r="Q11" s="241"/>
      <c r="R11" s="241">
        <f>E11+F11+N11+O11+P11+Q11</f>
        <v>23223.85</v>
      </c>
    </row>
    <row r="12" spans="1:34" ht="19.95" customHeight="1" x14ac:dyDescent="0.25">
      <c r="A12" s="238" t="s">
        <v>97</v>
      </c>
      <c r="B12" s="238"/>
      <c r="C12" s="239" t="s">
        <v>499</v>
      </c>
      <c r="D12" s="239"/>
      <c r="E12" s="241"/>
      <c r="F12" s="241"/>
      <c r="G12" s="241"/>
      <c r="H12" s="241"/>
      <c r="I12" s="241"/>
      <c r="J12" s="241"/>
      <c r="K12" s="241"/>
      <c r="L12" s="241"/>
      <c r="M12" s="241"/>
      <c r="N12" s="143">
        <f t="shared" si="0"/>
        <v>0</v>
      </c>
      <c r="O12" s="241"/>
      <c r="P12" s="241"/>
      <c r="Q12" s="241">
        <v>12500</v>
      </c>
      <c r="R12" s="241">
        <f t="shared" si="1"/>
        <v>12500</v>
      </c>
    </row>
    <row r="13" spans="1:34" ht="19.95" customHeight="1" x14ac:dyDescent="0.25">
      <c r="A13" s="238" t="s">
        <v>362</v>
      </c>
      <c r="B13" s="238"/>
      <c r="C13" s="239" t="s">
        <v>499</v>
      </c>
      <c r="D13" s="239" t="s">
        <v>95</v>
      </c>
      <c r="E13" s="241">
        <v>19369.689999999999</v>
      </c>
      <c r="F13" s="241"/>
      <c r="G13" s="241"/>
      <c r="H13" s="241">
        <v>294.92</v>
      </c>
      <c r="I13" s="241">
        <v>1052.2</v>
      </c>
      <c r="J13" s="241"/>
      <c r="K13" s="241"/>
      <c r="L13" s="241"/>
      <c r="M13" s="241"/>
      <c r="N13" s="143">
        <f t="shared" si="0"/>
        <v>1347.1200000000001</v>
      </c>
      <c r="O13" s="241">
        <v>2402.66</v>
      </c>
      <c r="P13" s="241">
        <v>2500</v>
      </c>
      <c r="Q13" s="241">
        <v>18750</v>
      </c>
      <c r="R13" s="241">
        <f t="shared" si="1"/>
        <v>44369.47</v>
      </c>
    </row>
    <row r="14" spans="1:34" ht="19.95" customHeight="1" x14ac:dyDescent="0.25">
      <c r="A14" s="238" t="s">
        <v>99</v>
      </c>
      <c r="B14" s="238"/>
      <c r="C14" s="239" t="s">
        <v>499</v>
      </c>
      <c r="D14" s="239" t="s">
        <v>95</v>
      </c>
      <c r="E14" s="241">
        <v>9639.3799999999992</v>
      </c>
      <c r="F14" s="241"/>
      <c r="G14" s="241"/>
      <c r="H14" s="241"/>
      <c r="I14" s="241"/>
      <c r="J14" s="241"/>
      <c r="K14" s="241"/>
      <c r="L14" s="241"/>
      <c r="M14" s="241"/>
      <c r="N14" s="143">
        <f t="shared" si="0"/>
        <v>0</v>
      </c>
      <c r="O14" s="241"/>
      <c r="P14" s="241"/>
      <c r="Q14" s="241"/>
      <c r="R14" s="241">
        <f t="shared" si="1"/>
        <v>9639.3799999999992</v>
      </c>
    </row>
    <row r="15" spans="1:34" ht="19.95" customHeight="1" x14ac:dyDescent="0.25">
      <c r="A15" s="238" t="s">
        <v>100</v>
      </c>
      <c r="B15" s="238"/>
      <c r="C15" s="239" t="s">
        <v>499</v>
      </c>
      <c r="D15" s="239"/>
      <c r="E15" s="241"/>
      <c r="F15" s="241"/>
      <c r="G15" s="241"/>
      <c r="H15" s="241"/>
      <c r="I15" s="241"/>
      <c r="J15" s="241"/>
      <c r="K15" s="241"/>
      <c r="L15" s="241"/>
      <c r="M15" s="241"/>
      <c r="N15" s="143">
        <f t="shared" si="0"/>
        <v>0</v>
      </c>
      <c r="O15" s="241"/>
      <c r="P15" s="241"/>
      <c r="Q15" s="241">
        <v>6250</v>
      </c>
      <c r="R15" s="241">
        <f t="shared" si="1"/>
        <v>6250</v>
      </c>
    </row>
    <row r="16" spans="1:34" ht="19.95" customHeight="1" x14ac:dyDescent="0.25">
      <c r="A16" s="238" t="s">
        <v>162</v>
      </c>
      <c r="B16" s="238"/>
      <c r="C16" s="239" t="s">
        <v>499</v>
      </c>
      <c r="D16" s="239"/>
      <c r="E16" s="241"/>
      <c r="F16" s="241"/>
      <c r="G16" s="241"/>
      <c r="H16" s="241"/>
      <c r="I16" s="241"/>
      <c r="J16" s="241"/>
      <c r="K16" s="241"/>
      <c r="L16" s="241">
        <v>23837.05</v>
      </c>
      <c r="M16" s="241"/>
      <c r="N16" s="143">
        <f t="shared" si="0"/>
        <v>23837.05</v>
      </c>
      <c r="O16" s="241">
        <v>480</v>
      </c>
      <c r="P16" s="241"/>
      <c r="Q16" s="241"/>
      <c r="R16" s="241">
        <f t="shared" si="1"/>
        <v>24317.05</v>
      </c>
    </row>
    <row r="17" spans="1:18" ht="19.95" customHeight="1" x14ac:dyDescent="0.25">
      <c r="A17" s="238" t="s">
        <v>460</v>
      </c>
      <c r="B17" s="238"/>
      <c r="C17" s="239" t="s">
        <v>499</v>
      </c>
      <c r="D17" s="239" t="s">
        <v>352</v>
      </c>
      <c r="E17" s="241">
        <v>19460.63</v>
      </c>
      <c r="F17" s="241"/>
      <c r="G17" s="241"/>
      <c r="H17" s="241"/>
      <c r="I17" s="241"/>
      <c r="J17" s="241"/>
      <c r="K17" s="241"/>
      <c r="L17" s="241"/>
      <c r="M17" s="241"/>
      <c r="N17" s="143">
        <f t="shared" si="0"/>
        <v>0</v>
      </c>
      <c r="O17" s="241">
        <v>720</v>
      </c>
      <c r="P17" s="241">
        <v>20000</v>
      </c>
      <c r="Q17" s="241">
        <v>7500</v>
      </c>
      <c r="R17" s="241">
        <f t="shared" si="1"/>
        <v>47680.630000000005</v>
      </c>
    </row>
    <row r="18" spans="1:18" ht="19.95" customHeight="1" x14ac:dyDescent="0.25">
      <c r="A18" s="238" t="s">
        <v>373</v>
      </c>
      <c r="B18" s="238"/>
      <c r="C18" s="239" t="s">
        <v>499</v>
      </c>
      <c r="D18" s="239" t="s">
        <v>103</v>
      </c>
      <c r="E18" s="241">
        <v>26170.59</v>
      </c>
      <c r="F18" s="241">
        <v>48.5</v>
      </c>
      <c r="G18" s="241">
        <v>171.29</v>
      </c>
      <c r="H18" s="241"/>
      <c r="I18" s="241">
        <v>1069</v>
      </c>
      <c r="J18" s="241"/>
      <c r="K18" s="241"/>
      <c r="L18" s="241"/>
      <c r="M18" s="241"/>
      <c r="N18" s="143">
        <f t="shared" si="0"/>
        <v>1240.29</v>
      </c>
      <c r="O18" s="241">
        <v>1200.42</v>
      </c>
      <c r="P18" s="241"/>
      <c r="Q18" s="241"/>
      <c r="R18" s="241">
        <f t="shared" si="1"/>
        <v>28659.800000000003</v>
      </c>
    </row>
    <row r="19" spans="1:18" ht="19.95" customHeight="1" x14ac:dyDescent="0.25">
      <c r="A19" s="238" t="s">
        <v>104</v>
      </c>
      <c r="B19" s="238"/>
      <c r="C19" s="239" t="s">
        <v>499</v>
      </c>
      <c r="D19" s="244" t="s">
        <v>105</v>
      </c>
      <c r="E19" s="241">
        <v>3706.75</v>
      </c>
      <c r="F19" s="241"/>
      <c r="G19" s="241"/>
      <c r="H19" s="241"/>
      <c r="I19" s="241"/>
      <c r="J19" s="241"/>
      <c r="K19" s="241"/>
      <c r="L19" s="241"/>
      <c r="M19" s="241"/>
      <c r="N19" s="143">
        <f t="shared" si="0"/>
        <v>0</v>
      </c>
      <c r="O19" s="241"/>
      <c r="P19" s="241"/>
      <c r="Q19" s="241"/>
      <c r="R19" s="241">
        <f t="shared" si="1"/>
        <v>3706.75</v>
      </c>
    </row>
    <row r="20" spans="1:18" ht="19.95" customHeight="1" x14ac:dyDescent="0.25">
      <c r="A20" s="238" t="s">
        <v>474</v>
      </c>
      <c r="B20" s="238"/>
      <c r="C20" s="239" t="s">
        <v>499</v>
      </c>
      <c r="D20" s="239" t="s">
        <v>91</v>
      </c>
      <c r="E20" s="241"/>
      <c r="F20" s="241"/>
      <c r="G20" s="241"/>
      <c r="H20" s="241"/>
      <c r="I20" s="241"/>
      <c r="J20" s="241"/>
      <c r="K20" s="241"/>
      <c r="L20" s="241"/>
      <c r="M20" s="241"/>
      <c r="N20" s="143">
        <f t="shared" si="0"/>
        <v>0</v>
      </c>
      <c r="O20" s="241"/>
      <c r="P20" s="241">
        <v>2500</v>
      </c>
      <c r="Q20" s="241">
        <v>12500</v>
      </c>
      <c r="R20" s="241">
        <f t="shared" si="1"/>
        <v>15000</v>
      </c>
    </row>
    <row r="21" spans="1:18" ht="19.95" customHeight="1" x14ac:dyDescent="0.25">
      <c r="A21" s="243" t="s">
        <v>170</v>
      </c>
      <c r="B21" s="238"/>
      <c r="C21" s="239" t="s">
        <v>499</v>
      </c>
      <c r="D21" s="244" t="s">
        <v>95</v>
      </c>
      <c r="E21" s="241">
        <v>23825.63</v>
      </c>
      <c r="F21" s="241"/>
      <c r="G21" s="241"/>
      <c r="H21" s="241"/>
      <c r="I21" s="241"/>
      <c r="J21" s="241"/>
      <c r="K21" s="241"/>
      <c r="L21" s="241"/>
      <c r="M21" s="241"/>
      <c r="N21" s="143">
        <f t="shared" si="0"/>
        <v>0</v>
      </c>
      <c r="O21" s="241"/>
      <c r="P21" s="241"/>
      <c r="Q21" s="241"/>
      <c r="R21" s="241">
        <f t="shared" si="1"/>
        <v>23825.63</v>
      </c>
    </row>
    <row r="22" spans="1:18" ht="19.95" customHeight="1" x14ac:dyDescent="0.25">
      <c r="A22" s="238" t="s">
        <v>479</v>
      </c>
      <c r="B22" s="238"/>
      <c r="C22" s="239" t="s">
        <v>499</v>
      </c>
      <c r="D22" s="240"/>
      <c r="E22" s="241"/>
      <c r="F22" s="241"/>
      <c r="G22" s="241"/>
      <c r="H22" s="241"/>
      <c r="I22" s="241"/>
      <c r="J22" s="241"/>
      <c r="K22" s="241"/>
      <c r="L22" s="241"/>
      <c r="M22" s="241"/>
      <c r="N22" s="143">
        <f t="shared" si="0"/>
        <v>0</v>
      </c>
      <c r="O22" s="241"/>
      <c r="P22" s="241"/>
      <c r="Q22" s="241">
        <v>15000</v>
      </c>
      <c r="R22" s="241">
        <f t="shared" si="1"/>
        <v>15000</v>
      </c>
    </row>
    <row r="23" spans="1:18" ht="19.95" customHeight="1" x14ac:dyDescent="0.25">
      <c r="A23" s="238" t="s">
        <v>108</v>
      </c>
      <c r="B23" s="238"/>
      <c r="C23" s="239" t="s">
        <v>499</v>
      </c>
      <c r="D23" s="240"/>
      <c r="E23" s="241"/>
      <c r="F23" s="241"/>
      <c r="G23" s="241"/>
      <c r="H23" s="241"/>
      <c r="I23" s="241"/>
      <c r="J23" s="241"/>
      <c r="K23" s="241"/>
      <c r="L23" s="241">
        <v>36507.67</v>
      </c>
      <c r="M23" s="241"/>
      <c r="N23" s="143">
        <f t="shared" si="0"/>
        <v>36507.67</v>
      </c>
      <c r="O23" s="241">
        <v>415.5</v>
      </c>
      <c r="P23" s="241"/>
      <c r="Q23" s="241"/>
      <c r="R23" s="241">
        <f t="shared" si="1"/>
        <v>36923.17</v>
      </c>
    </row>
    <row r="24" spans="1:18" ht="19.95" customHeight="1" x14ac:dyDescent="0.25">
      <c r="A24" s="238" t="s">
        <v>487</v>
      </c>
      <c r="B24" s="238"/>
      <c r="C24" s="239" t="s">
        <v>499</v>
      </c>
      <c r="D24" s="239" t="s">
        <v>112</v>
      </c>
      <c r="E24" s="241">
        <v>3213.13</v>
      </c>
      <c r="F24" s="241">
        <v>776</v>
      </c>
      <c r="G24" s="241"/>
      <c r="H24" s="241"/>
      <c r="I24" s="241"/>
      <c r="J24" s="241"/>
      <c r="K24" s="241"/>
      <c r="L24" s="241"/>
      <c r="M24" s="241"/>
      <c r="N24" s="143">
        <f t="shared" si="0"/>
        <v>0</v>
      </c>
      <c r="O24" s="241">
        <v>460</v>
      </c>
      <c r="P24" s="241"/>
      <c r="Q24" s="241">
        <v>7500</v>
      </c>
      <c r="R24" s="241">
        <f t="shared" si="1"/>
        <v>11949.130000000001</v>
      </c>
    </row>
    <row r="25" spans="1:18" ht="19.95" customHeight="1" x14ac:dyDescent="0.25">
      <c r="A25" s="238" t="s">
        <v>463</v>
      </c>
      <c r="B25" s="238"/>
      <c r="C25" s="239" t="s">
        <v>499</v>
      </c>
      <c r="D25" s="239" t="s">
        <v>93</v>
      </c>
      <c r="E25" s="241">
        <v>970</v>
      </c>
      <c r="F25" s="241"/>
      <c r="G25" s="241"/>
      <c r="H25" s="241"/>
      <c r="I25" s="241"/>
      <c r="J25" s="241"/>
      <c r="K25" s="241"/>
      <c r="L25" s="241"/>
      <c r="M25" s="241"/>
      <c r="N25" s="143">
        <f t="shared" si="0"/>
        <v>0</v>
      </c>
      <c r="O25" s="241"/>
      <c r="P25" s="241"/>
      <c r="Q25" s="241"/>
      <c r="R25" s="241">
        <f t="shared" si="1"/>
        <v>970</v>
      </c>
    </row>
    <row r="26" spans="1:18" ht="19.95" customHeight="1" x14ac:dyDescent="0.25">
      <c r="A26" s="238" t="s">
        <v>459</v>
      </c>
      <c r="B26" s="238"/>
      <c r="C26" s="239" t="s">
        <v>499</v>
      </c>
      <c r="D26" s="239" t="s">
        <v>103</v>
      </c>
      <c r="E26" s="241">
        <v>4850</v>
      </c>
      <c r="F26" s="241">
        <v>97</v>
      </c>
      <c r="G26" s="241"/>
      <c r="H26" s="241"/>
      <c r="I26" s="241"/>
      <c r="J26" s="241"/>
      <c r="K26" s="241"/>
      <c r="L26" s="241"/>
      <c r="M26" s="241"/>
      <c r="N26" s="143">
        <f t="shared" si="0"/>
        <v>0</v>
      </c>
      <c r="O26" s="241">
        <v>2848.65</v>
      </c>
      <c r="P26" s="241"/>
      <c r="Q26" s="241"/>
      <c r="R26" s="241">
        <f t="shared" si="1"/>
        <v>7795.65</v>
      </c>
    </row>
    <row r="27" spans="1:18" ht="19.95" customHeight="1" x14ac:dyDescent="0.25">
      <c r="A27" s="238" t="s">
        <v>458</v>
      </c>
      <c r="B27" s="238"/>
      <c r="C27" s="239" t="s">
        <v>499</v>
      </c>
      <c r="D27" s="240"/>
      <c r="E27" s="241"/>
      <c r="F27" s="241"/>
      <c r="G27" s="241"/>
      <c r="H27" s="241"/>
      <c r="I27" s="241"/>
      <c r="J27" s="241"/>
      <c r="K27" s="241"/>
      <c r="L27" s="241"/>
      <c r="M27" s="241"/>
      <c r="N27" s="143">
        <f t="shared" si="0"/>
        <v>0</v>
      </c>
      <c r="O27" s="241"/>
      <c r="P27" s="241">
        <v>25000</v>
      </c>
      <c r="Q27" s="241"/>
      <c r="R27" s="241">
        <f t="shared" si="1"/>
        <v>25000</v>
      </c>
    </row>
    <row r="28" spans="1:18" ht="19.95" customHeight="1" x14ac:dyDescent="0.25">
      <c r="A28" s="238" t="s">
        <v>357</v>
      </c>
      <c r="B28" s="238"/>
      <c r="C28" s="239" t="s">
        <v>499</v>
      </c>
      <c r="D28" s="239" t="s">
        <v>352</v>
      </c>
      <c r="E28" s="241">
        <v>10548.76</v>
      </c>
      <c r="F28" s="241"/>
      <c r="G28" s="241"/>
      <c r="H28" s="241"/>
      <c r="I28" s="241"/>
      <c r="J28" s="241"/>
      <c r="K28" s="241"/>
      <c r="L28" s="241"/>
      <c r="M28" s="241"/>
      <c r="N28" s="143">
        <f t="shared" si="0"/>
        <v>0</v>
      </c>
      <c r="O28" s="241">
        <v>594</v>
      </c>
      <c r="P28" s="241">
        <v>22500</v>
      </c>
      <c r="Q28" s="241">
        <v>19166.669999999998</v>
      </c>
      <c r="R28" s="241">
        <f t="shared" si="1"/>
        <v>52809.43</v>
      </c>
    </row>
    <row r="29" spans="1:18" ht="19.95" customHeight="1" x14ac:dyDescent="0.25">
      <c r="A29" s="238" t="s">
        <v>177</v>
      </c>
      <c r="B29" s="238"/>
      <c r="C29" s="239" t="s">
        <v>499</v>
      </c>
      <c r="D29" s="239" t="s">
        <v>93</v>
      </c>
      <c r="E29" s="241">
        <v>1261</v>
      </c>
      <c r="F29" s="241"/>
      <c r="G29" s="241"/>
      <c r="H29" s="241"/>
      <c r="I29" s="241"/>
      <c r="J29" s="241"/>
      <c r="K29" s="241"/>
      <c r="L29" s="241"/>
      <c r="M29" s="241"/>
      <c r="N29" s="143">
        <f t="shared" si="0"/>
        <v>0</v>
      </c>
      <c r="O29" s="241">
        <v>1501.04</v>
      </c>
      <c r="P29" s="241">
        <v>5000</v>
      </c>
      <c r="Q29" s="241"/>
      <c r="R29" s="241">
        <f t="shared" si="1"/>
        <v>7762.04</v>
      </c>
    </row>
    <row r="30" spans="1:18" ht="19.95" customHeight="1" x14ac:dyDescent="0.25">
      <c r="A30" s="238" t="s">
        <v>179</v>
      </c>
      <c r="B30" s="238"/>
      <c r="C30" s="239" t="s">
        <v>499</v>
      </c>
      <c r="D30" s="239"/>
      <c r="E30" s="241"/>
      <c r="F30" s="241"/>
      <c r="G30" s="241"/>
      <c r="H30" s="241"/>
      <c r="I30" s="241"/>
      <c r="J30" s="241"/>
      <c r="K30" s="241"/>
      <c r="L30" s="241">
        <v>33325.730000000003</v>
      </c>
      <c r="M30" s="241"/>
      <c r="N30" s="143">
        <f t="shared" si="0"/>
        <v>33325.730000000003</v>
      </c>
      <c r="O30" s="241">
        <v>279</v>
      </c>
      <c r="P30" s="241">
        <v>2500</v>
      </c>
      <c r="Q30" s="241"/>
      <c r="R30" s="241">
        <f t="shared" si="1"/>
        <v>36104.730000000003</v>
      </c>
    </row>
    <row r="31" spans="1:18" ht="19.95" customHeight="1" x14ac:dyDescent="0.25">
      <c r="A31" s="238" t="s">
        <v>356</v>
      </c>
      <c r="B31" s="238"/>
      <c r="C31" s="239" t="s">
        <v>499</v>
      </c>
      <c r="D31" s="239" t="s">
        <v>112</v>
      </c>
      <c r="E31" s="241">
        <v>3576.88</v>
      </c>
      <c r="F31" s="241">
        <v>339.5</v>
      </c>
      <c r="G31" s="241"/>
      <c r="H31" s="241"/>
      <c r="I31" s="241"/>
      <c r="J31" s="241"/>
      <c r="K31" s="241"/>
      <c r="L31" s="241"/>
      <c r="M31" s="241"/>
      <c r="N31" s="143">
        <f t="shared" si="0"/>
        <v>0</v>
      </c>
      <c r="O31" s="241">
        <v>520</v>
      </c>
      <c r="P31" s="241"/>
      <c r="Q31" s="241"/>
      <c r="R31" s="241">
        <f t="shared" si="1"/>
        <v>4436.38</v>
      </c>
    </row>
    <row r="32" spans="1:18" ht="19.95" customHeight="1" x14ac:dyDescent="0.25">
      <c r="A32" s="238" t="s">
        <v>374</v>
      </c>
      <c r="B32" s="238"/>
      <c r="C32" s="239" t="s">
        <v>499</v>
      </c>
      <c r="D32" s="239"/>
      <c r="E32" s="241"/>
      <c r="F32" s="241"/>
      <c r="G32" s="241"/>
      <c r="H32" s="241"/>
      <c r="I32" s="241"/>
      <c r="J32" s="241"/>
      <c r="K32" s="241"/>
      <c r="L32" s="241"/>
      <c r="M32" s="241"/>
      <c r="N32" s="143">
        <f t="shared" si="0"/>
        <v>0</v>
      </c>
      <c r="O32" s="241"/>
      <c r="P32" s="241"/>
      <c r="Q32" s="241">
        <v>6250</v>
      </c>
      <c r="R32" s="241">
        <f t="shared" si="1"/>
        <v>6250</v>
      </c>
    </row>
    <row r="33" spans="1:18" ht="19.95" customHeight="1" x14ac:dyDescent="0.25">
      <c r="A33" s="238" t="s">
        <v>475</v>
      </c>
      <c r="B33" s="238"/>
      <c r="C33" s="239" t="s">
        <v>499</v>
      </c>
      <c r="D33" s="239"/>
      <c r="E33" s="241"/>
      <c r="F33" s="241"/>
      <c r="G33" s="241"/>
      <c r="H33" s="241"/>
      <c r="I33" s="241"/>
      <c r="J33" s="241"/>
      <c r="K33" s="241"/>
      <c r="L33" s="241"/>
      <c r="M33" s="241"/>
      <c r="N33" s="143">
        <f t="shared" si="0"/>
        <v>0</v>
      </c>
      <c r="O33" s="241"/>
      <c r="P33" s="241"/>
      <c r="Q33" s="241">
        <v>15000</v>
      </c>
      <c r="R33" s="241">
        <f t="shared" si="1"/>
        <v>15000</v>
      </c>
    </row>
    <row r="34" spans="1:18" ht="19.95" customHeight="1" x14ac:dyDescent="0.25">
      <c r="A34" s="238" t="s">
        <v>388</v>
      </c>
      <c r="B34" s="238"/>
      <c r="C34" s="239" t="s">
        <v>499</v>
      </c>
      <c r="D34" s="239"/>
      <c r="E34" s="241"/>
      <c r="F34" s="241"/>
      <c r="G34" s="241"/>
      <c r="H34" s="241"/>
      <c r="I34" s="241"/>
      <c r="J34" s="241"/>
      <c r="K34" s="241"/>
      <c r="L34" s="241"/>
      <c r="M34" s="241"/>
      <c r="N34" s="143">
        <f t="shared" si="0"/>
        <v>0</v>
      </c>
      <c r="O34" s="241"/>
      <c r="P34" s="241"/>
      <c r="Q34" s="241"/>
      <c r="R34" s="241">
        <f t="shared" si="1"/>
        <v>0</v>
      </c>
    </row>
    <row r="35" spans="1:18" ht="19.95" customHeight="1" x14ac:dyDescent="0.25">
      <c r="A35" s="238" t="s">
        <v>367</v>
      </c>
      <c r="B35" s="238"/>
      <c r="C35" s="239" t="s">
        <v>499</v>
      </c>
      <c r="D35" s="239"/>
      <c r="E35" s="241"/>
      <c r="F35" s="241"/>
      <c r="G35" s="241"/>
      <c r="H35" s="241"/>
      <c r="I35" s="241"/>
      <c r="J35" s="241"/>
      <c r="K35" s="241"/>
      <c r="L35" s="241"/>
      <c r="M35" s="241"/>
      <c r="N35" s="143">
        <f t="shared" si="0"/>
        <v>0</v>
      </c>
      <c r="O35" s="241"/>
      <c r="P35" s="241"/>
      <c r="Q35" s="241">
        <v>12500</v>
      </c>
      <c r="R35" s="241">
        <f t="shared" si="1"/>
        <v>12500</v>
      </c>
    </row>
    <row r="36" spans="1:18" ht="19.95" customHeight="1" x14ac:dyDescent="0.25">
      <c r="A36" s="238" t="s">
        <v>355</v>
      </c>
      <c r="B36" s="238"/>
      <c r="C36" s="239" t="s">
        <v>499</v>
      </c>
      <c r="D36" s="239"/>
      <c r="E36" s="241"/>
      <c r="F36" s="241"/>
      <c r="G36" s="241"/>
      <c r="H36" s="241"/>
      <c r="I36" s="241"/>
      <c r="J36" s="241"/>
      <c r="K36" s="241"/>
      <c r="L36" s="241"/>
      <c r="M36" s="241"/>
      <c r="N36" s="143">
        <f t="shared" si="0"/>
        <v>0</v>
      </c>
      <c r="O36" s="241">
        <v>600</v>
      </c>
      <c r="P36" s="241">
        <v>5000</v>
      </c>
      <c r="Q36" s="241">
        <v>15000</v>
      </c>
      <c r="R36" s="241">
        <f t="shared" si="1"/>
        <v>20600</v>
      </c>
    </row>
    <row r="37" spans="1:18" ht="19.95" customHeight="1" x14ac:dyDescent="0.25">
      <c r="A37" s="238" t="s">
        <v>375</v>
      </c>
      <c r="B37" s="238"/>
      <c r="C37" s="239" t="s">
        <v>499</v>
      </c>
      <c r="D37" s="239" t="s">
        <v>93</v>
      </c>
      <c r="E37" s="241">
        <v>8245</v>
      </c>
      <c r="F37" s="241"/>
      <c r="G37" s="241"/>
      <c r="H37" s="241"/>
      <c r="I37" s="241"/>
      <c r="J37" s="241"/>
      <c r="K37" s="241"/>
      <c r="L37" s="241"/>
      <c r="M37" s="241"/>
      <c r="N37" s="143">
        <f t="shared" si="0"/>
        <v>0</v>
      </c>
      <c r="O37" s="241"/>
      <c r="P37" s="241"/>
      <c r="Q37" s="241"/>
      <c r="R37" s="241">
        <f t="shared" si="1"/>
        <v>8245</v>
      </c>
    </row>
    <row r="38" spans="1:18" ht="19.95" customHeight="1" x14ac:dyDescent="0.25">
      <c r="A38" s="238" t="s">
        <v>376</v>
      </c>
      <c r="B38" s="238"/>
      <c r="C38" s="239" t="s">
        <v>499</v>
      </c>
      <c r="D38" s="239" t="s">
        <v>112</v>
      </c>
      <c r="E38" s="241">
        <v>9033.1299999999992</v>
      </c>
      <c r="F38" s="241">
        <v>2279.5</v>
      </c>
      <c r="G38" s="241"/>
      <c r="H38" s="241"/>
      <c r="I38" s="241"/>
      <c r="J38" s="241"/>
      <c r="K38" s="241"/>
      <c r="L38" s="241"/>
      <c r="M38" s="241"/>
      <c r="N38" s="143">
        <f t="shared" si="0"/>
        <v>0</v>
      </c>
      <c r="O38" s="241">
        <v>520</v>
      </c>
      <c r="P38" s="241"/>
      <c r="Q38" s="241"/>
      <c r="R38" s="241">
        <f t="shared" si="1"/>
        <v>11832.63</v>
      </c>
    </row>
    <row r="39" spans="1:18" ht="19.95" customHeight="1" x14ac:dyDescent="0.25">
      <c r="A39" s="238" t="s">
        <v>377</v>
      </c>
      <c r="B39" s="238"/>
      <c r="C39" s="239" t="s">
        <v>499</v>
      </c>
      <c r="D39" s="239" t="s">
        <v>91</v>
      </c>
      <c r="E39" s="241">
        <v>17278.13</v>
      </c>
      <c r="F39" s="241"/>
      <c r="G39" s="241"/>
      <c r="H39" s="241"/>
      <c r="I39" s="241"/>
      <c r="J39" s="241"/>
      <c r="K39" s="241"/>
      <c r="L39" s="241"/>
      <c r="M39" s="241"/>
      <c r="N39" s="143">
        <f t="shared" si="0"/>
        <v>0</v>
      </c>
      <c r="O39" s="241"/>
      <c r="P39" s="241"/>
      <c r="Q39" s="241">
        <v>12500</v>
      </c>
      <c r="R39" s="241">
        <f t="shared" si="1"/>
        <v>29778.13</v>
      </c>
    </row>
    <row r="40" spans="1:18" ht="19.95" customHeight="1" x14ac:dyDescent="0.25">
      <c r="A40" s="238" t="s">
        <v>190</v>
      </c>
      <c r="B40" s="238"/>
      <c r="C40" s="239" t="s">
        <v>499</v>
      </c>
      <c r="D40" s="240"/>
      <c r="E40" s="241"/>
      <c r="F40" s="241"/>
      <c r="G40" s="241"/>
      <c r="H40" s="241"/>
      <c r="I40" s="241"/>
      <c r="J40" s="241"/>
      <c r="K40" s="241"/>
      <c r="L40" s="241">
        <v>270</v>
      </c>
      <c r="M40" s="241"/>
      <c r="N40" s="143">
        <f t="shared" si="0"/>
        <v>270</v>
      </c>
      <c r="O40" s="241"/>
      <c r="P40" s="241"/>
      <c r="Q40" s="241"/>
      <c r="R40" s="241">
        <f t="shared" si="1"/>
        <v>270</v>
      </c>
    </row>
    <row r="41" spans="1:18" ht="19.95" customHeight="1" x14ac:dyDescent="0.25">
      <c r="A41" s="243" t="s">
        <v>192</v>
      </c>
      <c r="B41" s="238"/>
      <c r="C41" s="239" t="s">
        <v>499</v>
      </c>
      <c r="D41" s="244" t="s">
        <v>91</v>
      </c>
      <c r="E41" s="241">
        <v>16368.75</v>
      </c>
      <c r="F41" s="241"/>
      <c r="G41" s="241"/>
      <c r="H41" s="241"/>
      <c r="I41" s="241"/>
      <c r="J41" s="241"/>
      <c r="K41" s="241"/>
      <c r="L41" s="241"/>
      <c r="M41" s="241"/>
      <c r="N41" s="143">
        <f t="shared" si="0"/>
        <v>0</v>
      </c>
      <c r="O41" s="241"/>
      <c r="P41" s="241"/>
      <c r="Q41" s="241"/>
      <c r="R41" s="241">
        <f t="shared" si="1"/>
        <v>16368.75</v>
      </c>
    </row>
    <row r="42" spans="1:18" ht="19.95" customHeight="1" x14ac:dyDescent="0.25">
      <c r="A42" s="238" t="s">
        <v>194</v>
      </c>
      <c r="B42" s="238"/>
      <c r="C42" s="239" t="s">
        <v>499</v>
      </c>
      <c r="D42" s="239" t="s">
        <v>91</v>
      </c>
      <c r="E42" s="241">
        <v>17460</v>
      </c>
      <c r="F42" s="241"/>
      <c r="G42" s="241"/>
      <c r="H42" s="241"/>
      <c r="I42" s="241"/>
      <c r="J42" s="241"/>
      <c r="K42" s="241"/>
      <c r="L42" s="241"/>
      <c r="M42" s="241"/>
      <c r="N42" s="143">
        <f t="shared" si="0"/>
        <v>0</v>
      </c>
      <c r="O42" s="241"/>
      <c r="P42" s="241"/>
      <c r="Q42" s="241"/>
      <c r="R42" s="241">
        <f t="shared" si="1"/>
        <v>17460</v>
      </c>
    </row>
    <row r="43" spans="1:18" ht="19.95" customHeight="1" x14ac:dyDescent="0.25">
      <c r="A43" s="243" t="s">
        <v>193</v>
      </c>
      <c r="B43" s="238"/>
      <c r="C43" s="239" t="s">
        <v>499</v>
      </c>
      <c r="D43" s="239" t="s">
        <v>352</v>
      </c>
      <c r="E43" s="245">
        <v>7093.13</v>
      </c>
      <c r="F43" s="241"/>
      <c r="G43" s="241"/>
      <c r="H43" s="241"/>
      <c r="I43" s="241">
        <v>6745.92</v>
      </c>
      <c r="J43" s="241"/>
      <c r="K43" s="241"/>
      <c r="L43" s="241"/>
      <c r="M43" s="241"/>
      <c r="N43" s="143">
        <f t="shared" si="0"/>
        <v>6745.92</v>
      </c>
      <c r="O43" s="241"/>
      <c r="P43" s="245">
        <v>2500</v>
      </c>
      <c r="Q43" s="241">
        <v>6250</v>
      </c>
      <c r="R43" s="241">
        <f t="shared" si="1"/>
        <v>22589.05</v>
      </c>
    </row>
    <row r="44" spans="1:18" ht="19.95" customHeight="1" x14ac:dyDescent="0.25">
      <c r="A44" s="243" t="s">
        <v>476</v>
      </c>
      <c r="B44" s="238"/>
      <c r="C44" s="239" t="s">
        <v>499</v>
      </c>
      <c r="D44" s="244" t="s">
        <v>95</v>
      </c>
      <c r="E44" s="241">
        <v>16550.63</v>
      </c>
      <c r="F44" s="241"/>
      <c r="G44" s="241"/>
      <c r="H44" s="241"/>
      <c r="I44" s="241">
        <v>565.13</v>
      </c>
      <c r="J44" s="241"/>
      <c r="K44" s="241"/>
      <c r="L44" s="241"/>
      <c r="M44" s="241"/>
      <c r="N44" s="143">
        <f t="shared" si="0"/>
        <v>565.13</v>
      </c>
      <c r="O44" s="241">
        <v>4409.32</v>
      </c>
      <c r="P44" s="241"/>
      <c r="Q44" s="241">
        <v>12500</v>
      </c>
      <c r="R44" s="241">
        <f t="shared" si="1"/>
        <v>34025.08</v>
      </c>
    </row>
    <row r="45" spans="1:18" ht="19.95" customHeight="1" x14ac:dyDescent="0.25">
      <c r="A45" s="238" t="s">
        <v>378</v>
      </c>
      <c r="B45" s="238"/>
      <c r="C45" s="239" t="s">
        <v>499</v>
      </c>
      <c r="D45" s="239" t="s">
        <v>95</v>
      </c>
      <c r="E45" s="241">
        <v>4035.2</v>
      </c>
      <c r="F45" s="241"/>
      <c r="G45" s="241"/>
      <c r="H45" s="241"/>
      <c r="I45" s="241"/>
      <c r="J45" s="241"/>
      <c r="K45" s="241"/>
      <c r="L45" s="241"/>
      <c r="M45" s="241"/>
      <c r="N45" s="143">
        <f t="shared" si="0"/>
        <v>0</v>
      </c>
      <c r="O45" s="241"/>
      <c r="P45" s="241"/>
      <c r="Q45" s="241"/>
      <c r="R45" s="241">
        <f t="shared" si="1"/>
        <v>4035.2</v>
      </c>
    </row>
    <row r="46" spans="1:18" ht="19.95" customHeight="1" x14ac:dyDescent="0.25">
      <c r="A46" s="238" t="s">
        <v>387</v>
      </c>
      <c r="B46" s="238"/>
      <c r="C46" s="239" t="s">
        <v>499</v>
      </c>
      <c r="D46" s="239" t="s">
        <v>112</v>
      </c>
      <c r="E46" s="241">
        <v>9457.5</v>
      </c>
      <c r="F46" s="241">
        <v>2822.7</v>
      </c>
      <c r="G46" s="241"/>
      <c r="H46" s="241"/>
      <c r="I46" s="241"/>
      <c r="J46" s="241"/>
      <c r="K46" s="241"/>
      <c r="L46" s="241"/>
      <c r="M46" s="241"/>
      <c r="N46" s="143">
        <f t="shared" si="0"/>
        <v>0</v>
      </c>
      <c r="O46" s="241">
        <v>720</v>
      </c>
      <c r="P46" s="241"/>
      <c r="Q46" s="241"/>
      <c r="R46" s="241">
        <f t="shared" si="1"/>
        <v>13000.2</v>
      </c>
    </row>
    <row r="47" spans="1:18" ht="19.95" customHeight="1" x14ac:dyDescent="0.25">
      <c r="A47" s="238" t="s">
        <v>361</v>
      </c>
      <c r="B47" s="238"/>
      <c r="C47" s="239" t="s">
        <v>499</v>
      </c>
      <c r="D47" s="239" t="s">
        <v>91</v>
      </c>
      <c r="E47" s="241">
        <v>3637.5</v>
      </c>
      <c r="F47" s="241"/>
      <c r="G47" s="241"/>
      <c r="H47" s="241"/>
      <c r="I47" s="241"/>
      <c r="J47" s="241"/>
      <c r="K47" s="241"/>
      <c r="L47" s="241"/>
      <c r="M47" s="241"/>
      <c r="N47" s="143">
        <f t="shared" si="0"/>
        <v>0</v>
      </c>
      <c r="O47" s="241"/>
      <c r="P47" s="241">
        <v>17500</v>
      </c>
      <c r="Q47" s="241">
        <v>2500</v>
      </c>
      <c r="R47" s="241">
        <f t="shared" si="1"/>
        <v>23637.5</v>
      </c>
    </row>
    <row r="48" spans="1:18" ht="19.95" customHeight="1" x14ac:dyDescent="0.25">
      <c r="A48" s="238" t="s">
        <v>360</v>
      </c>
      <c r="B48" s="238"/>
      <c r="C48" s="239" t="s">
        <v>499</v>
      </c>
      <c r="D48" s="239" t="s">
        <v>112</v>
      </c>
      <c r="E48" s="241">
        <v>10791.25</v>
      </c>
      <c r="F48" s="241">
        <v>1670.83</v>
      </c>
      <c r="G48" s="241"/>
      <c r="H48" s="241"/>
      <c r="I48" s="241"/>
      <c r="J48" s="241"/>
      <c r="K48" s="241"/>
      <c r="L48" s="241"/>
      <c r="M48" s="241"/>
      <c r="N48" s="143">
        <f t="shared" si="0"/>
        <v>0</v>
      </c>
      <c r="O48" s="241">
        <v>390</v>
      </c>
      <c r="P48" s="241">
        <v>5000</v>
      </c>
      <c r="Q48" s="241"/>
      <c r="R48" s="241">
        <f t="shared" si="1"/>
        <v>17852.080000000002</v>
      </c>
    </row>
    <row r="49" spans="1:20" ht="19.95" customHeight="1" x14ac:dyDescent="0.25">
      <c r="A49" s="243" t="s">
        <v>215</v>
      </c>
      <c r="B49" s="238"/>
      <c r="C49" s="239" t="s">
        <v>499</v>
      </c>
      <c r="D49" s="240" t="s">
        <v>87</v>
      </c>
      <c r="E49" s="241">
        <v>5917</v>
      </c>
      <c r="F49" s="241">
        <v>48.5</v>
      </c>
      <c r="G49" s="241"/>
      <c r="H49" s="241"/>
      <c r="I49" s="241">
        <v>3451.64</v>
      </c>
      <c r="J49" s="241"/>
      <c r="K49" s="241"/>
      <c r="L49" s="241"/>
      <c r="M49" s="241"/>
      <c r="N49" s="143">
        <f t="shared" si="0"/>
        <v>3451.64</v>
      </c>
      <c r="O49" s="241">
        <v>520</v>
      </c>
      <c r="P49" s="241"/>
      <c r="Q49" s="241"/>
      <c r="R49" s="241">
        <f t="shared" si="1"/>
        <v>9937.14</v>
      </c>
    </row>
    <row r="50" spans="1:20" ht="19.95" customHeight="1" x14ac:dyDescent="0.25">
      <c r="A50" s="238" t="s">
        <v>219</v>
      </c>
      <c r="B50" s="238"/>
      <c r="C50" s="239" t="s">
        <v>499</v>
      </c>
      <c r="D50" s="239"/>
      <c r="E50" s="241"/>
      <c r="F50" s="241"/>
      <c r="G50" s="241"/>
      <c r="H50" s="241"/>
      <c r="I50" s="241"/>
      <c r="J50" s="241"/>
      <c r="K50" s="241"/>
      <c r="L50" s="241">
        <v>2070</v>
      </c>
      <c r="M50" s="241"/>
      <c r="N50" s="143">
        <f t="shared" si="0"/>
        <v>2070</v>
      </c>
      <c r="O50" s="241"/>
      <c r="P50" s="241"/>
      <c r="Q50" s="241"/>
      <c r="R50" s="241">
        <f t="shared" si="1"/>
        <v>2070</v>
      </c>
    </row>
    <row r="51" spans="1:20" ht="19.95" customHeight="1" x14ac:dyDescent="0.25">
      <c r="A51" s="238" t="s">
        <v>379</v>
      </c>
      <c r="B51" s="238"/>
      <c r="C51" s="239" t="s">
        <v>499</v>
      </c>
      <c r="D51" s="239" t="s">
        <v>95</v>
      </c>
      <c r="E51" s="241">
        <v>9457.5</v>
      </c>
      <c r="F51" s="241"/>
      <c r="G51" s="241"/>
      <c r="H51" s="241"/>
      <c r="I51" s="241"/>
      <c r="J51" s="241"/>
      <c r="K51" s="241"/>
      <c r="L51" s="241"/>
      <c r="M51" s="241"/>
      <c r="N51" s="143">
        <f t="shared" si="0"/>
        <v>0</v>
      </c>
      <c r="O51" s="241"/>
      <c r="P51" s="241"/>
      <c r="Q51" s="241"/>
      <c r="R51" s="241">
        <f t="shared" si="1"/>
        <v>9457.5</v>
      </c>
    </row>
    <row r="52" spans="1:20" ht="19.95" customHeight="1" x14ac:dyDescent="0.25">
      <c r="A52" s="238" t="s">
        <v>225</v>
      </c>
      <c r="B52" s="238"/>
      <c r="C52" s="239" t="s">
        <v>499</v>
      </c>
      <c r="D52" s="239"/>
      <c r="E52" s="241"/>
      <c r="F52" s="241"/>
      <c r="G52" s="241"/>
      <c r="H52" s="241"/>
      <c r="I52" s="241"/>
      <c r="J52" s="241"/>
      <c r="K52" s="241"/>
      <c r="L52" s="241"/>
      <c r="M52" s="241"/>
      <c r="N52" s="143">
        <f t="shared" si="0"/>
        <v>0</v>
      </c>
      <c r="O52" s="241"/>
      <c r="P52" s="241">
        <v>2500</v>
      </c>
      <c r="Q52" s="241"/>
      <c r="R52" s="241">
        <f t="shared" si="1"/>
        <v>2500</v>
      </c>
    </row>
    <row r="53" spans="1:20" ht="19.95" customHeight="1" x14ac:dyDescent="0.25">
      <c r="A53" s="238" t="s">
        <v>236</v>
      </c>
      <c r="B53" s="238"/>
      <c r="C53" s="239" t="s">
        <v>499</v>
      </c>
      <c r="D53" s="239"/>
      <c r="E53" s="241"/>
      <c r="F53" s="241"/>
      <c r="G53" s="241"/>
      <c r="H53" s="241"/>
      <c r="I53" s="241"/>
      <c r="J53" s="241"/>
      <c r="K53" s="241"/>
      <c r="L53" s="241">
        <v>30346.82</v>
      </c>
      <c r="M53" s="241"/>
      <c r="N53" s="143">
        <f t="shared" si="0"/>
        <v>30346.82</v>
      </c>
      <c r="O53" s="241">
        <v>240</v>
      </c>
      <c r="P53" s="241"/>
      <c r="Q53" s="241"/>
      <c r="R53" s="241">
        <f t="shared" si="1"/>
        <v>30586.82</v>
      </c>
    </row>
    <row r="54" spans="1:20" ht="19.95" customHeight="1" x14ac:dyDescent="0.25">
      <c r="A54" s="238" t="s">
        <v>380</v>
      </c>
      <c r="B54" s="238"/>
      <c r="C54" s="239" t="s">
        <v>499</v>
      </c>
      <c r="D54" s="239" t="s">
        <v>93</v>
      </c>
      <c r="E54" s="241">
        <v>9506</v>
      </c>
      <c r="F54" s="241"/>
      <c r="G54" s="241"/>
      <c r="H54" s="241"/>
      <c r="I54" s="241">
        <v>1603.63</v>
      </c>
      <c r="J54" s="241"/>
      <c r="K54" s="241"/>
      <c r="L54" s="241"/>
      <c r="M54" s="241"/>
      <c r="N54" s="143">
        <f t="shared" si="0"/>
        <v>1603.63</v>
      </c>
      <c r="O54" s="241">
        <v>1501.21</v>
      </c>
      <c r="P54" s="241"/>
      <c r="Q54" s="241"/>
      <c r="R54" s="241">
        <f t="shared" si="1"/>
        <v>12610.84</v>
      </c>
    </row>
    <row r="55" spans="1:20" ht="19.95" customHeight="1" x14ac:dyDescent="0.25">
      <c r="A55" s="238" t="s">
        <v>381</v>
      </c>
      <c r="B55" s="238"/>
      <c r="C55" s="239" t="s">
        <v>499</v>
      </c>
      <c r="D55" s="239" t="s">
        <v>91</v>
      </c>
      <c r="E55" s="241">
        <v>27645</v>
      </c>
      <c r="F55" s="241"/>
      <c r="G55" s="241"/>
      <c r="H55" s="241"/>
      <c r="I55" s="241">
        <v>1693.84</v>
      </c>
      <c r="J55" s="241"/>
      <c r="K55" s="241"/>
      <c r="L55" s="241"/>
      <c r="M55" s="241"/>
      <c r="N55" s="143">
        <f t="shared" si="0"/>
        <v>1693.84</v>
      </c>
      <c r="O55" s="241">
        <v>963.12</v>
      </c>
      <c r="P55" s="241"/>
      <c r="Q55" s="241"/>
      <c r="R55" s="241">
        <f t="shared" si="1"/>
        <v>30301.96</v>
      </c>
    </row>
    <row r="56" spans="1:20" ht="19.95" customHeight="1" x14ac:dyDescent="0.25">
      <c r="A56" s="238" t="s">
        <v>382</v>
      </c>
      <c r="B56" s="238"/>
      <c r="C56" s="239" t="s">
        <v>499</v>
      </c>
      <c r="D56" s="239" t="s">
        <v>87</v>
      </c>
      <c r="E56" s="241">
        <v>5044</v>
      </c>
      <c r="F56" s="241"/>
      <c r="G56" s="241"/>
      <c r="H56" s="241"/>
      <c r="I56" s="241"/>
      <c r="J56" s="241"/>
      <c r="K56" s="241"/>
      <c r="L56" s="241"/>
      <c r="M56" s="241"/>
      <c r="N56" s="143">
        <f t="shared" si="0"/>
        <v>0</v>
      </c>
      <c r="O56" s="241">
        <v>520</v>
      </c>
      <c r="P56" s="241"/>
      <c r="Q56" s="241"/>
      <c r="R56" s="241">
        <f t="shared" si="1"/>
        <v>5564</v>
      </c>
    </row>
    <row r="57" spans="1:20" ht="19.95" customHeight="1" x14ac:dyDescent="0.25">
      <c r="A57" s="238" t="s">
        <v>383</v>
      </c>
      <c r="B57" s="238"/>
      <c r="C57" s="239" t="s">
        <v>499</v>
      </c>
      <c r="D57" s="239"/>
      <c r="E57" s="241"/>
      <c r="F57" s="241"/>
      <c r="G57" s="241"/>
      <c r="H57" s="241"/>
      <c r="I57" s="241"/>
      <c r="J57" s="241"/>
      <c r="K57" s="241"/>
      <c r="L57" s="241"/>
      <c r="M57" s="241"/>
      <c r="N57" s="143">
        <f t="shared" si="0"/>
        <v>0</v>
      </c>
      <c r="O57" s="241"/>
      <c r="P57" s="241"/>
      <c r="Q57" s="241">
        <v>6250</v>
      </c>
      <c r="R57" s="241">
        <f t="shared" si="1"/>
        <v>6250</v>
      </c>
    </row>
    <row r="58" spans="1:20" ht="19.95" customHeight="1" x14ac:dyDescent="0.25">
      <c r="A58" s="238" t="s">
        <v>497</v>
      </c>
      <c r="B58" s="238"/>
      <c r="C58" s="239" t="s">
        <v>499</v>
      </c>
      <c r="D58" s="239"/>
      <c r="E58" s="241"/>
      <c r="F58" s="241"/>
      <c r="G58" s="241"/>
      <c r="H58" s="241"/>
      <c r="I58" s="241"/>
      <c r="J58" s="241"/>
      <c r="K58" s="241"/>
      <c r="L58" s="241">
        <v>6760</v>
      </c>
      <c r="M58" s="241"/>
      <c r="N58" s="143">
        <f t="shared" si="0"/>
        <v>6760</v>
      </c>
      <c r="O58" s="241">
        <v>180</v>
      </c>
      <c r="P58" s="241"/>
      <c r="Q58" s="241"/>
      <c r="R58" s="241">
        <f t="shared" si="1"/>
        <v>6940</v>
      </c>
    </row>
    <row r="59" spans="1:20" ht="19.95" customHeight="1" x14ac:dyDescent="0.25">
      <c r="A59" s="238" t="s">
        <v>384</v>
      </c>
      <c r="B59" s="238"/>
      <c r="C59" s="239" t="s">
        <v>499</v>
      </c>
      <c r="D59" s="239" t="s">
        <v>87</v>
      </c>
      <c r="E59" s="241">
        <v>3278.59</v>
      </c>
      <c r="F59" s="241"/>
      <c r="G59" s="241"/>
      <c r="H59" s="241"/>
      <c r="I59" s="241"/>
      <c r="J59" s="241"/>
      <c r="K59" s="241"/>
      <c r="L59" s="241"/>
      <c r="M59" s="241"/>
      <c r="N59" s="143">
        <f t="shared" si="0"/>
        <v>0</v>
      </c>
      <c r="O59" s="241"/>
      <c r="P59" s="241"/>
      <c r="Q59" s="241"/>
      <c r="R59" s="241">
        <f t="shared" si="1"/>
        <v>3278.59</v>
      </c>
    </row>
    <row r="60" spans="1:20" ht="19.95" customHeight="1" x14ac:dyDescent="0.25">
      <c r="A60" s="238" t="s">
        <v>385</v>
      </c>
      <c r="B60" s="238"/>
      <c r="C60" s="239" t="s">
        <v>499</v>
      </c>
      <c r="D60" s="239" t="s">
        <v>93</v>
      </c>
      <c r="E60" s="241">
        <v>10476</v>
      </c>
      <c r="F60" s="241"/>
      <c r="G60" s="241"/>
      <c r="H60" s="241"/>
      <c r="I60" s="241"/>
      <c r="J60" s="241">
        <v>520.21</v>
      </c>
      <c r="K60" s="241"/>
      <c r="L60" s="241"/>
      <c r="M60" s="241"/>
      <c r="N60" s="143">
        <f t="shared" si="0"/>
        <v>520.21</v>
      </c>
      <c r="O60" s="241"/>
      <c r="P60" s="241"/>
      <c r="Q60" s="241"/>
      <c r="R60" s="241">
        <f t="shared" si="1"/>
        <v>10996.21</v>
      </c>
    </row>
    <row r="61" spans="1:20" s="250" customFormat="1" ht="19.95" customHeight="1" x14ac:dyDescent="0.25">
      <c r="A61" s="246" t="s">
        <v>85</v>
      </c>
      <c r="B61" s="237"/>
      <c r="C61" s="247"/>
      <c r="D61" s="247"/>
      <c r="E61" s="248">
        <f t="shared" ref="E61" si="2">SUM(E3:E60)</f>
        <v>480559.28000000009</v>
      </c>
      <c r="F61" s="248">
        <f t="shared" ref="F61:M61" si="3">SUM(F3:F60)</f>
        <v>9101.0299999999988</v>
      </c>
      <c r="G61" s="248">
        <f t="shared" si="3"/>
        <v>19378.5</v>
      </c>
      <c r="H61" s="248">
        <f t="shared" si="3"/>
        <v>294.92</v>
      </c>
      <c r="I61" s="248">
        <f t="shared" si="3"/>
        <v>19745.940000000002</v>
      </c>
      <c r="J61" s="248">
        <f t="shared" si="3"/>
        <v>992</v>
      </c>
      <c r="K61" s="248">
        <f t="shared" si="3"/>
        <v>0</v>
      </c>
      <c r="L61" s="248">
        <f t="shared" si="3"/>
        <v>177310.49000000002</v>
      </c>
      <c r="M61" s="248">
        <f t="shared" si="3"/>
        <v>0</v>
      </c>
      <c r="N61" s="226">
        <f t="shared" si="0"/>
        <v>217721.85000000003</v>
      </c>
      <c r="O61" s="248">
        <f>SUM(O3:O60)</f>
        <v>67373.799999999988</v>
      </c>
      <c r="P61" s="248">
        <f>SUM(P3:P60)</f>
        <v>137500</v>
      </c>
      <c r="Q61" s="248">
        <f>SUM(Q3:Q60)</f>
        <v>200416.66999999998</v>
      </c>
      <c r="R61" s="249">
        <f t="shared" si="1"/>
        <v>1112672.6300000001</v>
      </c>
      <c r="T61" s="251"/>
    </row>
    <row r="62" spans="1:20" s="253" customFormat="1" ht="24" customHeight="1" x14ac:dyDescent="0.25">
      <c r="A62" s="252" t="s">
        <v>533</v>
      </c>
      <c r="B62" s="243"/>
      <c r="C62" s="239" t="s">
        <v>500</v>
      </c>
      <c r="D62" s="239"/>
      <c r="E62" s="241"/>
      <c r="F62" s="241"/>
      <c r="G62" s="241"/>
      <c r="H62" s="241"/>
      <c r="I62" s="241"/>
      <c r="J62" s="241"/>
      <c r="K62" s="241"/>
      <c r="L62" s="241"/>
      <c r="M62" s="241"/>
      <c r="N62" s="143">
        <f t="shared" si="0"/>
        <v>0</v>
      </c>
      <c r="O62" s="241">
        <v>260</v>
      </c>
      <c r="P62" s="241"/>
      <c r="Q62" s="241"/>
      <c r="R62" s="241">
        <f t="shared" si="1"/>
        <v>260</v>
      </c>
    </row>
    <row r="63" spans="1:20" ht="24" customHeight="1" x14ac:dyDescent="0.25">
      <c r="A63" s="254" t="s">
        <v>363</v>
      </c>
      <c r="B63" s="238"/>
      <c r="C63" s="239" t="s">
        <v>500</v>
      </c>
      <c r="D63" s="244"/>
      <c r="E63" s="255"/>
      <c r="F63" s="255"/>
      <c r="G63" s="255"/>
      <c r="H63" s="255"/>
      <c r="I63" s="255"/>
      <c r="J63" s="255"/>
      <c r="K63" s="255"/>
      <c r="L63" s="255"/>
      <c r="M63" s="255"/>
      <c r="N63" s="143">
        <f t="shared" si="0"/>
        <v>0</v>
      </c>
      <c r="O63" s="255"/>
      <c r="P63" s="256"/>
      <c r="Q63" s="255"/>
      <c r="R63" s="241">
        <f t="shared" si="1"/>
        <v>0</v>
      </c>
    </row>
    <row r="64" spans="1:20" ht="19.95" customHeight="1" x14ac:dyDescent="0.25">
      <c r="A64" s="243" t="s">
        <v>143</v>
      </c>
      <c r="B64" s="238"/>
      <c r="C64" s="239" t="s">
        <v>500</v>
      </c>
      <c r="D64" s="244"/>
      <c r="E64" s="256"/>
      <c r="F64" s="256"/>
      <c r="G64" s="256"/>
      <c r="H64" s="256"/>
      <c r="I64" s="256"/>
      <c r="J64" s="256"/>
      <c r="K64" s="256"/>
      <c r="L64" s="256"/>
      <c r="M64" s="256"/>
      <c r="N64" s="143">
        <f t="shared" si="0"/>
        <v>0</v>
      </c>
      <c r="O64" s="256"/>
      <c r="P64" s="256"/>
      <c r="Q64" s="256">
        <v>15000</v>
      </c>
      <c r="R64" s="241">
        <f t="shared" si="1"/>
        <v>15000</v>
      </c>
    </row>
    <row r="65" spans="1:18" ht="19.95" customHeight="1" x14ac:dyDescent="0.25">
      <c r="A65" s="238" t="s">
        <v>144</v>
      </c>
      <c r="B65" s="238"/>
      <c r="C65" s="239" t="s">
        <v>500</v>
      </c>
      <c r="D65" s="239" t="s">
        <v>112</v>
      </c>
      <c r="E65" s="256">
        <v>9457.5</v>
      </c>
      <c r="F65" s="256">
        <v>252.2</v>
      </c>
      <c r="G65" s="256"/>
      <c r="H65" s="256"/>
      <c r="I65" s="256"/>
      <c r="J65" s="256"/>
      <c r="K65" s="256"/>
      <c r="L65" s="256"/>
      <c r="M65" s="256"/>
      <c r="N65" s="143">
        <f t="shared" si="0"/>
        <v>0</v>
      </c>
      <c r="O65" s="256">
        <v>520</v>
      </c>
      <c r="P65" s="256"/>
      <c r="Q65" s="256"/>
      <c r="R65" s="241">
        <f t="shared" si="1"/>
        <v>10229.700000000001</v>
      </c>
    </row>
    <row r="66" spans="1:18" ht="19.95" customHeight="1" x14ac:dyDescent="0.25">
      <c r="A66" s="238" t="s">
        <v>145</v>
      </c>
      <c r="B66" s="238"/>
      <c r="C66" s="239" t="s">
        <v>500</v>
      </c>
      <c r="D66" s="239" t="s">
        <v>103</v>
      </c>
      <c r="E66" s="256">
        <v>4995.5</v>
      </c>
      <c r="F66" s="256"/>
      <c r="G66" s="256"/>
      <c r="H66" s="256">
        <v>926.03</v>
      </c>
      <c r="I66" s="256"/>
      <c r="J66" s="256"/>
      <c r="K66" s="256"/>
      <c r="L66" s="256"/>
      <c r="M66" s="256"/>
      <c r="N66" s="143">
        <f t="shared" si="0"/>
        <v>926.03</v>
      </c>
      <c r="O66" s="256"/>
      <c r="P66" s="256"/>
      <c r="Q66" s="256"/>
      <c r="R66" s="241">
        <f t="shared" si="1"/>
        <v>5921.53</v>
      </c>
    </row>
    <row r="67" spans="1:18" ht="19.95" customHeight="1" x14ac:dyDescent="0.25">
      <c r="A67" s="238" t="s">
        <v>465</v>
      </c>
      <c r="B67" s="238"/>
      <c r="C67" s="239" t="s">
        <v>500</v>
      </c>
      <c r="D67" s="239"/>
      <c r="E67" s="256"/>
      <c r="F67" s="256"/>
      <c r="G67" s="256"/>
      <c r="H67" s="256">
        <v>111.9</v>
      </c>
      <c r="I67" s="256"/>
      <c r="J67" s="256"/>
      <c r="K67" s="256"/>
      <c r="L67" s="256"/>
      <c r="M67" s="256"/>
      <c r="N67" s="143">
        <f t="shared" si="0"/>
        <v>111.9</v>
      </c>
      <c r="O67" s="256"/>
      <c r="P67" s="256"/>
      <c r="Q67" s="256"/>
      <c r="R67" s="241">
        <f t="shared" si="1"/>
        <v>111.9</v>
      </c>
    </row>
    <row r="68" spans="1:18" ht="19.95" customHeight="1" x14ac:dyDescent="0.25">
      <c r="A68" s="254" t="s">
        <v>452</v>
      </c>
      <c r="B68" s="238"/>
      <c r="C68" s="239" t="s">
        <v>500</v>
      </c>
      <c r="D68" s="244"/>
      <c r="E68" s="255"/>
      <c r="F68" s="255"/>
      <c r="G68" s="255"/>
      <c r="H68" s="255"/>
      <c r="I68" s="255"/>
      <c r="J68" s="255"/>
      <c r="K68" s="255"/>
      <c r="L68" s="255"/>
      <c r="M68" s="255"/>
      <c r="N68" s="143">
        <f t="shared" si="0"/>
        <v>0</v>
      </c>
      <c r="O68" s="255"/>
      <c r="P68" s="256"/>
      <c r="Q68" s="255"/>
      <c r="R68" s="241">
        <f t="shared" ref="R68:R131" si="4">E68+F68+N68+O68+P68+Q68</f>
        <v>0</v>
      </c>
    </row>
    <row r="69" spans="1:18" ht="19.95" customHeight="1" x14ac:dyDescent="0.25">
      <c r="A69" s="243" t="s">
        <v>147</v>
      </c>
      <c r="B69" s="238"/>
      <c r="C69" s="239" t="s">
        <v>500</v>
      </c>
      <c r="D69" s="244" t="s">
        <v>87</v>
      </c>
      <c r="E69" s="256">
        <v>7229.7</v>
      </c>
      <c r="F69" s="256"/>
      <c r="G69" s="256"/>
      <c r="H69" s="256"/>
      <c r="I69" s="256"/>
      <c r="J69" s="256"/>
      <c r="K69" s="256"/>
      <c r="L69" s="256"/>
      <c r="M69" s="256"/>
      <c r="N69" s="143">
        <f t="shared" si="0"/>
        <v>0</v>
      </c>
      <c r="O69" s="256"/>
      <c r="P69" s="256"/>
      <c r="Q69" s="256"/>
      <c r="R69" s="241">
        <f t="shared" si="4"/>
        <v>7229.7</v>
      </c>
    </row>
    <row r="70" spans="1:18" ht="19.95" customHeight="1" x14ac:dyDescent="0.25">
      <c r="A70" s="238" t="s">
        <v>149</v>
      </c>
      <c r="B70" s="238"/>
      <c r="C70" s="239" t="s">
        <v>500</v>
      </c>
      <c r="D70" s="244" t="s">
        <v>93</v>
      </c>
      <c r="E70" s="256">
        <v>6693</v>
      </c>
      <c r="F70" s="256"/>
      <c r="G70" s="256"/>
      <c r="H70" s="256">
        <v>411.26</v>
      </c>
      <c r="I70" s="256"/>
      <c r="J70" s="256"/>
      <c r="K70" s="256"/>
      <c r="L70" s="256"/>
      <c r="M70" s="256"/>
      <c r="N70" s="143">
        <f t="shared" ref="N70:N133" si="5">SUM(G70:M70)</f>
        <v>411.26</v>
      </c>
      <c r="O70" s="256">
        <v>6002.35</v>
      </c>
      <c r="P70" s="256"/>
      <c r="Q70" s="256"/>
      <c r="R70" s="241">
        <f t="shared" si="4"/>
        <v>13106.61</v>
      </c>
    </row>
    <row r="71" spans="1:18" ht="19.95" customHeight="1" x14ac:dyDescent="0.25">
      <c r="A71" s="238" t="s">
        <v>151</v>
      </c>
      <c r="B71" s="238"/>
      <c r="C71" s="239" t="s">
        <v>500</v>
      </c>
      <c r="D71" s="239"/>
      <c r="E71" s="256"/>
      <c r="F71" s="256"/>
      <c r="G71" s="256"/>
      <c r="H71" s="256">
        <v>2318.8200000000002</v>
      </c>
      <c r="I71" s="256"/>
      <c r="J71" s="256"/>
      <c r="K71" s="256"/>
      <c r="L71" s="256"/>
      <c r="M71" s="256"/>
      <c r="N71" s="143">
        <f t="shared" si="5"/>
        <v>2318.8200000000002</v>
      </c>
      <c r="O71" s="256"/>
      <c r="P71" s="256"/>
      <c r="Q71" s="256"/>
      <c r="R71" s="241">
        <f t="shared" si="4"/>
        <v>2318.8200000000002</v>
      </c>
    </row>
    <row r="72" spans="1:18" ht="19.95" customHeight="1" x14ac:dyDescent="0.25">
      <c r="A72" s="243" t="s">
        <v>152</v>
      </c>
      <c r="B72" s="238"/>
      <c r="C72" s="239" t="s">
        <v>500</v>
      </c>
      <c r="D72" s="244" t="s">
        <v>87</v>
      </c>
      <c r="E72" s="256">
        <v>15093.17</v>
      </c>
      <c r="F72" s="256"/>
      <c r="G72" s="256"/>
      <c r="H72" s="256"/>
      <c r="I72" s="256"/>
      <c r="J72" s="256"/>
      <c r="K72" s="256"/>
      <c r="L72" s="256"/>
      <c r="M72" s="256"/>
      <c r="N72" s="143">
        <f t="shared" si="5"/>
        <v>0</v>
      </c>
      <c r="O72" s="256"/>
      <c r="P72" s="256"/>
      <c r="Q72" s="256"/>
      <c r="R72" s="241">
        <f t="shared" si="4"/>
        <v>15093.17</v>
      </c>
    </row>
    <row r="73" spans="1:18" ht="19.95" customHeight="1" x14ac:dyDescent="0.25">
      <c r="A73" s="238" t="s">
        <v>153</v>
      </c>
      <c r="B73" s="238"/>
      <c r="C73" s="239" t="s">
        <v>500</v>
      </c>
      <c r="D73" s="239" t="s">
        <v>112</v>
      </c>
      <c r="E73" s="256">
        <v>788.13</v>
      </c>
      <c r="F73" s="256"/>
      <c r="G73" s="256"/>
      <c r="H73" s="256"/>
      <c r="I73" s="256"/>
      <c r="J73" s="256"/>
      <c r="K73" s="256"/>
      <c r="L73" s="256"/>
      <c r="M73" s="256"/>
      <c r="N73" s="143">
        <f t="shared" si="5"/>
        <v>0</v>
      </c>
      <c r="O73" s="256"/>
      <c r="P73" s="256"/>
      <c r="Q73" s="256"/>
      <c r="R73" s="241">
        <f t="shared" si="4"/>
        <v>788.13</v>
      </c>
    </row>
    <row r="74" spans="1:18" ht="19.95" customHeight="1" x14ac:dyDescent="0.25">
      <c r="A74" s="243" t="s">
        <v>154</v>
      </c>
      <c r="B74" s="238"/>
      <c r="C74" s="239" t="s">
        <v>500</v>
      </c>
      <c r="D74" s="239" t="s">
        <v>103</v>
      </c>
      <c r="E74" s="256">
        <v>10172.06</v>
      </c>
      <c r="F74" s="256"/>
      <c r="G74" s="256">
        <v>14.88</v>
      </c>
      <c r="H74" s="256"/>
      <c r="I74" s="256"/>
      <c r="J74" s="256"/>
      <c r="K74" s="256"/>
      <c r="L74" s="256"/>
      <c r="M74" s="256"/>
      <c r="N74" s="143">
        <f t="shared" si="5"/>
        <v>14.88</v>
      </c>
      <c r="O74" s="256"/>
      <c r="P74" s="256"/>
      <c r="Q74" s="256"/>
      <c r="R74" s="241">
        <f t="shared" si="4"/>
        <v>10186.939999999999</v>
      </c>
    </row>
    <row r="75" spans="1:18" ht="19.95" customHeight="1" x14ac:dyDescent="0.25">
      <c r="A75" s="238" t="s">
        <v>155</v>
      </c>
      <c r="B75" s="238"/>
      <c r="C75" s="239" t="s">
        <v>500</v>
      </c>
      <c r="D75" s="239" t="s">
        <v>352</v>
      </c>
      <c r="E75" s="256">
        <v>11821.88</v>
      </c>
      <c r="F75" s="256"/>
      <c r="G75" s="256"/>
      <c r="H75" s="256"/>
      <c r="I75" s="256"/>
      <c r="J75" s="256"/>
      <c r="K75" s="256"/>
      <c r="L75" s="256"/>
      <c r="M75" s="256"/>
      <c r="N75" s="143">
        <f t="shared" si="5"/>
        <v>0</v>
      </c>
      <c r="O75" s="256">
        <v>794</v>
      </c>
      <c r="P75" s="256"/>
      <c r="Q75" s="256">
        <v>16666.669999999998</v>
      </c>
      <c r="R75" s="241">
        <f t="shared" si="4"/>
        <v>29282.549999999996</v>
      </c>
    </row>
    <row r="76" spans="1:18" ht="19.95" customHeight="1" x14ac:dyDescent="0.25">
      <c r="A76" s="238" t="s">
        <v>156</v>
      </c>
      <c r="B76" s="238"/>
      <c r="C76" s="239" t="s">
        <v>500</v>
      </c>
      <c r="D76" s="239"/>
      <c r="E76" s="256"/>
      <c r="F76" s="256"/>
      <c r="G76" s="256"/>
      <c r="H76" s="256"/>
      <c r="I76" s="256"/>
      <c r="J76" s="256"/>
      <c r="K76" s="256"/>
      <c r="L76" s="256"/>
      <c r="M76" s="256">
        <v>882.7</v>
      </c>
      <c r="N76" s="143">
        <f t="shared" si="5"/>
        <v>882.7</v>
      </c>
      <c r="O76" s="256"/>
      <c r="P76" s="256"/>
      <c r="Q76" s="256"/>
      <c r="R76" s="241">
        <f t="shared" si="4"/>
        <v>882.7</v>
      </c>
    </row>
    <row r="77" spans="1:18" ht="19.95" customHeight="1" x14ac:dyDescent="0.25">
      <c r="A77" s="238" t="s">
        <v>466</v>
      </c>
      <c r="B77" s="238"/>
      <c r="C77" s="239" t="s">
        <v>500</v>
      </c>
      <c r="D77" s="239"/>
      <c r="E77" s="256"/>
      <c r="F77" s="256"/>
      <c r="G77" s="256"/>
      <c r="H77" s="256"/>
      <c r="I77" s="256"/>
      <c r="J77" s="256"/>
      <c r="K77" s="256"/>
      <c r="L77" s="256"/>
      <c r="M77" s="256">
        <v>339.5</v>
      </c>
      <c r="N77" s="143">
        <f t="shared" si="5"/>
        <v>339.5</v>
      </c>
      <c r="O77" s="256"/>
      <c r="P77" s="256"/>
      <c r="Q77" s="256"/>
      <c r="R77" s="241">
        <f t="shared" si="4"/>
        <v>339.5</v>
      </c>
    </row>
    <row r="78" spans="1:18" ht="19.95" customHeight="1" x14ac:dyDescent="0.25">
      <c r="A78" s="243" t="s">
        <v>157</v>
      </c>
      <c r="B78" s="238"/>
      <c r="C78" s="239" t="s">
        <v>500</v>
      </c>
      <c r="D78" s="244" t="s">
        <v>112</v>
      </c>
      <c r="E78" s="256">
        <v>2425</v>
      </c>
      <c r="F78" s="256">
        <v>72.75</v>
      </c>
      <c r="G78" s="256"/>
      <c r="H78" s="256"/>
      <c r="I78" s="256"/>
      <c r="J78" s="256"/>
      <c r="K78" s="256"/>
      <c r="L78" s="256"/>
      <c r="M78" s="256"/>
      <c r="N78" s="143">
        <f t="shared" si="5"/>
        <v>0</v>
      </c>
      <c r="O78" s="256">
        <v>650</v>
      </c>
      <c r="P78" s="256"/>
      <c r="Q78" s="256"/>
      <c r="R78" s="241">
        <f t="shared" si="4"/>
        <v>3147.75</v>
      </c>
    </row>
    <row r="79" spans="1:18" ht="19.95" customHeight="1" x14ac:dyDescent="0.25">
      <c r="A79" s="243" t="s">
        <v>364</v>
      </c>
      <c r="B79" s="238"/>
      <c r="C79" s="239" t="s">
        <v>500</v>
      </c>
      <c r="D79" s="244" t="s">
        <v>95</v>
      </c>
      <c r="E79" s="256">
        <v>2364.38</v>
      </c>
      <c r="F79" s="256"/>
      <c r="G79" s="256"/>
      <c r="H79" s="256"/>
      <c r="I79" s="256"/>
      <c r="J79" s="256"/>
      <c r="K79" s="256"/>
      <c r="L79" s="256"/>
      <c r="M79" s="256"/>
      <c r="N79" s="143">
        <f t="shared" si="5"/>
        <v>0</v>
      </c>
      <c r="O79" s="256"/>
      <c r="P79" s="256"/>
      <c r="Q79" s="256"/>
      <c r="R79" s="241">
        <f t="shared" si="4"/>
        <v>2364.38</v>
      </c>
    </row>
    <row r="80" spans="1:18" ht="19.95" customHeight="1" x14ac:dyDescent="0.25">
      <c r="A80" s="238" t="s">
        <v>467</v>
      </c>
      <c r="B80" s="238"/>
      <c r="C80" s="239" t="s">
        <v>500</v>
      </c>
      <c r="D80" s="244" t="s">
        <v>112</v>
      </c>
      <c r="E80" s="256"/>
      <c r="F80" s="256"/>
      <c r="G80" s="256"/>
      <c r="H80" s="256"/>
      <c r="I80" s="256"/>
      <c r="J80" s="256"/>
      <c r="K80" s="256"/>
      <c r="L80" s="256"/>
      <c r="M80" s="256"/>
      <c r="N80" s="143">
        <f t="shared" si="5"/>
        <v>0</v>
      </c>
      <c r="O80" s="256"/>
      <c r="P80" s="256"/>
      <c r="Q80" s="256"/>
      <c r="R80" s="241">
        <f t="shared" si="4"/>
        <v>0</v>
      </c>
    </row>
    <row r="81" spans="1:18" ht="19.95" customHeight="1" x14ac:dyDescent="0.25">
      <c r="A81" s="238" t="s">
        <v>468</v>
      </c>
      <c r="B81" s="238"/>
      <c r="C81" s="239" t="s">
        <v>500</v>
      </c>
      <c r="D81" s="244" t="s">
        <v>93</v>
      </c>
      <c r="E81" s="256">
        <v>6305</v>
      </c>
      <c r="F81" s="256"/>
      <c r="G81" s="256"/>
      <c r="H81" s="256"/>
      <c r="I81" s="256"/>
      <c r="J81" s="256"/>
      <c r="K81" s="256"/>
      <c r="L81" s="256"/>
      <c r="M81" s="256"/>
      <c r="N81" s="143">
        <f t="shared" si="5"/>
        <v>0</v>
      </c>
      <c r="O81" s="256"/>
      <c r="P81" s="256"/>
      <c r="Q81" s="256"/>
      <c r="R81" s="241">
        <f t="shared" si="4"/>
        <v>6305</v>
      </c>
    </row>
    <row r="82" spans="1:18" ht="19.95" customHeight="1" x14ac:dyDescent="0.25">
      <c r="A82" s="254" t="s">
        <v>365</v>
      </c>
      <c r="B82" s="238"/>
      <c r="C82" s="239" t="s">
        <v>500</v>
      </c>
      <c r="D82" s="244"/>
      <c r="E82" s="255"/>
      <c r="F82" s="255"/>
      <c r="G82" s="255"/>
      <c r="H82" s="255"/>
      <c r="I82" s="255"/>
      <c r="J82" s="255"/>
      <c r="K82" s="255"/>
      <c r="L82" s="255"/>
      <c r="M82" s="255"/>
      <c r="N82" s="143">
        <f t="shared" si="5"/>
        <v>0</v>
      </c>
      <c r="O82" s="255"/>
      <c r="P82" s="256"/>
      <c r="Q82" s="255"/>
      <c r="R82" s="241">
        <f t="shared" si="4"/>
        <v>0</v>
      </c>
    </row>
    <row r="83" spans="1:18" ht="19.95" customHeight="1" x14ac:dyDescent="0.25">
      <c r="A83" s="243" t="s">
        <v>161</v>
      </c>
      <c r="B83" s="238"/>
      <c r="C83" s="239" t="s">
        <v>500</v>
      </c>
      <c r="D83" s="244" t="s">
        <v>87</v>
      </c>
      <c r="E83" s="256">
        <v>2690.12</v>
      </c>
      <c r="F83" s="256"/>
      <c r="G83" s="256"/>
      <c r="H83" s="256"/>
      <c r="I83" s="256">
        <v>278.23</v>
      </c>
      <c r="J83" s="256"/>
      <c r="K83" s="256"/>
      <c r="L83" s="256"/>
      <c r="M83" s="256"/>
      <c r="N83" s="143">
        <f t="shared" si="5"/>
        <v>278.23</v>
      </c>
      <c r="O83" s="256"/>
      <c r="P83" s="256"/>
      <c r="Q83" s="256"/>
      <c r="R83" s="241">
        <f t="shared" si="4"/>
        <v>2968.35</v>
      </c>
    </row>
    <row r="84" spans="1:18" ht="19.95" customHeight="1" x14ac:dyDescent="0.25">
      <c r="A84" s="243" t="s">
        <v>534</v>
      </c>
      <c r="B84" s="238"/>
      <c r="C84" s="239" t="s">
        <v>500</v>
      </c>
      <c r="D84" s="244"/>
      <c r="E84" s="256"/>
      <c r="F84" s="256"/>
      <c r="G84" s="256"/>
      <c r="H84" s="256"/>
      <c r="I84" s="256">
        <v>4619.26</v>
      </c>
      <c r="J84" s="256"/>
      <c r="K84" s="256"/>
      <c r="L84" s="256"/>
      <c r="M84" s="256"/>
      <c r="N84" s="143">
        <f t="shared" si="5"/>
        <v>4619.26</v>
      </c>
      <c r="O84" s="256"/>
      <c r="P84" s="256"/>
      <c r="Q84" s="256"/>
      <c r="R84" s="241">
        <f t="shared" si="4"/>
        <v>4619.26</v>
      </c>
    </row>
    <row r="85" spans="1:18" ht="19.95" customHeight="1" x14ac:dyDescent="0.25">
      <c r="A85" s="238" t="s">
        <v>163</v>
      </c>
      <c r="B85" s="238"/>
      <c r="C85" s="239" t="s">
        <v>500</v>
      </c>
      <c r="D85" s="239"/>
      <c r="E85" s="256"/>
      <c r="F85" s="256"/>
      <c r="G85" s="256"/>
      <c r="H85" s="256"/>
      <c r="I85" s="256"/>
      <c r="J85" s="256"/>
      <c r="K85" s="256"/>
      <c r="L85" s="256"/>
      <c r="M85" s="256">
        <v>441.35</v>
      </c>
      <c r="N85" s="143">
        <f t="shared" si="5"/>
        <v>441.35</v>
      </c>
      <c r="O85" s="256"/>
      <c r="P85" s="256"/>
      <c r="Q85" s="256"/>
      <c r="R85" s="241">
        <f t="shared" si="4"/>
        <v>441.35</v>
      </c>
    </row>
    <row r="86" spans="1:18" ht="19.95" customHeight="1" x14ac:dyDescent="0.25">
      <c r="A86" s="238" t="s">
        <v>164</v>
      </c>
      <c r="B86" s="238"/>
      <c r="C86" s="239" t="s">
        <v>500</v>
      </c>
      <c r="D86" s="239" t="s">
        <v>95</v>
      </c>
      <c r="E86" s="256">
        <v>6052.8</v>
      </c>
      <c r="F86" s="256"/>
      <c r="G86" s="256"/>
      <c r="H86" s="256"/>
      <c r="I86" s="256"/>
      <c r="J86" s="256"/>
      <c r="K86" s="256"/>
      <c r="L86" s="256"/>
      <c r="M86" s="256"/>
      <c r="N86" s="143">
        <f t="shared" si="5"/>
        <v>0</v>
      </c>
      <c r="O86" s="256"/>
      <c r="P86" s="256"/>
      <c r="Q86" s="256"/>
      <c r="R86" s="241">
        <f t="shared" si="4"/>
        <v>6052.8</v>
      </c>
    </row>
    <row r="87" spans="1:18" ht="19.95" customHeight="1" x14ac:dyDescent="0.25">
      <c r="A87" s="238" t="s">
        <v>166</v>
      </c>
      <c r="B87" s="238"/>
      <c r="C87" s="239" t="s">
        <v>500</v>
      </c>
      <c r="D87" s="244" t="s">
        <v>87</v>
      </c>
      <c r="E87" s="256">
        <v>15423</v>
      </c>
      <c r="F87" s="256">
        <v>194</v>
      </c>
      <c r="G87" s="256"/>
      <c r="H87" s="256"/>
      <c r="I87" s="256"/>
      <c r="J87" s="256"/>
      <c r="K87" s="256"/>
      <c r="L87" s="256"/>
      <c r="M87" s="256"/>
      <c r="N87" s="143">
        <f t="shared" si="5"/>
        <v>0</v>
      </c>
      <c r="O87" s="256">
        <v>688.58</v>
      </c>
      <c r="P87" s="256"/>
      <c r="Q87" s="256"/>
      <c r="R87" s="241">
        <f t="shared" si="4"/>
        <v>16305.58</v>
      </c>
    </row>
    <row r="88" spans="1:18" ht="19.95" customHeight="1" x14ac:dyDescent="0.25">
      <c r="A88" s="243" t="s">
        <v>167</v>
      </c>
      <c r="B88" s="238"/>
      <c r="C88" s="239" t="s">
        <v>500</v>
      </c>
      <c r="D88" s="244" t="s">
        <v>95</v>
      </c>
      <c r="E88" s="256">
        <v>14123.2</v>
      </c>
      <c r="F88" s="256"/>
      <c r="G88" s="256"/>
      <c r="H88" s="256"/>
      <c r="I88" s="256"/>
      <c r="J88" s="256"/>
      <c r="K88" s="256"/>
      <c r="L88" s="256"/>
      <c r="M88" s="256"/>
      <c r="N88" s="143">
        <f t="shared" si="5"/>
        <v>0</v>
      </c>
      <c r="O88" s="256"/>
      <c r="P88" s="256"/>
      <c r="Q88" s="256"/>
      <c r="R88" s="241">
        <f t="shared" si="4"/>
        <v>14123.2</v>
      </c>
    </row>
    <row r="89" spans="1:18" ht="19.95" customHeight="1" x14ac:dyDescent="0.25">
      <c r="A89" s="238" t="s">
        <v>168</v>
      </c>
      <c r="B89" s="238"/>
      <c r="C89" s="239" t="s">
        <v>500</v>
      </c>
      <c r="D89" s="239" t="s">
        <v>91</v>
      </c>
      <c r="E89" s="256">
        <v>10912.5</v>
      </c>
      <c r="F89" s="256"/>
      <c r="G89" s="256"/>
      <c r="H89" s="256"/>
      <c r="I89" s="256"/>
      <c r="J89" s="256"/>
      <c r="K89" s="256"/>
      <c r="L89" s="256"/>
      <c r="M89" s="256"/>
      <c r="N89" s="143">
        <f t="shared" si="5"/>
        <v>0</v>
      </c>
      <c r="O89" s="256"/>
      <c r="P89" s="256"/>
      <c r="Q89" s="256"/>
      <c r="R89" s="241">
        <f t="shared" si="4"/>
        <v>10912.5</v>
      </c>
    </row>
    <row r="90" spans="1:18" ht="19.95" customHeight="1" x14ac:dyDescent="0.25">
      <c r="A90" s="238" t="s">
        <v>169</v>
      </c>
      <c r="B90" s="238"/>
      <c r="C90" s="239" t="s">
        <v>500</v>
      </c>
      <c r="D90" s="244" t="s">
        <v>93</v>
      </c>
      <c r="E90" s="256">
        <v>3880</v>
      </c>
      <c r="F90" s="256"/>
      <c r="G90" s="256"/>
      <c r="H90" s="256"/>
      <c r="I90" s="256">
        <v>1370.86</v>
      </c>
      <c r="J90" s="256"/>
      <c r="K90" s="256"/>
      <c r="L90" s="256"/>
      <c r="M90" s="256"/>
      <c r="N90" s="143">
        <f t="shared" si="5"/>
        <v>1370.86</v>
      </c>
      <c r="O90" s="256"/>
      <c r="P90" s="256"/>
      <c r="Q90" s="256"/>
      <c r="R90" s="241">
        <f t="shared" si="4"/>
        <v>5250.86</v>
      </c>
    </row>
    <row r="91" spans="1:18" ht="19.95" customHeight="1" x14ac:dyDescent="0.25">
      <c r="A91" s="238" t="s">
        <v>171</v>
      </c>
      <c r="B91" s="238"/>
      <c r="C91" s="239" t="s">
        <v>500</v>
      </c>
      <c r="D91" s="239"/>
      <c r="E91" s="256"/>
      <c r="F91" s="256"/>
      <c r="G91" s="256"/>
      <c r="H91" s="256"/>
      <c r="I91" s="256"/>
      <c r="J91" s="256"/>
      <c r="K91" s="256"/>
      <c r="L91" s="256"/>
      <c r="M91" s="256"/>
      <c r="N91" s="143">
        <f t="shared" si="5"/>
        <v>0</v>
      </c>
      <c r="O91" s="256"/>
      <c r="P91" s="256"/>
      <c r="Q91" s="256"/>
      <c r="R91" s="241">
        <f t="shared" si="4"/>
        <v>0</v>
      </c>
    </row>
    <row r="92" spans="1:18" ht="19.95" customHeight="1" x14ac:dyDescent="0.25">
      <c r="A92" s="238" t="s">
        <v>535</v>
      </c>
      <c r="B92" s="238"/>
      <c r="C92" s="239" t="s">
        <v>500</v>
      </c>
      <c r="D92" s="239"/>
      <c r="E92" s="256"/>
      <c r="F92" s="256"/>
      <c r="G92" s="256"/>
      <c r="H92" s="256"/>
      <c r="I92" s="256">
        <v>690.33</v>
      </c>
      <c r="J92" s="256"/>
      <c r="K92" s="256"/>
      <c r="L92" s="256"/>
      <c r="M92" s="256"/>
      <c r="N92" s="143">
        <f t="shared" si="5"/>
        <v>690.33</v>
      </c>
      <c r="O92" s="256"/>
      <c r="P92" s="256"/>
      <c r="Q92" s="256"/>
      <c r="R92" s="241">
        <f t="shared" si="4"/>
        <v>690.33</v>
      </c>
    </row>
    <row r="93" spans="1:18" ht="19.95" customHeight="1" x14ac:dyDescent="0.25">
      <c r="A93" s="238" t="s">
        <v>172</v>
      </c>
      <c r="B93" s="238"/>
      <c r="C93" s="239" t="s">
        <v>500</v>
      </c>
      <c r="D93" s="244" t="s">
        <v>95</v>
      </c>
      <c r="E93" s="256">
        <v>776</v>
      </c>
      <c r="F93" s="256"/>
      <c r="G93" s="256"/>
      <c r="H93" s="256"/>
      <c r="I93" s="256"/>
      <c r="J93" s="256"/>
      <c r="K93" s="256"/>
      <c r="L93" s="256"/>
      <c r="M93" s="256"/>
      <c r="N93" s="143">
        <f t="shared" si="5"/>
        <v>0</v>
      </c>
      <c r="O93" s="256"/>
      <c r="P93" s="256"/>
      <c r="Q93" s="256"/>
      <c r="R93" s="241">
        <f t="shared" si="4"/>
        <v>776</v>
      </c>
    </row>
    <row r="94" spans="1:18" ht="19.95" customHeight="1" x14ac:dyDescent="0.25">
      <c r="A94" s="238" t="s">
        <v>173</v>
      </c>
      <c r="B94" s="238"/>
      <c r="C94" s="239" t="s">
        <v>500</v>
      </c>
      <c r="D94" s="244" t="s">
        <v>87</v>
      </c>
      <c r="E94" s="256">
        <v>5141</v>
      </c>
      <c r="F94" s="256">
        <v>48.5</v>
      </c>
      <c r="G94" s="256"/>
      <c r="H94" s="256"/>
      <c r="I94" s="256"/>
      <c r="J94" s="256"/>
      <c r="K94" s="256"/>
      <c r="L94" s="256"/>
      <c r="M94" s="256"/>
      <c r="N94" s="143">
        <f t="shared" si="5"/>
        <v>0</v>
      </c>
      <c r="O94" s="256">
        <v>5601.05</v>
      </c>
      <c r="P94" s="256"/>
      <c r="Q94" s="256"/>
      <c r="R94" s="241">
        <f t="shared" si="4"/>
        <v>10790.55</v>
      </c>
    </row>
    <row r="95" spans="1:18" ht="19.95" customHeight="1" x14ac:dyDescent="0.25">
      <c r="A95" s="254" t="s">
        <v>464</v>
      </c>
      <c r="B95" s="238"/>
      <c r="C95" s="239" t="s">
        <v>500</v>
      </c>
      <c r="D95" s="244"/>
      <c r="E95" s="255"/>
      <c r="F95" s="255"/>
      <c r="G95" s="255"/>
      <c r="H95" s="255"/>
      <c r="I95" s="255"/>
      <c r="J95" s="255"/>
      <c r="K95" s="255"/>
      <c r="L95" s="255"/>
      <c r="M95" s="255"/>
      <c r="N95" s="143">
        <f t="shared" si="5"/>
        <v>0</v>
      </c>
      <c r="O95" s="255"/>
      <c r="P95" s="256"/>
      <c r="Q95" s="255"/>
      <c r="R95" s="241">
        <f t="shared" si="4"/>
        <v>0</v>
      </c>
    </row>
    <row r="96" spans="1:18" ht="19.95" customHeight="1" x14ac:dyDescent="0.25">
      <c r="A96" s="243" t="s">
        <v>366</v>
      </c>
      <c r="B96" s="238"/>
      <c r="C96" s="239" t="s">
        <v>500</v>
      </c>
      <c r="D96" s="239" t="s">
        <v>91</v>
      </c>
      <c r="E96" s="256">
        <v>5456.25</v>
      </c>
      <c r="F96" s="256"/>
      <c r="G96" s="256"/>
      <c r="H96" s="256"/>
      <c r="I96" s="256"/>
      <c r="J96" s="256"/>
      <c r="K96" s="256"/>
      <c r="L96" s="256"/>
      <c r="M96" s="256"/>
      <c r="N96" s="143">
        <f t="shared" si="5"/>
        <v>0</v>
      </c>
      <c r="O96" s="256"/>
      <c r="P96" s="256"/>
      <c r="Q96" s="256"/>
      <c r="R96" s="241">
        <f t="shared" si="4"/>
        <v>5456.25</v>
      </c>
    </row>
    <row r="97" spans="1:18" ht="19.95" customHeight="1" x14ac:dyDescent="0.25">
      <c r="A97" s="243" t="s">
        <v>178</v>
      </c>
      <c r="B97" s="238"/>
      <c r="C97" s="239" t="s">
        <v>500</v>
      </c>
      <c r="D97" s="239"/>
      <c r="E97" s="256"/>
      <c r="F97" s="256"/>
      <c r="G97" s="256"/>
      <c r="H97" s="256"/>
      <c r="I97" s="256">
        <v>411.26</v>
      </c>
      <c r="J97" s="256"/>
      <c r="K97" s="256"/>
      <c r="L97" s="256"/>
      <c r="M97" s="256"/>
      <c r="N97" s="143">
        <f t="shared" si="5"/>
        <v>411.26</v>
      </c>
      <c r="O97" s="256"/>
      <c r="P97" s="256"/>
      <c r="Q97" s="256"/>
      <c r="R97" s="241">
        <f t="shared" si="4"/>
        <v>411.26</v>
      </c>
    </row>
    <row r="98" spans="1:18" ht="19.95" customHeight="1" x14ac:dyDescent="0.25">
      <c r="A98" s="238" t="s">
        <v>180</v>
      </c>
      <c r="B98" s="238"/>
      <c r="C98" s="239" t="s">
        <v>500</v>
      </c>
      <c r="D98" s="239"/>
      <c r="E98" s="256"/>
      <c r="F98" s="256"/>
      <c r="G98" s="256"/>
      <c r="H98" s="256"/>
      <c r="I98" s="256">
        <v>1370.86</v>
      </c>
      <c r="J98" s="256"/>
      <c r="K98" s="256"/>
      <c r="L98" s="256"/>
      <c r="M98" s="256"/>
      <c r="N98" s="143">
        <f t="shared" si="5"/>
        <v>1370.86</v>
      </c>
      <c r="O98" s="256"/>
      <c r="P98" s="256"/>
      <c r="Q98" s="256"/>
      <c r="R98" s="241">
        <f t="shared" si="4"/>
        <v>1370.86</v>
      </c>
    </row>
    <row r="99" spans="1:18" ht="19.95" customHeight="1" x14ac:dyDescent="0.25">
      <c r="A99" s="238" t="s">
        <v>181</v>
      </c>
      <c r="B99" s="238"/>
      <c r="C99" s="239" t="s">
        <v>500</v>
      </c>
      <c r="D99" s="239" t="s">
        <v>95</v>
      </c>
      <c r="E99" s="256">
        <v>7184.06</v>
      </c>
      <c r="F99" s="256"/>
      <c r="G99" s="256"/>
      <c r="H99" s="256"/>
      <c r="I99" s="256"/>
      <c r="J99" s="256">
        <v>613.33000000000004</v>
      </c>
      <c r="K99" s="256"/>
      <c r="L99" s="256"/>
      <c r="M99" s="256"/>
      <c r="N99" s="143">
        <f t="shared" si="5"/>
        <v>613.33000000000004</v>
      </c>
      <c r="O99" s="256"/>
      <c r="P99" s="256"/>
      <c r="Q99" s="256"/>
      <c r="R99" s="241">
        <f t="shared" si="4"/>
        <v>7797.39</v>
      </c>
    </row>
    <row r="100" spans="1:18" ht="19.95" customHeight="1" x14ac:dyDescent="0.25">
      <c r="A100" s="243" t="s">
        <v>182</v>
      </c>
      <c r="B100" s="238"/>
      <c r="C100" s="239" t="s">
        <v>500</v>
      </c>
      <c r="D100" s="244" t="s">
        <v>93</v>
      </c>
      <c r="E100" s="256">
        <v>8827</v>
      </c>
      <c r="F100" s="256"/>
      <c r="G100" s="256"/>
      <c r="H100" s="256"/>
      <c r="I100" s="256"/>
      <c r="J100" s="256"/>
      <c r="K100" s="256"/>
      <c r="L100" s="256"/>
      <c r="M100" s="256"/>
      <c r="N100" s="143">
        <f t="shared" si="5"/>
        <v>0</v>
      </c>
      <c r="O100" s="255"/>
      <c r="P100" s="256"/>
      <c r="Q100" s="256"/>
      <c r="R100" s="241">
        <f t="shared" si="4"/>
        <v>8827</v>
      </c>
    </row>
    <row r="101" spans="1:18" ht="19.95" customHeight="1" x14ac:dyDescent="0.25">
      <c r="A101" s="238" t="s">
        <v>457</v>
      </c>
      <c r="B101" s="238"/>
      <c r="C101" s="239" t="s">
        <v>500</v>
      </c>
      <c r="D101" s="239"/>
      <c r="E101" s="256"/>
      <c r="F101" s="256"/>
      <c r="G101" s="256"/>
      <c r="H101" s="256"/>
      <c r="I101" s="256">
        <v>2850.05</v>
      </c>
      <c r="J101" s="256"/>
      <c r="K101" s="256"/>
      <c r="L101" s="256"/>
      <c r="M101" s="256"/>
      <c r="N101" s="143">
        <f t="shared" si="5"/>
        <v>2850.05</v>
      </c>
      <c r="O101" s="256"/>
      <c r="P101" s="256"/>
      <c r="Q101" s="256"/>
      <c r="R101" s="241">
        <f t="shared" si="4"/>
        <v>2850.05</v>
      </c>
    </row>
    <row r="102" spans="1:18" ht="19.95" customHeight="1" x14ac:dyDescent="0.25">
      <c r="A102" s="238" t="s">
        <v>183</v>
      </c>
      <c r="B102" s="238"/>
      <c r="C102" s="239" t="s">
        <v>500</v>
      </c>
      <c r="D102" s="239" t="s">
        <v>352</v>
      </c>
      <c r="E102" s="256">
        <v>13095</v>
      </c>
      <c r="F102" s="256"/>
      <c r="G102" s="256"/>
      <c r="H102" s="256"/>
      <c r="I102" s="256"/>
      <c r="J102" s="256"/>
      <c r="K102" s="256"/>
      <c r="L102" s="256"/>
      <c r="M102" s="256"/>
      <c r="N102" s="143">
        <f t="shared" si="5"/>
        <v>0</v>
      </c>
      <c r="O102" s="256">
        <v>260</v>
      </c>
      <c r="P102" s="256"/>
      <c r="Q102" s="256"/>
      <c r="R102" s="241">
        <f t="shared" si="4"/>
        <v>13355</v>
      </c>
    </row>
    <row r="103" spans="1:18" ht="19.95" customHeight="1" x14ac:dyDescent="0.25">
      <c r="A103" s="238" t="s">
        <v>185</v>
      </c>
      <c r="B103" s="238"/>
      <c r="C103" s="239" t="s">
        <v>500</v>
      </c>
      <c r="D103" s="239" t="s">
        <v>91</v>
      </c>
      <c r="E103" s="256">
        <v>18187.5</v>
      </c>
      <c r="F103" s="256"/>
      <c r="G103" s="256"/>
      <c r="H103" s="256"/>
      <c r="I103" s="256"/>
      <c r="J103" s="256"/>
      <c r="K103" s="256"/>
      <c r="L103" s="256"/>
      <c r="M103" s="256"/>
      <c r="N103" s="143">
        <f t="shared" si="5"/>
        <v>0</v>
      </c>
      <c r="O103" s="256"/>
      <c r="P103" s="256"/>
      <c r="Q103" s="256"/>
      <c r="R103" s="241">
        <f t="shared" si="4"/>
        <v>18187.5</v>
      </c>
    </row>
    <row r="104" spans="1:18" ht="19.95" customHeight="1" x14ac:dyDescent="0.25">
      <c r="A104" s="238" t="s">
        <v>536</v>
      </c>
      <c r="B104" s="238"/>
      <c r="C104" s="239" t="s">
        <v>500</v>
      </c>
      <c r="D104" s="239"/>
      <c r="E104" s="256"/>
      <c r="F104" s="256"/>
      <c r="G104" s="256"/>
      <c r="H104" s="256"/>
      <c r="I104" s="256">
        <v>1035.49</v>
      </c>
      <c r="J104" s="256"/>
      <c r="K104" s="256"/>
      <c r="L104" s="256"/>
      <c r="M104" s="256"/>
      <c r="N104" s="143">
        <f t="shared" si="5"/>
        <v>1035.49</v>
      </c>
      <c r="O104" s="256"/>
      <c r="P104" s="256"/>
      <c r="Q104" s="256"/>
      <c r="R104" s="241">
        <f t="shared" si="4"/>
        <v>1035.49</v>
      </c>
    </row>
    <row r="105" spans="1:18" ht="19.95" customHeight="1" x14ac:dyDescent="0.25">
      <c r="A105" s="243" t="s">
        <v>186</v>
      </c>
      <c r="B105" s="238"/>
      <c r="C105" s="239" t="s">
        <v>500</v>
      </c>
      <c r="D105" s="244" t="s">
        <v>112</v>
      </c>
      <c r="E105" s="256">
        <v>12064.38</v>
      </c>
      <c r="F105" s="256">
        <v>2134</v>
      </c>
      <c r="G105" s="256"/>
      <c r="H105" s="256"/>
      <c r="I105" s="256"/>
      <c r="J105" s="256"/>
      <c r="K105" s="256"/>
      <c r="L105" s="256"/>
      <c r="M105" s="256"/>
      <c r="N105" s="143">
        <f t="shared" si="5"/>
        <v>0</v>
      </c>
      <c r="O105" s="256">
        <v>783</v>
      </c>
      <c r="P105" s="256"/>
      <c r="Q105" s="256"/>
      <c r="R105" s="241">
        <f t="shared" si="4"/>
        <v>14981.38</v>
      </c>
    </row>
    <row r="106" spans="1:18" ht="19.95" customHeight="1" x14ac:dyDescent="0.25">
      <c r="A106" s="238" t="s">
        <v>187</v>
      </c>
      <c r="B106" s="238"/>
      <c r="C106" s="239" t="s">
        <v>500</v>
      </c>
      <c r="D106" s="244" t="s">
        <v>95</v>
      </c>
      <c r="E106" s="256">
        <v>18158.400000000001</v>
      </c>
      <c r="F106" s="256"/>
      <c r="G106" s="256"/>
      <c r="H106" s="256"/>
      <c r="I106" s="256"/>
      <c r="J106" s="256"/>
      <c r="K106" s="256"/>
      <c r="L106" s="256"/>
      <c r="M106" s="256"/>
      <c r="N106" s="143">
        <f t="shared" si="5"/>
        <v>0</v>
      </c>
      <c r="O106" s="256">
        <v>390</v>
      </c>
      <c r="P106" s="256"/>
      <c r="Q106" s="256"/>
      <c r="R106" s="241">
        <f t="shared" si="4"/>
        <v>18548.400000000001</v>
      </c>
    </row>
    <row r="107" spans="1:18" ht="19.95" customHeight="1" x14ac:dyDescent="0.25">
      <c r="A107" s="243" t="s">
        <v>188</v>
      </c>
      <c r="B107" s="238"/>
      <c r="C107" s="239" t="s">
        <v>500</v>
      </c>
      <c r="D107" s="244" t="s">
        <v>105</v>
      </c>
      <c r="E107" s="256">
        <v>4324.05</v>
      </c>
      <c r="F107" s="256"/>
      <c r="G107" s="256"/>
      <c r="H107" s="256"/>
      <c r="I107" s="256"/>
      <c r="J107" s="256"/>
      <c r="K107" s="256"/>
      <c r="L107" s="256"/>
      <c r="M107" s="256"/>
      <c r="N107" s="143">
        <f t="shared" si="5"/>
        <v>0</v>
      </c>
      <c r="O107" s="256"/>
      <c r="P107" s="256"/>
      <c r="Q107" s="256"/>
      <c r="R107" s="241">
        <f t="shared" si="4"/>
        <v>4324.05</v>
      </c>
    </row>
    <row r="108" spans="1:18" ht="19.95" customHeight="1" x14ac:dyDescent="0.25">
      <c r="A108" s="238" t="s">
        <v>189</v>
      </c>
      <c r="B108" s="238"/>
      <c r="C108" s="239" t="s">
        <v>500</v>
      </c>
      <c r="D108" s="244" t="s">
        <v>93</v>
      </c>
      <c r="E108" s="256">
        <v>19594</v>
      </c>
      <c r="F108" s="256"/>
      <c r="G108" s="256"/>
      <c r="H108" s="256"/>
      <c r="I108" s="256">
        <v>556.45000000000005</v>
      </c>
      <c r="J108" s="256"/>
      <c r="K108" s="256"/>
      <c r="L108" s="256"/>
      <c r="M108" s="256"/>
      <c r="N108" s="143">
        <f t="shared" si="5"/>
        <v>556.45000000000005</v>
      </c>
      <c r="O108" s="256"/>
      <c r="P108" s="256"/>
      <c r="Q108" s="256"/>
      <c r="R108" s="241">
        <f t="shared" si="4"/>
        <v>20150.45</v>
      </c>
    </row>
    <row r="109" spans="1:18" ht="19.95" customHeight="1" x14ac:dyDescent="0.25">
      <c r="A109" s="243" t="s">
        <v>191</v>
      </c>
      <c r="B109" s="238"/>
      <c r="C109" s="239" t="s">
        <v>500</v>
      </c>
      <c r="D109" s="244"/>
      <c r="E109" s="256"/>
      <c r="F109" s="256"/>
      <c r="G109" s="256"/>
      <c r="H109" s="256"/>
      <c r="I109" s="256"/>
      <c r="J109" s="256"/>
      <c r="K109" s="256"/>
      <c r="L109" s="256"/>
      <c r="M109" s="256">
        <v>339.5</v>
      </c>
      <c r="N109" s="143">
        <f t="shared" si="5"/>
        <v>339.5</v>
      </c>
      <c r="O109" s="256">
        <v>260</v>
      </c>
      <c r="P109" s="256"/>
      <c r="Q109" s="256"/>
      <c r="R109" s="241">
        <f t="shared" si="4"/>
        <v>599.5</v>
      </c>
    </row>
    <row r="110" spans="1:18" ht="19.95" customHeight="1" x14ac:dyDescent="0.25">
      <c r="A110" s="238" t="s">
        <v>195</v>
      </c>
      <c r="B110" s="238"/>
      <c r="C110" s="239" t="s">
        <v>500</v>
      </c>
      <c r="D110" s="239" t="s">
        <v>352</v>
      </c>
      <c r="E110" s="256">
        <v>21915.94</v>
      </c>
      <c r="F110" s="256"/>
      <c r="G110" s="256"/>
      <c r="H110" s="256"/>
      <c r="I110" s="256"/>
      <c r="J110" s="256"/>
      <c r="K110" s="256"/>
      <c r="L110" s="256"/>
      <c r="M110" s="256"/>
      <c r="N110" s="143">
        <f t="shared" si="5"/>
        <v>0</v>
      </c>
      <c r="O110" s="256">
        <v>610</v>
      </c>
      <c r="P110" s="256"/>
      <c r="Q110" s="256">
        <v>4166.67</v>
      </c>
      <c r="R110" s="241">
        <f t="shared" si="4"/>
        <v>26692.61</v>
      </c>
    </row>
    <row r="111" spans="1:18" ht="19.95" customHeight="1" x14ac:dyDescent="0.25">
      <c r="A111" s="238" t="s">
        <v>196</v>
      </c>
      <c r="B111" s="238"/>
      <c r="C111" s="239" t="s">
        <v>500</v>
      </c>
      <c r="D111" s="244" t="s">
        <v>87</v>
      </c>
      <c r="E111" s="256">
        <v>3576.06</v>
      </c>
      <c r="F111" s="256"/>
      <c r="G111" s="256"/>
      <c r="H111" s="256"/>
      <c r="I111" s="256"/>
      <c r="J111" s="256"/>
      <c r="K111" s="256"/>
      <c r="L111" s="256"/>
      <c r="M111" s="256"/>
      <c r="N111" s="143">
        <f t="shared" si="5"/>
        <v>0</v>
      </c>
      <c r="O111" s="256">
        <v>650</v>
      </c>
      <c r="P111" s="256"/>
      <c r="Q111" s="256"/>
      <c r="R111" s="241">
        <f t="shared" si="4"/>
        <v>4226.0599999999995</v>
      </c>
    </row>
    <row r="112" spans="1:18" ht="19.95" customHeight="1" x14ac:dyDescent="0.25">
      <c r="A112" s="238" t="s">
        <v>197</v>
      </c>
      <c r="B112" s="238"/>
      <c r="C112" s="239" t="s">
        <v>500</v>
      </c>
      <c r="D112" s="239" t="s">
        <v>103</v>
      </c>
      <c r="E112" s="256">
        <v>970</v>
      </c>
      <c r="F112" s="256"/>
      <c r="G112" s="256"/>
      <c r="H112" s="256"/>
      <c r="I112" s="256"/>
      <c r="J112" s="256"/>
      <c r="K112" s="256"/>
      <c r="L112" s="256"/>
      <c r="M112" s="256"/>
      <c r="N112" s="143">
        <f t="shared" si="5"/>
        <v>0</v>
      </c>
      <c r="O112" s="256"/>
      <c r="P112" s="256"/>
      <c r="Q112" s="256"/>
      <c r="R112" s="241">
        <f t="shared" si="4"/>
        <v>970</v>
      </c>
    </row>
    <row r="113" spans="1:18" ht="19.95" customHeight="1" x14ac:dyDescent="0.25">
      <c r="A113" s="238" t="s">
        <v>537</v>
      </c>
      <c r="B113" s="238"/>
      <c r="C113" s="239" t="s">
        <v>500</v>
      </c>
      <c r="D113" s="239"/>
      <c r="E113" s="256"/>
      <c r="F113" s="256"/>
      <c r="G113" s="256"/>
      <c r="H113" s="256"/>
      <c r="I113" s="256"/>
      <c r="J113" s="256"/>
      <c r="K113" s="256"/>
      <c r="L113" s="256"/>
      <c r="M113" s="256"/>
      <c r="N113" s="143">
        <f t="shared" si="5"/>
        <v>0</v>
      </c>
      <c r="O113" s="256">
        <v>2202.16</v>
      </c>
      <c r="P113" s="256"/>
      <c r="Q113" s="256"/>
      <c r="R113" s="241">
        <f t="shared" si="4"/>
        <v>2202.16</v>
      </c>
    </row>
    <row r="114" spans="1:18" ht="19.95" customHeight="1" x14ac:dyDescent="0.25">
      <c r="A114" s="243" t="s">
        <v>200</v>
      </c>
      <c r="B114" s="238"/>
      <c r="C114" s="239" t="s">
        <v>500</v>
      </c>
      <c r="D114" s="239" t="s">
        <v>103</v>
      </c>
      <c r="E114" s="256">
        <v>5044</v>
      </c>
      <c r="F114" s="256"/>
      <c r="G114" s="256"/>
      <c r="H114" s="256"/>
      <c r="I114" s="256"/>
      <c r="J114" s="256"/>
      <c r="K114" s="256"/>
      <c r="L114" s="256"/>
      <c r="M114" s="256"/>
      <c r="N114" s="143">
        <f t="shared" si="5"/>
        <v>0</v>
      </c>
      <c r="O114" s="256"/>
      <c r="P114" s="256"/>
      <c r="Q114" s="256"/>
      <c r="R114" s="241">
        <f t="shared" si="4"/>
        <v>5044</v>
      </c>
    </row>
    <row r="115" spans="1:18" ht="19.95" customHeight="1" x14ac:dyDescent="0.25">
      <c r="A115" s="243" t="s">
        <v>201</v>
      </c>
      <c r="B115" s="238"/>
      <c r="C115" s="239" t="s">
        <v>500</v>
      </c>
      <c r="D115" s="244" t="s">
        <v>105</v>
      </c>
      <c r="E115" s="256">
        <v>3706.75</v>
      </c>
      <c r="F115" s="256"/>
      <c r="G115" s="256"/>
      <c r="H115" s="256"/>
      <c r="I115" s="256"/>
      <c r="J115" s="256"/>
      <c r="K115" s="256"/>
      <c r="L115" s="256"/>
      <c r="M115" s="256"/>
      <c r="N115" s="143">
        <f t="shared" si="5"/>
        <v>0</v>
      </c>
      <c r="O115" s="256"/>
      <c r="P115" s="256"/>
      <c r="Q115" s="256"/>
      <c r="R115" s="241">
        <f t="shared" si="4"/>
        <v>3706.75</v>
      </c>
    </row>
    <row r="116" spans="1:18" ht="19.95" customHeight="1" x14ac:dyDescent="0.25">
      <c r="A116" s="238" t="s">
        <v>203</v>
      </c>
      <c r="B116" s="238"/>
      <c r="C116" s="239" t="s">
        <v>500</v>
      </c>
      <c r="D116" s="244" t="s">
        <v>95</v>
      </c>
      <c r="E116" s="256">
        <v>26203.34</v>
      </c>
      <c r="F116" s="256"/>
      <c r="G116" s="256"/>
      <c r="H116" s="256"/>
      <c r="I116" s="256"/>
      <c r="J116" s="256"/>
      <c r="K116" s="256"/>
      <c r="L116" s="256"/>
      <c r="M116" s="256"/>
      <c r="N116" s="143">
        <f t="shared" si="5"/>
        <v>0</v>
      </c>
      <c r="O116" s="256">
        <v>260</v>
      </c>
      <c r="P116" s="256"/>
      <c r="Q116" s="256"/>
      <c r="R116" s="241">
        <f t="shared" si="4"/>
        <v>26463.34</v>
      </c>
    </row>
    <row r="117" spans="1:18" ht="19.95" customHeight="1" x14ac:dyDescent="0.25">
      <c r="A117" s="243" t="s">
        <v>204</v>
      </c>
      <c r="B117" s="238"/>
      <c r="C117" s="239" t="s">
        <v>500</v>
      </c>
      <c r="D117" s="244" t="s">
        <v>95</v>
      </c>
      <c r="E117" s="256">
        <v>2694.18</v>
      </c>
      <c r="F117" s="256"/>
      <c r="G117" s="256"/>
      <c r="H117" s="256"/>
      <c r="I117" s="256"/>
      <c r="J117" s="256"/>
      <c r="K117" s="256"/>
      <c r="L117" s="256"/>
      <c r="M117" s="256"/>
      <c r="N117" s="143">
        <f t="shared" si="5"/>
        <v>0</v>
      </c>
      <c r="O117" s="256"/>
      <c r="P117" s="256"/>
      <c r="Q117" s="256"/>
      <c r="R117" s="241">
        <f t="shared" si="4"/>
        <v>2694.18</v>
      </c>
    </row>
    <row r="118" spans="1:18" ht="19.95" customHeight="1" x14ac:dyDescent="0.25">
      <c r="A118" s="238" t="s">
        <v>205</v>
      </c>
      <c r="B118" s="238"/>
      <c r="C118" s="239" t="s">
        <v>500</v>
      </c>
      <c r="D118" s="244" t="s">
        <v>95</v>
      </c>
      <c r="E118" s="256">
        <v>15797.66</v>
      </c>
      <c r="F118" s="256"/>
      <c r="G118" s="256"/>
      <c r="H118" s="256"/>
      <c r="I118" s="256"/>
      <c r="J118" s="256"/>
      <c r="K118" s="256"/>
      <c r="L118" s="256"/>
      <c r="M118" s="256"/>
      <c r="N118" s="143">
        <f t="shared" si="5"/>
        <v>0</v>
      </c>
      <c r="O118" s="256">
        <v>780</v>
      </c>
      <c r="P118" s="256"/>
      <c r="Q118" s="256"/>
      <c r="R118" s="241">
        <f t="shared" si="4"/>
        <v>16577.66</v>
      </c>
    </row>
    <row r="119" spans="1:18" ht="19.95" customHeight="1" x14ac:dyDescent="0.25">
      <c r="A119" s="238" t="s">
        <v>206</v>
      </c>
      <c r="B119" s="238"/>
      <c r="C119" s="239" t="s">
        <v>500</v>
      </c>
      <c r="D119" s="239"/>
      <c r="E119" s="256"/>
      <c r="F119" s="256"/>
      <c r="G119" s="256"/>
      <c r="H119" s="256"/>
      <c r="I119" s="256"/>
      <c r="J119" s="256"/>
      <c r="K119" s="256"/>
      <c r="L119" s="256"/>
      <c r="M119" s="256"/>
      <c r="N119" s="143">
        <f t="shared" si="5"/>
        <v>0</v>
      </c>
      <c r="O119" s="256">
        <v>400</v>
      </c>
      <c r="P119" s="256"/>
      <c r="Q119" s="256">
        <v>12500</v>
      </c>
      <c r="R119" s="241">
        <f t="shared" si="4"/>
        <v>12900</v>
      </c>
    </row>
    <row r="120" spans="1:18" ht="19.95" customHeight="1" x14ac:dyDescent="0.25">
      <c r="A120" s="238" t="s">
        <v>368</v>
      </c>
      <c r="B120" s="238"/>
      <c r="C120" s="239" t="s">
        <v>500</v>
      </c>
      <c r="D120" s="239" t="s">
        <v>95</v>
      </c>
      <c r="E120" s="256">
        <v>2793.6</v>
      </c>
      <c r="F120" s="256"/>
      <c r="G120" s="256"/>
      <c r="H120" s="256"/>
      <c r="I120" s="256"/>
      <c r="J120" s="256"/>
      <c r="K120" s="256"/>
      <c r="L120" s="256"/>
      <c r="M120" s="256"/>
      <c r="N120" s="143">
        <f t="shared" si="5"/>
        <v>0</v>
      </c>
      <c r="O120" s="256"/>
      <c r="P120" s="256"/>
      <c r="Q120" s="256"/>
      <c r="R120" s="241">
        <f t="shared" si="4"/>
        <v>2793.6</v>
      </c>
    </row>
    <row r="121" spans="1:18" ht="19.95" customHeight="1" x14ac:dyDescent="0.25">
      <c r="A121" s="243" t="s">
        <v>208</v>
      </c>
      <c r="B121" s="238"/>
      <c r="C121" s="239" t="s">
        <v>500</v>
      </c>
      <c r="D121" s="244" t="s">
        <v>112</v>
      </c>
      <c r="E121" s="256">
        <v>788.13</v>
      </c>
      <c r="F121" s="256"/>
      <c r="G121" s="256"/>
      <c r="H121" s="256"/>
      <c r="I121" s="256"/>
      <c r="J121" s="256"/>
      <c r="K121" s="256"/>
      <c r="L121" s="256"/>
      <c r="M121" s="256"/>
      <c r="N121" s="143">
        <f t="shared" si="5"/>
        <v>0</v>
      </c>
      <c r="O121" s="256">
        <v>260</v>
      </c>
      <c r="P121" s="256"/>
      <c r="Q121" s="256"/>
      <c r="R121" s="241">
        <f t="shared" si="4"/>
        <v>1048.1300000000001</v>
      </c>
    </row>
    <row r="122" spans="1:18" ht="19.95" customHeight="1" x14ac:dyDescent="0.25">
      <c r="A122" s="243" t="s">
        <v>209</v>
      </c>
      <c r="B122" s="238"/>
      <c r="C122" s="239" t="s">
        <v>500</v>
      </c>
      <c r="D122" s="244" t="s">
        <v>91</v>
      </c>
      <c r="E122" s="256"/>
      <c r="F122" s="256"/>
      <c r="G122" s="256"/>
      <c r="H122" s="256"/>
      <c r="I122" s="256"/>
      <c r="J122" s="256"/>
      <c r="K122" s="256"/>
      <c r="L122" s="256"/>
      <c r="M122" s="256"/>
      <c r="N122" s="143">
        <f t="shared" si="5"/>
        <v>0</v>
      </c>
      <c r="O122" s="256">
        <v>200</v>
      </c>
      <c r="P122" s="256"/>
      <c r="Q122" s="256">
        <v>15000</v>
      </c>
      <c r="R122" s="241">
        <f t="shared" si="4"/>
        <v>15200</v>
      </c>
    </row>
    <row r="123" spans="1:18" ht="19.95" customHeight="1" x14ac:dyDescent="0.25">
      <c r="A123" s="243" t="s">
        <v>538</v>
      </c>
      <c r="B123" s="238"/>
      <c r="C123" s="239" t="s">
        <v>500</v>
      </c>
      <c r="D123" s="244" t="s">
        <v>110</v>
      </c>
      <c r="E123" s="256">
        <v>4539.6000000000004</v>
      </c>
      <c r="F123" s="256"/>
      <c r="G123" s="256"/>
      <c r="H123" s="256"/>
      <c r="I123" s="256"/>
      <c r="J123" s="256"/>
      <c r="K123" s="256"/>
      <c r="L123" s="256"/>
      <c r="M123" s="256"/>
      <c r="N123" s="143">
        <f t="shared" si="5"/>
        <v>0</v>
      </c>
      <c r="O123" s="256"/>
      <c r="P123" s="256"/>
      <c r="Q123" s="256"/>
      <c r="R123" s="241">
        <f t="shared" si="4"/>
        <v>4539.6000000000004</v>
      </c>
    </row>
    <row r="124" spans="1:18" ht="19.95" customHeight="1" x14ac:dyDescent="0.25">
      <c r="A124" s="243" t="s">
        <v>213</v>
      </c>
      <c r="B124" s="238"/>
      <c r="C124" s="239" t="s">
        <v>500</v>
      </c>
      <c r="D124" s="244" t="s">
        <v>93</v>
      </c>
      <c r="E124" s="256">
        <v>1261</v>
      </c>
      <c r="F124" s="256"/>
      <c r="G124" s="256"/>
      <c r="H124" s="256"/>
      <c r="I124" s="256"/>
      <c r="J124" s="256"/>
      <c r="K124" s="256"/>
      <c r="L124" s="256"/>
      <c r="M124" s="256"/>
      <c r="N124" s="143">
        <f t="shared" si="5"/>
        <v>0</v>
      </c>
      <c r="O124" s="256"/>
      <c r="P124" s="256"/>
      <c r="Q124" s="256"/>
      <c r="R124" s="241">
        <f t="shared" si="4"/>
        <v>1261</v>
      </c>
    </row>
    <row r="125" spans="1:18" ht="19.95" customHeight="1" x14ac:dyDescent="0.25">
      <c r="A125" s="238" t="s">
        <v>369</v>
      </c>
      <c r="B125" s="238"/>
      <c r="C125" s="239" t="s">
        <v>500</v>
      </c>
      <c r="D125" s="239"/>
      <c r="E125" s="256"/>
      <c r="F125" s="256"/>
      <c r="G125" s="256"/>
      <c r="H125" s="256"/>
      <c r="I125" s="256"/>
      <c r="J125" s="256"/>
      <c r="K125" s="256"/>
      <c r="L125" s="256"/>
      <c r="M125" s="256"/>
      <c r="N125" s="143">
        <f t="shared" si="5"/>
        <v>0</v>
      </c>
      <c r="O125" s="256"/>
      <c r="P125" s="256"/>
      <c r="Q125" s="256"/>
      <c r="R125" s="241">
        <f t="shared" si="4"/>
        <v>0</v>
      </c>
    </row>
    <row r="126" spans="1:18" ht="19.95" customHeight="1" x14ac:dyDescent="0.25">
      <c r="A126" s="243" t="s">
        <v>214</v>
      </c>
      <c r="B126" s="238"/>
      <c r="C126" s="239" t="s">
        <v>500</v>
      </c>
      <c r="D126" s="244" t="s">
        <v>105</v>
      </c>
      <c r="E126" s="256">
        <v>3265.4</v>
      </c>
      <c r="F126" s="256"/>
      <c r="G126" s="256"/>
      <c r="H126" s="256"/>
      <c r="I126" s="256">
        <v>2737.59</v>
      </c>
      <c r="J126" s="256"/>
      <c r="K126" s="256"/>
      <c r="L126" s="256"/>
      <c r="M126" s="256"/>
      <c r="N126" s="143">
        <f t="shared" si="5"/>
        <v>2737.59</v>
      </c>
      <c r="O126" s="256"/>
      <c r="P126" s="256"/>
      <c r="Q126" s="256"/>
      <c r="R126" s="241">
        <f t="shared" si="4"/>
        <v>6002.99</v>
      </c>
    </row>
    <row r="127" spans="1:18" ht="19.95" customHeight="1" x14ac:dyDescent="0.25">
      <c r="A127" s="243" t="s">
        <v>216</v>
      </c>
      <c r="B127" s="238"/>
      <c r="C127" s="239" t="s">
        <v>500</v>
      </c>
      <c r="D127" s="244" t="s">
        <v>93</v>
      </c>
      <c r="E127" s="256">
        <v>3880</v>
      </c>
      <c r="F127" s="256"/>
      <c r="G127" s="256"/>
      <c r="H127" s="256"/>
      <c r="I127" s="256"/>
      <c r="J127" s="256"/>
      <c r="K127" s="256"/>
      <c r="L127" s="256">
        <v>3110.52</v>
      </c>
      <c r="M127" s="256"/>
      <c r="N127" s="143">
        <f t="shared" si="5"/>
        <v>3110.52</v>
      </c>
      <c r="O127" s="256"/>
      <c r="P127" s="256"/>
      <c r="Q127" s="256"/>
      <c r="R127" s="241">
        <f t="shared" si="4"/>
        <v>6990.52</v>
      </c>
    </row>
    <row r="128" spans="1:18" ht="19.95" customHeight="1" x14ac:dyDescent="0.25">
      <c r="A128" s="243" t="s">
        <v>539</v>
      </c>
      <c r="B128" s="238"/>
      <c r="C128" s="239" t="s">
        <v>500</v>
      </c>
      <c r="D128" s="244"/>
      <c r="E128" s="256"/>
      <c r="F128" s="256"/>
      <c r="G128" s="256"/>
      <c r="H128" s="256"/>
      <c r="I128" s="256">
        <v>2513.02</v>
      </c>
      <c r="J128" s="256"/>
      <c r="K128" s="256"/>
      <c r="L128" s="256"/>
      <c r="M128" s="256"/>
      <c r="N128" s="143">
        <f t="shared" si="5"/>
        <v>2513.02</v>
      </c>
      <c r="O128" s="256"/>
      <c r="P128" s="256"/>
      <c r="Q128" s="256"/>
      <c r="R128" s="241">
        <f t="shared" si="4"/>
        <v>2513.02</v>
      </c>
    </row>
    <row r="129" spans="1:18" ht="19.95" customHeight="1" x14ac:dyDescent="0.25">
      <c r="A129" s="238" t="s">
        <v>217</v>
      </c>
      <c r="B129" s="238"/>
      <c r="C129" s="239" t="s">
        <v>500</v>
      </c>
      <c r="D129" s="244" t="s">
        <v>105</v>
      </c>
      <c r="E129" s="256">
        <v>1765.4</v>
      </c>
      <c r="F129" s="256"/>
      <c r="G129" s="256"/>
      <c r="H129" s="256"/>
      <c r="I129" s="256"/>
      <c r="J129" s="256"/>
      <c r="K129" s="256"/>
      <c r="L129" s="256"/>
      <c r="M129" s="256"/>
      <c r="N129" s="143">
        <f t="shared" si="5"/>
        <v>0</v>
      </c>
      <c r="O129" s="256"/>
      <c r="P129" s="256"/>
      <c r="Q129" s="256"/>
      <c r="R129" s="241">
        <f t="shared" si="4"/>
        <v>1765.4</v>
      </c>
    </row>
    <row r="130" spans="1:18" ht="19.95" customHeight="1" x14ac:dyDescent="0.25">
      <c r="A130" s="238" t="s">
        <v>220</v>
      </c>
      <c r="B130" s="238"/>
      <c r="C130" s="239" t="s">
        <v>500</v>
      </c>
      <c r="D130" s="239" t="s">
        <v>93</v>
      </c>
      <c r="E130" s="256"/>
      <c r="F130" s="256"/>
      <c r="G130" s="256"/>
      <c r="H130" s="256"/>
      <c r="I130" s="256"/>
      <c r="J130" s="256"/>
      <c r="K130" s="256"/>
      <c r="L130" s="256"/>
      <c r="M130" s="256"/>
      <c r="N130" s="143">
        <f t="shared" si="5"/>
        <v>0</v>
      </c>
      <c r="O130" s="256"/>
      <c r="P130" s="256"/>
      <c r="Q130" s="256"/>
      <c r="R130" s="241">
        <f t="shared" si="4"/>
        <v>0</v>
      </c>
    </row>
    <row r="131" spans="1:18" ht="19.95" customHeight="1" x14ac:dyDescent="0.25">
      <c r="A131" s="238" t="s">
        <v>540</v>
      </c>
      <c r="B131" s="238"/>
      <c r="C131" s="239" t="s">
        <v>500</v>
      </c>
      <c r="D131" s="239"/>
      <c r="E131" s="256"/>
      <c r="F131" s="256"/>
      <c r="G131" s="256"/>
      <c r="H131" s="256"/>
      <c r="I131" s="256">
        <v>614.79999999999995</v>
      </c>
      <c r="J131" s="256"/>
      <c r="K131" s="256"/>
      <c r="L131" s="256"/>
      <c r="M131" s="256"/>
      <c r="N131" s="143">
        <f t="shared" si="5"/>
        <v>614.79999999999995</v>
      </c>
      <c r="O131" s="256"/>
      <c r="P131" s="256"/>
      <c r="Q131" s="256"/>
      <c r="R131" s="241">
        <f t="shared" si="4"/>
        <v>614.79999999999995</v>
      </c>
    </row>
    <row r="132" spans="1:18" ht="19.95" customHeight="1" x14ac:dyDescent="0.25">
      <c r="A132" s="238" t="s">
        <v>221</v>
      </c>
      <c r="B132" s="238"/>
      <c r="C132" s="239" t="s">
        <v>500</v>
      </c>
      <c r="D132" s="244" t="s">
        <v>95</v>
      </c>
      <c r="E132" s="256">
        <v>14278.4</v>
      </c>
      <c r="F132" s="256"/>
      <c r="G132" s="256"/>
      <c r="H132" s="256"/>
      <c r="I132" s="256"/>
      <c r="J132" s="256"/>
      <c r="K132" s="256"/>
      <c r="L132" s="256"/>
      <c r="M132" s="256"/>
      <c r="N132" s="143">
        <f t="shared" si="5"/>
        <v>0</v>
      </c>
      <c r="O132" s="256">
        <v>520</v>
      </c>
      <c r="P132" s="256"/>
      <c r="Q132" s="256"/>
      <c r="R132" s="241">
        <f t="shared" ref="R132:R157" si="6">E132+F132+N132+O132+P132+Q132</f>
        <v>14798.4</v>
      </c>
    </row>
    <row r="133" spans="1:18" ht="19.95" customHeight="1" x14ac:dyDescent="0.25">
      <c r="A133" s="238" t="s">
        <v>370</v>
      </c>
      <c r="B133" s="238"/>
      <c r="C133" s="239" t="s">
        <v>500</v>
      </c>
      <c r="D133" s="239"/>
      <c r="E133" s="256"/>
      <c r="F133" s="256"/>
      <c r="G133" s="256"/>
      <c r="H133" s="256"/>
      <c r="I133" s="256"/>
      <c r="J133" s="256"/>
      <c r="K133" s="256"/>
      <c r="L133" s="256"/>
      <c r="M133" s="256"/>
      <c r="N133" s="143">
        <f t="shared" si="5"/>
        <v>0</v>
      </c>
      <c r="O133" s="256"/>
      <c r="P133" s="256"/>
      <c r="Q133" s="256"/>
      <c r="R133" s="241">
        <f t="shared" si="6"/>
        <v>0</v>
      </c>
    </row>
    <row r="134" spans="1:18" ht="19.95" customHeight="1" x14ac:dyDescent="0.25">
      <c r="A134" s="238" t="s">
        <v>222</v>
      </c>
      <c r="B134" s="238"/>
      <c r="C134" s="239" t="s">
        <v>500</v>
      </c>
      <c r="D134" s="239"/>
      <c r="E134" s="256"/>
      <c r="F134" s="256"/>
      <c r="G134" s="256"/>
      <c r="H134" s="256"/>
      <c r="I134" s="256"/>
      <c r="J134" s="256"/>
      <c r="K134" s="256"/>
      <c r="L134" s="256"/>
      <c r="M134" s="256">
        <v>3564.75</v>
      </c>
      <c r="N134" s="143">
        <f t="shared" ref="N134:N156" si="7">SUM(G134:M134)</f>
        <v>3564.75</v>
      </c>
      <c r="O134" s="256"/>
      <c r="P134" s="256"/>
      <c r="Q134" s="256"/>
      <c r="R134" s="241">
        <f t="shared" si="6"/>
        <v>3564.75</v>
      </c>
    </row>
    <row r="135" spans="1:18" ht="19.95" customHeight="1" x14ac:dyDescent="0.25">
      <c r="A135" s="238" t="s">
        <v>223</v>
      </c>
      <c r="B135" s="238"/>
      <c r="C135" s="239" t="s">
        <v>500</v>
      </c>
      <c r="D135" s="244" t="s">
        <v>87</v>
      </c>
      <c r="E135" s="256">
        <v>4510.5</v>
      </c>
      <c r="F135" s="256"/>
      <c r="G135" s="256"/>
      <c r="H135" s="256"/>
      <c r="I135" s="256"/>
      <c r="J135" s="256"/>
      <c r="K135" s="256"/>
      <c r="L135" s="256"/>
      <c r="M135" s="256"/>
      <c r="N135" s="143">
        <f t="shared" si="7"/>
        <v>0</v>
      </c>
      <c r="O135" s="256">
        <v>260</v>
      </c>
      <c r="P135" s="256"/>
      <c r="Q135" s="256"/>
      <c r="R135" s="241">
        <f t="shared" si="6"/>
        <v>4770.5</v>
      </c>
    </row>
    <row r="136" spans="1:18" ht="19.95" customHeight="1" x14ac:dyDescent="0.25">
      <c r="A136" s="243" t="s">
        <v>224</v>
      </c>
      <c r="B136" s="238"/>
      <c r="C136" s="239" t="s">
        <v>500</v>
      </c>
      <c r="D136" s="240"/>
      <c r="E136" s="256"/>
      <c r="F136" s="256"/>
      <c r="G136" s="256"/>
      <c r="H136" s="256"/>
      <c r="I136" s="256">
        <v>1165.3900000000001</v>
      </c>
      <c r="J136" s="256"/>
      <c r="K136" s="256"/>
      <c r="L136" s="256"/>
      <c r="M136" s="256"/>
      <c r="N136" s="143">
        <f t="shared" si="7"/>
        <v>1165.3900000000001</v>
      </c>
      <c r="O136" s="256"/>
      <c r="P136" s="256"/>
      <c r="Q136" s="256"/>
      <c r="R136" s="241">
        <f t="shared" si="6"/>
        <v>1165.3900000000001</v>
      </c>
    </row>
    <row r="137" spans="1:18" ht="19.95" customHeight="1" x14ac:dyDescent="0.25">
      <c r="A137" s="238" t="s">
        <v>371</v>
      </c>
      <c r="B137" s="238"/>
      <c r="C137" s="239" t="s">
        <v>500</v>
      </c>
      <c r="D137" s="239"/>
      <c r="E137" s="256"/>
      <c r="F137" s="256"/>
      <c r="G137" s="256"/>
      <c r="H137" s="256"/>
      <c r="I137" s="256"/>
      <c r="J137" s="256"/>
      <c r="K137" s="256"/>
      <c r="L137" s="256"/>
      <c r="M137" s="256"/>
      <c r="N137" s="143">
        <f t="shared" si="7"/>
        <v>0</v>
      </c>
      <c r="O137" s="256"/>
      <c r="P137" s="256"/>
      <c r="Q137" s="256"/>
      <c r="R137" s="241">
        <f t="shared" si="6"/>
        <v>0</v>
      </c>
    </row>
    <row r="138" spans="1:18" ht="19.95" customHeight="1" x14ac:dyDescent="0.25">
      <c r="A138" s="238" t="s">
        <v>225</v>
      </c>
      <c r="B138" s="238"/>
      <c r="C138" s="239" t="s">
        <v>500</v>
      </c>
      <c r="D138" s="239" t="s">
        <v>103</v>
      </c>
      <c r="E138" s="256">
        <v>10172.06</v>
      </c>
      <c r="F138" s="256"/>
      <c r="G138" s="256"/>
      <c r="H138" s="256"/>
      <c r="I138" s="256"/>
      <c r="J138" s="256"/>
      <c r="K138" s="256"/>
      <c r="L138" s="256"/>
      <c r="M138" s="256"/>
      <c r="N138" s="143">
        <f t="shared" si="7"/>
        <v>0</v>
      </c>
      <c r="O138" s="256"/>
      <c r="P138" s="256"/>
      <c r="Q138" s="256"/>
      <c r="R138" s="241">
        <f t="shared" si="6"/>
        <v>10172.06</v>
      </c>
    </row>
    <row r="139" spans="1:18" ht="19.95" customHeight="1" x14ac:dyDescent="0.25">
      <c r="A139" s="254" t="s">
        <v>226</v>
      </c>
      <c r="B139" s="238"/>
      <c r="C139" s="239" t="s">
        <v>500</v>
      </c>
      <c r="D139" s="244"/>
      <c r="E139" s="256"/>
      <c r="F139" s="256"/>
      <c r="G139" s="256"/>
      <c r="H139" s="256"/>
      <c r="I139" s="256"/>
      <c r="J139" s="256"/>
      <c r="K139" s="256"/>
      <c r="L139" s="256"/>
      <c r="M139" s="256"/>
      <c r="N139" s="143">
        <f t="shared" si="7"/>
        <v>0</v>
      </c>
      <c r="O139" s="256">
        <v>500</v>
      </c>
      <c r="P139" s="256"/>
      <c r="Q139" s="256">
        <v>12500</v>
      </c>
      <c r="R139" s="241">
        <f t="shared" si="6"/>
        <v>13000</v>
      </c>
    </row>
    <row r="140" spans="1:18" ht="19.95" customHeight="1" x14ac:dyDescent="0.25">
      <c r="A140" s="243" t="s">
        <v>227</v>
      </c>
      <c r="B140" s="238"/>
      <c r="C140" s="239" t="s">
        <v>500</v>
      </c>
      <c r="D140" s="239" t="s">
        <v>352</v>
      </c>
      <c r="E140" s="256">
        <v>25462.51</v>
      </c>
      <c r="F140" s="256"/>
      <c r="G140" s="256"/>
      <c r="H140" s="256"/>
      <c r="I140" s="256"/>
      <c r="J140" s="256"/>
      <c r="K140" s="256"/>
      <c r="L140" s="256"/>
      <c r="M140" s="256"/>
      <c r="N140" s="143">
        <f t="shared" si="7"/>
        <v>0</v>
      </c>
      <c r="O140" s="255">
        <v>887.39</v>
      </c>
      <c r="P140" s="256"/>
      <c r="Q140" s="256"/>
      <c r="R140" s="241">
        <f t="shared" si="6"/>
        <v>26349.899999999998</v>
      </c>
    </row>
    <row r="141" spans="1:18" ht="19.95" customHeight="1" x14ac:dyDescent="0.25">
      <c r="A141" s="243" t="s">
        <v>228</v>
      </c>
      <c r="B141" s="238"/>
      <c r="C141" s="239" t="s">
        <v>500</v>
      </c>
      <c r="D141" s="239"/>
      <c r="E141" s="256"/>
      <c r="F141" s="256"/>
      <c r="G141" s="256"/>
      <c r="H141" s="256"/>
      <c r="I141" s="256">
        <v>753.91</v>
      </c>
      <c r="J141" s="256"/>
      <c r="K141" s="256"/>
      <c r="L141" s="256"/>
      <c r="M141" s="256"/>
      <c r="N141" s="143">
        <f t="shared" si="7"/>
        <v>753.91</v>
      </c>
      <c r="O141" s="255"/>
      <c r="P141" s="256"/>
      <c r="Q141" s="256"/>
      <c r="R141" s="241">
        <f t="shared" si="6"/>
        <v>753.91</v>
      </c>
    </row>
    <row r="142" spans="1:18" ht="19.95" customHeight="1" x14ac:dyDescent="0.25">
      <c r="A142" s="238" t="s">
        <v>229</v>
      </c>
      <c r="B142" s="238"/>
      <c r="C142" s="239" t="s">
        <v>500</v>
      </c>
      <c r="D142" s="244" t="s">
        <v>112</v>
      </c>
      <c r="E142" s="256"/>
      <c r="F142" s="256"/>
      <c r="G142" s="256"/>
      <c r="H142" s="256"/>
      <c r="I142" s="256"/>
      <c r="J142" s="256"/>
      <c r="K142" s="256"/>
      <c r="L142" s="256"/>
      <c r="M142" s="256"/>
      <c r="N142" s="143">
        <f t="shared" si="7"/>
        <v>0</v>
      </c>
      <c r="O142" s="256"/>
      <c r="P142" s="256"/>
      <c r="Q142" s="256"/>
      <c r="R142" s="241">
        <f t="shared" si="6"/>
        <v>0</v>
      </c>
    </row>
    <row r="143" spans="1:18" ht="19.95" customHeight="1" x14ac:dyDescent="0.25">
      <c r="A143" s="243" t="s">
        <v>231</v>
      </c>
      <c r="B143" s="238"/>
      <c r="C143" s="239" t="s">
        <v>500</v>
      </c>
      <c r="D143" s="244" t="s">
        <v>91</v>
      </c>
      <c r="E143" s="256">
        <v>7275</v>
      </c>
      <c r="F143" s="256"/>
      <c r="G143" s="256"/>
      <c r="H143" s="256"/>
      <c r="I143" s="256">
        <v>1721.58</v>
      </c>
      <c r="J143" s="256"/>
      <c r="K143" s="256"/>
      <c r="L143" s="256"/>
      <c r="M143" s="256">
        <v>1120.3499999999999</v>
      </c>
      <c r="N143" s="143">
        <f t="shared" si="7"/>
        <v>2841.93</v>
      </c>
      <c r="O143" s="256">
        <v>2533.11</v>
      </c>
      <c r="P143" s="256"/>
      <c r="Q143" s="256"/>
      <c r="R143" s="241">
        <f t="shared" si="6"/>
        <v>12650.04</v>
      </c>
    </row>
    <row r="144" spans="1:18" ht="19.95" customHeight="1" x14ac:dyDescent="0.25">
      <c r="A144" s="243" t="s">
        <v>232</v>
      </c>
      <c r="B144" s="238"/>
      <c r="C144" s="239" t="s">
        <v>500</v>
      </c>
      <c r="D144" s="244" t="s">
        <v>112</v>
      </c>
      <c r="E144" s="255">
        <v>2425</v>
      </c>
      <c r="F144" s="256">
        <v>1212.5</v>
      </c>
      <c r="G144" s="256"/>
      <c r="H144" s="256"/>
      <c r="I144" s="256"/>
      <c r="J144" s="256"/>
      <c r="K144" s="256"/>
      <c r="L144" s="256"/>
      <c r="M144" s="256"/>
      <c r="N144" s="143">
        <f t="shared" si="7"/>
        <v>0</v>
      </c>
      <c r="O144" s="255">
        <v>1050</v>
      </c>
      <c r="P144" s="256"/>
      <c r="Q144" s="256">
        <v>15000</v>
      </c>
      <c r="R144" s="241">
        <f t="shared" si="6"/>
        <v>19687.5</v>
      </c>
    </row>
    <row r="145" spans="1:18" ht="19.95" customHeight="1" x14ac:dyDescent="0.25">
      <c r="A145" s="238" t="s">
        <v>233</v>
      </c>
      <c r="B145" s="238"/>
      <c r="C145" s="239" t="s">
        <v>500</v>
      </c>
      <c r="D145" s="244" t="s">
        <v>112</v>
      </c>
      <c r="E145" s="256">
        <v>11033.75</v>
      </c>
      <c r="F145" s="256"/>
      <c r="G145" s="256"/>
      <c r="H145" s="256"/>
      <c r="I145" s="256"/>
      <c r="J145" s="256"/>
      <c r="K145" s="256"/>
      <c r="L145" s="256"/>
      <c r="M145" s="256"/>
      <c r="N145" s="143">
        <f t="shared" si="7"/>
        <v>0</v>
      </c>
      <c r="O145" s="256">
        <v>460</v>
      </c>
      <c r="P145" s="256"/>
      <c r="Q145" s="256"/>
      <c r="R145" s="241">
        <f t="shared" si="6"/>
        <v>11493.75</v>
      </c>
    </row>
    <row r="146" spans="1:18" ht="19.95" customHeight="1" x14ac:dyDescent="0.25">
      <c r="A146" s="243" t="s">
        <v>234</v>
      </c>
      <c r="B146" s="238"/>
      <c r="C146" s="239" t="s">
        <v>500</v>
      </c>
      <c r="D146" s="244" t="s">
        <v>103</v>
      </c>
      <c r="E146" s="256"/>
      <c r="F146" s="256"/>
      <c r="G146" s="256"/>
      <c r="H146" s="256"/>
      <c r="I146" s="256">
        <v>3530.67</v>
      </c>
      <c r="J146" s="256"/>
      <c r="K146" s="256"/>
      <c r="L146" s="256"/>
      <c r="M146" s="256"/>
      <c r="N146" s="143">
        <f t="shared" si="7"/>
        <v>3530.67</v>
      </c>
      <c r="O146" s="255"/>
      <c r="P146" s="256"/>
      <c r="Q146" s="256"/>
      <c r="R146" s="241">
        <f t="shared" si="6"/>
        <v>3530.67</v>
      </c>
    </row>
    <row r="147" spans="1:18" ht="19.95" customHeight="1" x14ac:dyDescent="0.25">
      <c r="A147" s="238" t="s">
        <v>235</v>
      </c>
      <c r="B147" s="238"/>
      <c r="C147" s="239" t="s">
        <v>500</v>
      </c>
      <c r="D147" s="244" t="s">
        <v>95</v>
      </c>
      <c r="E147" s="256">
        <v>22116</v>
      </c>
      <c r="F147" s="256"/>
      <c r="G147" s="256"/>
      <c r="H147" s="256"/>
      <c r="I147" s="256"/>
      <c r="J147" s="256"/>
      <c r="K147" s="256"/>
      <c r="L147" s="256"/>
      <c r="M147" s="256"/>
      <c r="N147" s="143">
        <f t="shared" si="7"/>
        <v>0</v>
      </c>
      <c r="O147" s="256">
        <v>390</v>
      </c>
      <c r="P147" s="256"/>
      <c r="Q147" s="256"/>
      <c r="R147" s="241">
        <f t="shared" si="6"/>
        <v>22506</v>
      </c>
    </row>
    <row r="148" spans="1:18" ht="19.95" customHeight="1" x14ac:dyDescent="0.25">
      <c r="A148" s="238" t="s">
        <v>237</v>
      </c>
      <c r="B148" s="238"/>
      <c r="C148" s="239" t="s">
        <v>500</v>
      </c>
      <c r="D148" s="239" t="s">
        <v>95</v>
      </c>
      <c r="E148" s="256">
        <v>7815.78</v>
      </c>
      <c r="F148" s="256"/>
      <c r="G148" s="256"/>
      <c r="H148" s="256"/>
      <c r="I148" s="256"/>
      <c r="J148" s="256"/>
      <c r="K148" s="256"/>
      <c r="L148" s="256"/>
      <c r="M148" s="256"/>
      <c r="N148" s="143">
        <f t="shared" si="7"/>
        <v>0</v>
      </c>
      <c r="O148" s="256">
        <v>260</v>
      </c>
      <c r="P148" s="256"/>
      <c r="Q148" s="256"/>
      <c r="R148" s="241">
        <f t="shared" si="6"/>
        <v>8075.78</v>
      </c>
    </row>
    <row r="149" spans="1:18" ht="19.95" customHeight="1" x14ac:dyDescent="0.25">
      <c r="A149" s="238" t="s">
        <v>238</v>
      </c>
      <c r="B149" s="238"/>
      <c r="C149" s="239" t="s">
        <v>500</v>
      </c>
      <c r="D149" s="244" t="s">
        <v>95</v>
      </c>
      <c r="E149" s="256">
        <v>28789.599999999999</v>
      </c>
      <c r="F149" s="256"/>
      <c r="G149" s="256"/>
      <c r="H149" s="256"/>
      <c r="I149" s="256"/>
      <c r="J149" s="256"/>
      <c r="K149" s="256"/>
      <c r="L149" s="256"/>
      <c r="M149" s="256"/>
      <c r="N149" s="143">
        <f t="shared" si="7"/>
        <v>0</v>
      </c>
      <c r="O149" s="256">
        <v>520</v>
      </c>
      <c r="P149" s="256"/>
      <c r="Q149" s="256"/>
      <c r="R149" s="241">
        <f t="shared" si="6"/>
        <v>29309.599999999999</v>
      </c>
    </row>
    <row r="150" spans="1:18" ht="19.95" customHeight="1" x14ac:dyDescent="0.25">
      <c r="A150" s="243" t="s">
        <v>239</v>
      </c>
      <c r="B150" s="238"/>
      <c r="C150" s="239" t="s">
        <v>500</v>
      </c>
      <c r="D150" s="244" t="s">
        <v>87</v>
      </c>
      <c r="E150" s="256">
        <v>2716</v>
      </c>
      <c r="F150" s="256"/>
      <c r="G150" s="256"/>
      <c r="H150" s="256"/>
      <c r="I150" s="256"/>
      <c r="J150" s="256"/>
      <c r="K150" s="256"/>
      <c r="L150" s="256"/>
      <c r="M150" s="256"/>
      <c r="N150" s="143">
        <f t="shared" si="7"/>
        <v>0</v>
      </c>
      <c r="O150" s="256">
        <v>330</v>
      </c>
      <c r="P150" s="256"/>
      <c r="Q150" s="256"/>
      <c r="R150" s="241">
        <f t="shared" si="6"/>
        <v>3046</v>
      </c>
    </row>
    <row r="151" spans="1:18" ht="19.95" customHeight="1" x14ac:dyDescent="0.25">
      <c r="A151" s="238" t="s">
        <v>372</v>
      </c>
      <c r="B151" s="238"/>
      <c r="C151" s="239" t="s">
        <v>500</v>
      </c>
      <c r="D151" s="239"/>
      <c r="E151" s="256"/>
      <c r="F151" s="256"/>
      <c r="G151" s="256"/>
      <c r="H151" s="256"/>
      <c r="I151" s="256"/>
      <c r="J151" s="256"/>
      <c r="K151" s="256"/>
      <c r="L151" s="256"/>
      <c r="M151" s="256"/>
      <c r="N151" s="143">
        <f t="shared" si="7"/>
        <v>0</v>
      </c>
      <c r="O151" s="256"/>
      <c r="P151" s="256"/>
      <c r="Q151" s="256"/>
      <c r="R151" s="241">
        <f t="shared" si="6"/>
        <v>0</v>
      </c>
    </row>
    <row r="152" spans="1:18" ht="19.95" customHeight="1" x14ac:dyDescent="0.25">
      <c r="A152" s="238" t="s">
        <v>240</v>
      </c>
      <c r="B152" s="238"/>
      <c r="C152" s="239" t="s">
        <v>500</v>
      </c>
      <c r="D152" s="239"/>
      <c r="E152" s="256"/>
      <c r="F152" s="256"/>
      <c r="G152" s="256"/>
      <c r="H152" s="256"/>
      <c r="I152" s="256"/>
      <c r="J152" s="256"/>
      <c r="K152" s="256"/>
      <c r="L152" s="256"/>
      <c r="M152" s="256">
        <v>882.7</v>
      </c>
      <c r="N152" s="143">
        <f>SUM(G152:M152)</f>
        <v>882.7</v>
      </c>
      <c r="O152" s="256"/>
      <c r="P152" s="256"/>
      <c r="Q152" s="256"/>
      <c r="R152" s="241">
        <f t="shared" si="6"/>
        <v>882.7</v>
      </c>
    </row>
    <row r="153" spans="1:18" ht="19.95" customHeight="1" x14ac:dyDescent="0.25">
      <c r="A153" s="238" t="s">
        <v>241</v>
      </c>
      <c r="B153" s="238"/>
      <c r="C153" s="239" t="s">
        <v>500</v>
      </c>
      <c r="D153" s="244" t="s">
        <v>95</v>
      </c>
      <c r="E153" s="256">
        <v>16550.63</v>
      </c>
      <c r="F153" s="256"/>
      <c r="G153" s="256"/>
      <c r="H153" s="256"/>
      <c r="I153" s="256"/>
      <c r="J153" s="256">
        <v>59.53</v>
      </c>
      <c r="K153" s="256"/>
      <c r="L153" s="256"/>
      <c r="M153" s="256"/>
      <c r="N153" s="143">
        <f t="shared" si="7"/>
        <v>59.53</v>
      </c>
      <c r="O153" s="256">
        <v>3403.42</v>
      </c>
      <c r="P153" s="256"/>
      <c r="Q153" s="256">
        <v>12500</v>
      </c>
      <c r="R153" s="241">
        <f t="shared" si="6"/>
        <v>32513.58</v>
      </c>
    </row>
    <row r="154" spans="1:18" ht="19.95" customHeight="1" x14ac:dyDescent="0.25">
      <c r="A154" s="238" t="s">
        <v>541</v>
      </c>
      <c r="B154" s="238"/>
      <c r="C154" s="239" t="s">
        <v>500</v>
      </c>
      <c r="D154" s="244"/>
      <c r="E154" s="256"/>
      <c r="F154" s="256"/>
      <c r="G154" s="256"/>
      <c r="H154" s="256"/>
      <c r="I154" s="256">
        <v>505.33</v>
      </c>
      <c r="J154" s="256"/>
      <c r="K154" s="256"/>
      <c r="L154" s="256"/>
      <c r="M154" s="256"/>
      <c r="N154" s="143">
        <f t="shared" si="7"/>
        <v>505.33</v>
      </c>
      <c r="O154" s="256"/>
      <c r="P154" s="256"/>
      <c r="Q154" s="256"/>
      <c r="R154" s="241">
        <f t="shared" si="6"/>
        <v>505.33</v>
      </c>
    </row>
    <row r="155" spans="1:18" ht="19.95" customHeight="1" x14ac:dyDescent="0.25">
      <c r="A155" s="238" t="s">
        <v>243</v>
      </c>
      <c r="B155" s="238"/>
      <c r="C155" s="239" t="s">
        <v>500</v>
      </c>
      <c r="D155" s="239"/>
      <c r="E155" s="256"/>
      <c r="F155" s="256"/>
      <c r="G155" s="256"/>
      <c r="H155" s="256"/>
      <c r="I155" s="256"/>
      <c r="J155" s="256"/>
      <c r="K155" s="256"/>
      <c r="L155" s="256"/>
      <c r="M155" s="256"/>
      <c r="N155" s="143">
        <f t="shared" si="7"/>
        <v>0</v>
      </c>
      <c r="O155" s="256"/>
      <c r="P155" s="256"/>
      <c r="Q155" s="256"/>
      <c r="R155" s="241">
        <f t="shared" si="6"/>
        <v>0</v>
      </c>
    </row>
    <row r="156" spans="1:18" ht="19.95" customHeight="1" x14ac:dyDescent="0.25">
      <c r="A156" s="238" t="s">
        <v>244</v>
      </c>
      <c r="B156" s="238"/>
      <c r="C156" s="239" t="s">
        <v>500</v>
      </c>
      <c r="D156" s="239" t="s">
        <v>93</v>
      </c>
      <c r="E156" s="256">
        <v>3880</v>
      </c>
      <c r="F156" s="256"/>
      <c r="G156" s="256"/>
      <c r="H156" s="256"/>
      <c r="I156" s="256"/>
      <c r="J156" s="256"/>
      <c r="K156" s="256"/>
      <c r="L156" s="256"/>
      <c r="M156" s="256"/>
      <c r="N156" s="143">
        <f t="shared" si="7"/>
        <v>0</v>
      </c>
      <c r="O156" s="256">
        <v>1501.04</v>
      </c>
      <c r="P156" s="256"/>
      <c r="Q156" s="256"/>
      <c r="R156" s="241">
        <f t="shared" si="6"/>
        <v>5381.04</v>
      </c>
    </row>
    <row r="157" spans="1:18" ht="19.95" customHeight="1" x14ac:dyDescent="0.25">
      <c r="A157" s="246" t="s">
        <v>85</v>
      </c>
      <c r="B157" s="247"/>
      <c r="C157" s="247"/>
      <c r="D157" s="247"/>
      <c r="E157" s="248">
        <f>SUM(E62:E156)</f>
        <v>498460.87</v>
      </c>
      <c r="F157" s="248">
        <f>SUM(F62:F156)</f>
        <v>3913.95</v>
      </c>
      <c r="G157" s="248">
        <f t="shared" ref="G157:N157" si="8">SUM(G62:G156)</f>
        <v>14.88</v>
      </c>
      <c r="H157" s="248">
        <f t="shared" si="8"/>
        <v>3768.01</v>
      </c>
      <c r="I157" s="248">
        <f t="shared" si="8"/>
        <v>26725.079999999994</v>
      </c>
      <c r="J157" s="248">
        <f t="shared" si="8"/>
        <v>672.86</v>
      </c>
      <c r="K157" s="248">
        <f t="shared" si="8"/>
        <v>0</v>
      </c>
      <c r="L157" s="248">
        <f t="shared" si="8"/>
        <v>3110.52</v>
      </c>
      <c r="M157" s="248">
        <f t="shared" si="8"/>
        <v>7570.8499999999995</v>
      </c>
      <c r="N157" s="146">
        <f t="shared" si="8"/>
        <v>41862.200000000004</v>
      </c>
      <c r="O157" s="248">
        <f>SUM(O62:O156)</f>
        <v>34186.1</v>
      </c>
      <c r="P157" s="248">
        <f>SUM(P62:P156)</f>
        <v>0</v>
      </c>
      <c r="Q157" s="248">
        <f>SUM(Q62:Q156)</f>
        <v>103333.34</v>
      </c>
      <c r="R157" s="249">
        <f t="shared" si="6"/>
        <v>681756.46</v>
      </c>
    </row>
    <row r="158" spans="1:18" ht="19.95" customHeight="1" x14ac:dyDescent="0.25">
      <c r="A158" s="237" t="s">
        <v>389</v>
      </c>
      <c r="B158" s="238"/>
      <c r="C158" s="239" t="s">
        <v>501</v>
      </c>
      <c r="D158" s="257" t="s">
        <v>110</v>
      </c>
      <c r="E158" s="258"/>
      <c r="F158" s="258"/>
      <c r="G158" s="258"/>
      <c r="H158" s="258"/>
      <c r="I158" s="258">
        <v>556.58000000000004</v>
      </c>
      <c r="J158" s="258"/>
      <c r="K158" s="258"/>
      <c r="L158" s="258"/>
      <c r="M158" s="258">
        <v>24762.880000000001</v>
      </c>
      <c r="N158" s="143">
        <f>SUM(G158:M158)</f>
        <v>25319.460000000003</v>
      </c>
      <c r="O158" s="258"/>
      <c r="P158" s="258"/>
      <c r="Q158" s="258"/>
      <c r="R158" s="241">
        <f>E158+F158+N158+O158+P158+Q158</f>
        <v>25319.460000000003</v>
      </c>
    </row>
    <row r="159" spans="1:18" ht="19.95" customHeight="1" x14ac:dyDescent="0.25">
      <c r="A159" s="259" t="s">
        <v>390</v>
      </c>
      <c r="B159" s="238"/>
      <c r="C159" s="239" t="s">
        <v>501</v>
      </c>
      <c r="D159" s="257"/>
      <c r="E159" s="258"/>
      <c r="F159" s="258"/>
      <c r="G159" s="258"/>
      <c r="H159" s="258"/>
      <c r="I159" s="258"/>
      <c r="J159" s="258"/>
      <c r="K159" s="258"/>
      <c r="L159" s="258"/>
      <c r="M159" s="258">
        <v>1396.13</v>
      </c>
      <c r="N159" s="143">
        <f t="shared" ref="N159:N232" si="9">SUM(G159:M159)</f>
        <v>1396.13</v>
      </c>
      <c r="O159" s="258">
        <v>200</v>
      </c>
      <c r="P159" s="258"/>
      <c r="Q159" s="258">
        <v>12750</v>
      </c>
      <c r="R159" s="241">
        <f>E159+F159+N159+O159+P159+Q159</f>
        <v>14346.130000000001</v>
      </c>
    </row>
    <row r="160" spans="1:18" ht="19.95" customHeight="1" x14ac:dyDescent="0.25">
      <c r="A160" s="259" t="s">
        <v>391</v>
      </c>
      <c r="B160" s="238"/>
      <c r="C160" s="239" t="s">
        <v>501</v>
      </c>
      <c r="D160" s="260" t="s">
        <v>250</v>
      </c>
      <c r="E160" s="258">
        <v>3765.4</v>
      </c>
      <c r="F160" s="258"/>
      <c r="G160" s="258"/>
      <c r="H160" s="258"/>
      <c r="I160" s="258"/>
      <c r="J160" s="258"/>
      <c r="K160" s="258"/>
      <c r="L160" s="258">
        <v>3703</v>
      </c>
      <c r="M160" s="258"/>
      <c r="N160" s="143">
        <f t="shared" si="9"/>
        <v>3703</v>
      </c>
      <c r="O160" s="258"/>
      <c r="P160" s="258"/>
      <c r="Q160" s="258"/>
      <c r="R160" s="241">
        <f t="shared" ref="R160:R232" si="10">E160+F160+N160+O160+P160+Q160</f>
        <v>7468.4</v>
      </c>
    </row>
    <row r="161" spans="1:18" ht="19.95" customHeight="1" x14ac:dyDescent="0.25">
      <c r="A161" s="259" t="s">
        <v>392</v>
      </c>
      <c r="B161" s="238"/>
      <c r="C161" s="239" t="s">
        <v>501</v>
      </c>
      <c r="D161" s="257"/>
      <c r="E161" s="258"/>
      <c r="F161" s="258"/>
      <c r="G161" s="258"/>
      <c r="H161" s="258"/>
      <c r="I161" s="258"/>
      <c r="J161" s="258"/>
      <c r="K161" s="258"/>
      <c r="L161" s="258">
        <v>18476.91</v>
      </c>
      <c r="M161" s="258"/>
      <c r="N161" s="143">
        <f t="shared" si="9"/>
        <v>18476.91</v>
      </c>
      <c r="O161" s="258">
        <v>261</v>
      </c>
      <c r="P161" s="258"/>
      <c r="Q161" s="258"/>
      <c r="R161" s="241">
        <f t="shared" si="10"/>
        <v>18737.91</v>
      </c>
    </row>
    <row r="162" spans="1:18" ht="19.95" customHeight="1" x14ac:dyDescent="0.25">
      <c r="A162" s="259" t="s">
        <v>393</v>
      </c>
      <c r="B162" s="238"/>
      <c r="C162" s="239" t="s">
        <v>501</v>
      </c>
      <c r="D162" s="260" t="s">
        <v>250</v>
      </c>
      <c r="E162" s="258">
        <v>3324.05</v>
      </c>
      <c r="F162" s="258"/>
      <c r="G162" s="258"/>
      <c r="H162" s="258"/>
      <c r="I162" s="258"/>
      <c r="J162" s="258"/>
      <c r="K162" s="258"/>
      <c r="L162" s="258">
        <v>2221.8000000000002</v>
      </c>
      <c r="M162" s="258"/>
      <c r="N162" s="143">
        <f t="shared" si="9"/>
        <v>2221.8000000000002</v>
      </c>
      <c r="O162" s="258"/>
      <c r="P162" s="258"/>
      <c r="Q162" s="258"/>
      <c r="R162" s="241">
        <f t="shared" si="10"/>
        <v>5545.85</v>
      </c>
    </row>
    <row r="163" spans="1:18" ht="19.95" customHeight="1" x14ac:dyDescent="0.25">
      <c r="A163" s="259" t="s">
        <v>394</v>
      </c>
      <c r="B163" s="238"/>
      <c r="C163" s="239" t="s">
        <v>501</v>
      </c>
      <c r="D163" s="257"/>
      <c r="E163" s="258"/>
      <c r="F163" s="258"/>
      <c r="G163" s="258"/>
      <c r="H163" s="258"/>
      <c r="I163" s="258"/>
      <c r="J163" s="258"/>
      <c r="K163" s="258"/>
      <c r="L163" s="258">
        <v>7044.17</v>
      </c>
      <c r="M163" s="258"/>
      <c r="N163" s="143">
        <f t="shared" si="9"/>
        <v>7044.17</v>
      </c>
      <c r="O163" s="258">
        <v>747.35</v>
      </c>
      <c r="P163" s="258"/>
      <c r="Q163" s="258"/>
      <c r="R163" s="241">
        <f t="shared" si="10"/>
        <v>7791.52</v>
      </c>
    </row>
    <row r="164" spans="1:18" ht="19.95" customHeight="1" x14ac:dyDescent="0.25">
      <c r="A164" s="232" t="s">
        <v>395</v>
      </c>
      <c r="B164" s="238"/>
      <c r="C164" s="239" t="s">
        <v>501</v>
      </c>
      <c r="D164" s="257" t="s">
        <v>93</v>
      </c>
      <c r="E164" s="258">
        <v>3783</v>
      </c>
      <c r="F164" s="258"/>
      <c r="G164" s="258"/>
      <c r="H164" s="258"/>
      <c r="I164" s="258"/>
      <c r="J164" s="258"/>
      <c r="K164" s="258"/>
      <c r="L164" s="258">
        <v>2990.14</v>
      </c>
      <c r="M164" s="258"/>
      <c r="N164" s="143">
        <f t="shared" si="9"/>
        <v>2990.14</v>
      </c>
      <c r="O164" s="258"/>
      <c r="P164" s="258"/>
      <c r="Q164" s="258"/>
      <c r="R164" s="241">
        <f t="shared" si="10"/>
        <v>6773.1399999999994</v>
      </c>
    </row>
    <row r="165" spans="1:18" ht="19.95" customHeight="1" x14ac:dyDescent="0.25">
      <c r="A165" s="232" t="s">
        <v>268</v>
      </c>
      <c r="B165" s="238"/>
      <c r="C165" s="239" t="s">
        <v>501</v>
      </c>
      <c r="D165" s="257" t="s">
        <v>352</v>
      </c>
      <c r="E165" s="258">
        <v>2364.37</v>
      </c>
      <c r="F165" s="258"/>
      <c r="G165" s="258"/>
      <c r="H165" s="258"/>
      <c r="I165" s="258"/>
      <c r="J165" s="258"/>
      <c r="K165" s="258"/>
      <c r="L165" s="258"/>
      <c r="M165" s="258"/>
      <c r="N165" s="143">
        <f t="shared" si="9"/>
        <v>0</v>
      </c>
      <c r="O165" s="258"/>
      <c r="P165" s="258"/>
      <c r="Q165" s="258"/>
      <c r="R165" s="241">
        <f t="shared" si="10"/>
        <v>2364.37</v>
      </c>
    </row>
    <row r="166" spans="1:18" ht="19.95" customHeight="1" x14ac:dyDescent="0.25">
      <c r="A166" s="232" t="s">
        <v>269</v>
      </c>
      <c r="B166" s="238"/>
      <c r="C166" s="239" t="s">
        <v>501</v>
      </c>
      <c r="D166" s="257" t="s">
        <v>112</v>
      </c>
      <c r="E166" s="258">
        <v>10063.75</v>
      </c>
      <c r="F166" s="258"/>
      <c r="G166" s="258"/>
      <c r="H166" s="258"/>
      <c r="I166" s="258"/>
      <c r="J166" s="258"/>
      <c r="K166" s="258"/>
      <c r="L166" s="258"/>
      <c r="M166" s="258"/>
      <c r="N166" s="143">
        <f t="shared" si="9"/>
        <v>0</v>
      </c>
      <c r="O166" s="258">
        <v>260</v>
      </c>
      <c r="P166" s="258"/>
      <c r="Q166" s="258"/>
      <c r="R166" s="241">
        <f t="shared" si="10"/>
        <v>10323.75</v>
      </c>
    </row>
    <row r="167" spans="1:18" ht="19.95" customHeight="1" x14ac:dyDescent="0.25">
      <c r="A167" s="232" t="s">
        <v>267</v>
      </c>
      <c r="B167" s="238"/>
      <c r="C167" s="239" t="s">
        <v>501</v>
      </c>
      <c r="D167" s="257" t="s">
        <v>91</v>
      </c>
      <c r="E167" s="258">
        <v>18187.57</v>
      </c>
      <c r="F167" s="258"/>
      <c r="G167" s="258"/>
      <c r="H167" s="258"/>
      <c r="I167" s="258"/>
      <c r="J167" s="258"/>
      <c r="K167" s="258"/>
      <c r="L167" s="258">
        <v>1087.2</v>
      </c>
      <c r="M167" s="258"/>
      <c r="N167" s="143">
        <f t="shared" si="9"/>
        <v>1087.2</v>
      </c>
      <c r="O167" s="258">
        <v>481.56</v>
      </c>
      <c r="P167" s="258"/>
      <c r="Q167" s="258"/>
      <c r="R167" s="241">
        <f t="shared" si="10"/>
        <v>19756.330000000002</v>
      </c>
    </row>
    <row r="168" spans="1:18" ht="19.95" customHeight="1" x14ac:dyDescent="0.25">
      <c r="A168" s="232" t="s">
        <v>396</v>
      </c>
      <c r="B168" s="238"/>
      <c r="C168" s="239" t="s">
        <v>501</v>
      </c>
      <c r="D168" s="257"/>
      <c r="E168" s="263"/>
      <c r="F168" s="263"/>
      <c r="G168" s="263"/>
      <c r="H168" s="263"/>
      <c r="I168" s="263"/>
      <c r="J168" s="263"/>
      <c r="K168" s="263"/>
      <c r="L168" s="263">
        <v>8159.29</v>
      </c>
      <c r="M168" s="263"/>
      <c r="N168" s="143">
        <f t="shared" si="9"/>
        <v>8159.29</v>
      </c>
      <c r="O168" s="263"/>
      <c r="P168" s="263"/>
      <c r="Q168" s="263"/>
      <c r="R168" s="241">
        <f t="shared" si="10"/>
        <v>8159.29</v>
      </c>
    </row>
    <row r="169" spans="1:18" ht="19.95" customHeight="1" x14ac:dyDescent="0.25">
      <c r="A169" s="232" t="s">
        <v>397</v>
      </c>
      <c r="B169" s="238"/>
      <c r="C169" s="239" t="s">
        <v>501</v>
      </c>
      <c r="D169" s="260" t="s">
        <v>93</v>
      </c>
      <c r="E169" s="263"/>
      <c r="F169" s="263"/>
      <c r="G169" s="263"/>
      <c r="H169" s="263"/>
      <c r="I169" s="263"/>
      <c r="J169" s="263"/>
      <c r="K169" s="263"/>
      <c r="L169" s="263"/>
      <c r="M169" s="263"/>
      <c r="N169" s="143">
        <f t="shared" si="9"/>
        <v>0</v>
      </c>
      <c r="O169" s="263"/>
      <c r="P169" s="263"/>
      <c r="Q169" s="263"/>
      <c r="R169" s="241">
        <f t="shared" si="10"/>
        <v>0</v>
      </c>
    </row>
    <row r="170" spans="1:18" ht="19.95" customHeight="1" x14ac:dyDescent="0.25">
      <c r="A170" s="232" t="s">
        <v>398</v>
      </c>
      <c r="B170" s="238"/>
      <c r="C170" s="239" t="s">
        <v>501</v>
      </c>
      <c r="D170" s="260" t="s">
        <v>95</v>
      </c>
      <c r="E170" s="263">
        <v>3026.4</v>
      </c>
      <c r="F170" s="263"/>
      <c r="G170" s="263"/>
      <c r="H170" s="263"/>
      <c r="I170" s="263"/>
      <c r="J170" s="263"/>
      <c r="K170" s="263"/>
      <c r="L170" s="263"/>
      <c r="M170" s="263"/>
      <c r="N170" s="143">
        <f t="shared" si="9"/>
        <v>0</v>
      </c>
      <c r="O170" s="263"/>
      <c r="P170" s="263"/>
      <c r="Q170" s="263"/>
      <c r="R170" s="241">
        <f t="shared" si="10"/>
        <v>3026.4</v>
      </c>
    </row>
    <row r="171" spans="1:18" ht="19.95" customHeight="1" x14ac:dyDescent="0.25">
      <c r="A171" s="232" t="s">
        <v>271</v>
      </c>
      <c r="B171" s="238"/>
      <c r="C171" s="239" t="s">
        <v>501</v>
      </c>
      <c r="D171" s="260"/>
      <c r="E171" s="263"/>
      <c r="F171" s="263"/>
      <c r="G171" s="263"/>
      <c r="H171" s="263"/>
      <c r="I171" s="263"/>
      <c r="J171" s="263"/>
      <c r="K171" s="263"/>
      <c r="L171" s="263">
        <v>570.78</v>
      </c>
      <c r="M171" s="263"/>
      <c r="N171" s="143">
        <f t="shared" si="9"/>
        <v>570.78</v>
      </c>
      <c r="O171" s="263"/>
      <c r="P171" s="263"/>
      <c r="Q171" s="263"/>
      <c r="R171" s="241">
        <f t="shared" si="10"/>
        <v>570.78</v>
      </c>
    </row>
    <row r="172" spans="1:18" ht="19.95" customHeight="1" x14ac:dyDescent="0.25">
      <c r="A172" s="232" t="s">
        <v>550</v>
      </c>
      <c r="B172" s="238"/>
      <c r="C172" s="239" t="s">
        <v>501</v>
      </c>
      <c r="D172" s="260"/>
      <c r="E172" s="263"/>
      <c r="F172" s="263"/>
      <c r="G172" s="263"/>
      <c r="H172" s="263"/>
      <c r="I172" s="263"/>
      <c r="J172" s="263"/>
      <c r="K172" s="263"/>
      <c r="L172" s="263">
        <v>624.74</v>
      </c>
      <c r="M172" s="263"/>
      <c r="N172" s="143">
        <f t="shared" si="9"/>
        <v>624.74</v>
      </c>
      <c r="O172" s="263"/>
      <c r="P172" s="263"/>
      <c r="Q172" s="263"/>
      <c r="R172" s="241">
        <f t="shared" si="10"/>
        <v>624.74</v>
      </c>
    </row>
    <row r="173" spans="1:18" ht="19.95" customHeight="1" x14ac:dyDescent="0.25">
      <c r="A173" s="232" t="s">
        <v>272</v>
      </c>
      <c r="B173" s="238"/>
      <c r="C173" s="239" t="s">
        <v>501</v>
      </c>
      <c r="D173" s="257" t="s">
        <v>112</v>
      </c>
      <c r="E173" s="263">
        <v>11033.75</v>
      </c>
      <c r="F173" s="263"/>
      <c r="G173" s="263"/>
      <c r="H173" s="263"/>
      <c r="I173" s="263"/>
      <c r="J173" s="263"/>
      <c r="K173" s="263"/>
      <c r="L173" s="263"/>
      <c r="M173" s="263"/>
      <c r="N173" s="143">
        <f t="shared" si="9"/>
        <v>0</v>
      </c>
      <c r="O173" s="263">
        <v>520</v>
      </c>
      <c r="P173" s="263"/>
      <c r="Q173" s="263"/>
      <c r="R173" s="241">
        <f t="shared" si="10"/>
        <v>11553.75</v>
      </c>
    </row>
    <row r="174" spans="1:18" ht="19.95" customHeight="1" x14ac:dyDescent="0.25">
      <c r="A174" s="232" t="s">
        <v>399</v>
      </c>
      <c r="B174" s="238"/>
      <c r="C174" s="239" t="s">
        <v>501</v>
      </c>
      <c r="D174" s="260" t="s">
        <v>95</v>
      </c>
      <c r="E174" s="263">
        <v>4578.3999999999996</v>
      </c>
      <c r="F174" s="263"/>
      <c r="G174" s="263"/>
      <c r="H174" s="263"/>
      <c r="I174" s="263"/>
      <c r="J174" s="263"/>
      <c r="K174" s="263"/>
      <c r="L174" s="263"/>
      <c r="M174" s="263"/>
      <c r="N174" s="143">
        <f t="shared" si="9"/>
        <v>0</v>
      </c>
      <c r="O174" s="263">
        <v>260</v>
      </c>
      <c r="P174" s="263"/>
      <c r="Q174" s="263"/>
      <c r="R174" s="241">
        <f t="shared" si="10"/>
        <v>4838.3999999999996</v>
      </c>
    </row>
    <row r="175" spans="1:18" ht="19.95" customHeight="1" x14ac:dyDescent="0.25">
      <c r="A175" s="232" t="s">
        <v>400</v>
      </c>
      <c r="B175" s="238"/>
      <c r="C175" s="239" t="s">
        <v>501</v>
      </c>
      <c r="D175" s="260" t="s">
        <v>93</v>
      </c>
      <c r="E175" s="263"/>
      <c r="F175" s="263"/>
      <c r="G175" s="263"/>
      <c r="H175" s="263">
        <v>1930.19</v>
      </c>
      <c r="I175" s="263"/>
      <c r="J175" s="263"/>
      <c r="K175" s="263"/>
      <c r="L175" s="263">
        <v>579.61</v>
      </c>
      <c r="M175" s="263"/>
      <c r="N175" s="143">
        <f t="shared" si="9"/>
        <v>2509.8000000000002</v>
      </c>
      <c r="O175" s="263"/>
      <c r="P175" s="263"/>
      <c r="Q175" s="263"/>
      <c r="R175" s="241">
        <f t="shared" si="10"/>
        <v>2509.8000000000002</v>
      </c>
    </row>
    <row r="176" spans="1:18" ht="19.95" customHeight="1" x14ac:dyDescent="0.25">
      <c r="A176" s="232" t="s">
        <v>274</v>
      </c>
      <c r="B176" s="238"/>
      <c r="C176" s="239" t="s">
        <v>501</v>
      </c>
      <c r="D176" s="260"/>
      <c r="E176" s="263"/>
      <c r="F176" s="263"/>
      <c r="G176" s="263"/>
      <c r="H176" s="263"/>
      <c r="I176" s="263"/>
      <c r="J176" s="263"/>
      <c r="K176" s="263"/>
      <c r="L176" s="263">
        <v>1631.48</v>
      </c>
      <c r="M176" s="263"/>
      <c r="N176" s="143">
        <f t="shared" si="9"/>
        <v>1631.48</v>
      </c>
      <c r="O176" s="263"/>
      <c r="P176" s="263"/>
      <c r="Q176" s="263"/>
      <c r="R176" s="241">
        <f t="shared" si="10"/>
        <v>1631.48</v>
      </c>
    </row>
    <row r="177" spans="1:18" ht="19.95" customHeight="1" x14ac:dyDescent="0.25">
      <c r="A177" s="232" t="s">
        <v>275</v>
      </c>
      <c r="B177" s="238"/>
      <c r="C177" s="239" t="s">
        <v>501</v>
      </c>
      <c r="D177" s="260" t="s">
        <v>112</v>
      </c>
      <c r="E177" s="263"/>
      <c r="F177" s="263"/>
      <c r="G177" s="263"/>
      <c r="H177" s="263"/>
      <c r="I177" s="263"/>
      <c r="J177" s="263"/>
      <c r="K177" s="263"/>
      <c r="L177" s="263"/>
      <c r="M177" s="263"/>
      <c r="N177" s="143">
        <f t="shared" si="9"/>
        <v>0</v>
      </c>
      <c r="O177" s="263"/>
      <c r="P177" s="263"/>
      <c r="Q177" s="263"/>
      <c r="R177" s="241">
        <f t="shared" si="10"/>
        <v>0</v>
      </c>
    </row>
    <row r="178" spans="1:18" ht="19.95" customHeight="1" x14ac:dyDescent="0.25">
      <c r="A178" s="232" t="s">
        <v>276</v>
      </c>
      <c r="B178" s="238"/>
      <c r="C178" s="239" t="s">
        <v>501</v>
      </c>
      <c r="D178" s="257" t="s">
        <v>103</v>
      </c>
      <c r="E178" s="263">
        <v>17039.650000000001</v>
      </c>
      <c r="F178" s="263"/>
      <c r="G178" s="263"/>
      <c r="H178" s="263"/>
      <c r="I178" s="263">
        <v>144.35</v>
      </c>
      <c r="J178" s="263"/>
      <c r="K178" s="263"/>
      <c r="L178" s="263">
        <v>8845.85</v>
      </c>
      <c r="M178" s="263"/>
      <c r="N178" s="143">
        <f t="shared" si="9"/>
        <v>8990.2000000000007</v>
      </c>
      <c r="O178" s="263">
        <v>520</v>
      </c>
      <c r="P178" s="263"/>
      <c r="Q178" s="263"/>
      <c r="R178" s="241">
        <f t="shared" si="10"/>
        <v>26549.850000000002</v>
      </c>
    </row>
    <row r="179" spans="1:18" ht="19.95" customHeight="1" x14ac:dyDescent="0.25">
      <c r="A179" s="232" t="s">
        <v>277</v>
      </c>
      <c r="B179" s="238"/>
      <c r="C179" s="239" t="s">
        <v>501</v>
      </c>
      <c r="D179" s="260"/>
      <c r="E179" s="263"/>
      <c r="F179" s="263"/>
      <c r="G179" s="263"/>
      <c r="H179" s="263"/>
      <c r="I179" s="263"/>
      <c r="J179" s="263"/>
      <c r="K179" s="263"/>
      <c r="L179" s="263">
        <v>1304.6400000000001</v>
      </c>
      <c r="M179" s="263"/>
      <c r="N179" s="143">
        <f t="shared" si="9"/>
        <v>1304.6400000000001</v>
      </c>
      <c r="O179" s="263">
        <v>4200</v>
      </c>
      <c r="P179" s="263"/>
      <c r="Q179" s="263"/>
      <c r="R179" s="241">
        <f t="shared" si="10"/>
        <v>5504.64</v>
      </c>
    </row>
    <row r="180" spans="1:18" ht="19.95" customHeight="1" x14ac:dyDescent="0.25">
      <c r="A180" s="232" t="s">
        <v>547</v>
      </c>
      <c r="B180" s="238"/>
      <c r="C180" s="239" t="s">
        <v>501</v>
      </c>
      <c r="D180" s="260" t="s">
        <v>103</v>
      </c>
      <c r="E180" s="263"/>
      <c r="F180" s="263"/>
      <c r="G180" s="263">
        <v>53.74</v>
      </c>
      <c r="H180" s="263"/>
      <c r="I180" s="263">
        <v>127.5</v>
      </c>
      <c r="J180" s="263"/>
      <c r="K180" s="263"/>
      <c r="L180" s="263"/>
      <c r="M180" s="263"/>
      <c r="N180" s="143">
        <f t="shared" si="9"/>
        <v>181.24</v>
      </c>
      <c r="O180" s="263"/>
      <c r="P180" s="263"/>
      <c r="Q180" s="263"/>
      <c r="R180" s="241">
        <f t="shared" si="10"/>
        <v>181.24</v>
      </c>
    </row>
    <row r="181" spans="1:18" ht="19.95" customHeight="1" x14ac:dyDescent="0.25">
      <c r="A181" s="275" t="s">
        <v>278</v>
      </c>
      <c r="B181" s="238"/>
      <c r="C181" s="239" t="s">
        <v>501</v>
      </c>
      <c r="D181" s="257" t="s">
        <v>91</v>
      </c>
      <c r="E181" s="262">
        <v>11821.92</v>
      </c>
      <c r="F181" s="263"/>
      <c r="G181" s="263"/>
      <c r="H181" s="263"/>
      <c r="I181" s="263"/>
      <c r="J181" s="263"/>
      <c r="K181" s="263"/>
      <c r="L181" s="263"/>
      <c r="M181" s="263"/>
      <c r="N181" s="143">
        <f t="shared" si="9"/>
        <v>0</v>
      </c>
      <c r="O181" s="262"/>
      <c r="P181" s="263"/>
      <c r="Q181" s="263"/>
      <c r="R181" s="241">
        <f t="shared" si="10"/>
        <v>11821.92</v>
      </c>
    </row>
    <row r="182" spans="1:18" ht="19.95" customHeight="1" x14ac:dyDescent="0.25">
      <c r="A182" s="275" t="s">
        <v>402</v>
      </c>
      <c r="B182" s="238"/>
      <c r="C182" s="239" t="s">
        <v>501</v>
      </c>
      <c r="D182" s="257" t="s">
        <v>112</v>
      </c>
      <c r="E182" s="262">
        <v>8487.5</v>
      </c>
      <c r="F182" s="263"/>
      <c r="G182" s="263"/>
      <c r="H182" s="263"/>
      <c r="I182" s="263"/>
      <c r="J182" s="263"/>
      <c r="K182" s="263"/>
      <c r="L182" s="263"/>
      <c r="M182" s="263"/>
      <c r="N182" s="143">
        <f t="shared" si="9"/>
        <v>0</v>
      </c>
      <c r="O182" s="262">
        <v>260</v>
      </c>
      <c r="P182" s="263"/>
      <c r="Q182" s="263"/>
      <c r="R182" s="241">
        <f t="shared" si="10"/>
        <v>8747.5</v>
      </c>
    </row>
    <row r="183" spans="1:18" ht="19.95" customHeight="1" x14ac:dyDescent="0.25">
      <c r="A183" s="275" t="s">
        <v>280</v>
      </c>
      <c r="B183" s="238"/>
      <c r="C183" s="239" t="s">
        <v>501</v>
      </c>
      <c r="D183" s="257" t="s">
        <v>93</v>
      </c>
      <c r="E183" s="262">
        <v>1600.5</v>
      </c>
      <c r="F183" s="263"/>
      <c r="G183" s="263"/>
      <c r="H183" s="263"/>
      <c r="I183" s="263"/>
      <c r="J183" s="263"/>
      <c r="K183" s="263"/>
      <c r="L183" s="263">
        <v>1488.82</v>
      </c>
      <c r="M183" s="263"/>
      <c r="N183" s="143">
        <f t="shared" si="9"/>
        <v>1488.82</v>
      </c>
      <c r="O183" s="262"/>
      <c r="P183" s="263"/>
      <c r="Q183" s="263"/>
      <c r="R183" s="241">
        <f t="shared" si="10"/>
        <v>3089.3199999999997</v>
      </c>
    </row>
    <row r="184" spans="1:18" ht="19.95" customHeight="1" x14ac:dyDescent="0.25">
      <c r="A184" s="275" t="s">
        <v>403</v>
      </c>
      <c r="B184" s="238"/>
      <c r="C184" s="239" t="s">
        <v>501</v>
      </c>
      <c r="D184" s="260" t="s">
        <v>93</v>
      </c>
      <c r="E184" s="262">
        <v>970</v>
      </c>
      <c r="F184" s="263"/>
      <c r="G184" s="263"/>
      <c r="H184" s="263"/>
      <c r="I184" s="263"/>
      <c r="J184" s="263"/>
      <c r="K184" s="263"/>
      <c r="L184" s="263"/>
      <c r="M184" s="263"/>
      <c r="N184" s="143">
        <f t="shared" si="9"/>
        <v>0</v>
      </c>
      <c r="O184" s="262"/>
      <c r="P184" s="263"/>
      <c r="Q184" s="263"/>
      <c r="R184" s="241">
        <f t="shared" si="10"/>
        <v>970</v>
      </c>
    </row>
    <row r="185" spans="1:18" ht="19.95" customHeight="1" x14ac:dyDescent="0.25">
      <c r="A185" s="275" t="s">
        <v>282</v>
      </c>
      <c r="B185" s="238"/>
      <c r="C185" s="239" t="s">
        <v>501</v>
      </c>
      <c r="D185" s="257"/>
      <c r="E185" s="262"/>
      <c r="F185" s="263"/>
      <c r="G185" s="263"/>
      <c r="H185" s="263"/>
      <c r="I185" s="263"/>
      <c r="J185" s="263"/>
      <c r="K185" s="263"/>
      <c r="L185" s="263">
        <v>306.06</v>
      </c>
      <c r="M185" s="263"/>
      <c r="N185" s="143">
        <f t="shared" si="9"/>
        <v>306.06</v>
      </c>
      <c r="O185" s="262"/>
      <c r="P185" s="263"/>
      <c r="Q185" s="263"/>
      <c r="R185" s="241">
        <f t="shared" si="10"/>
        <v>306.06</v>
      </c>
    </row>
    <row r="186" spans="1:18" ht="19.95" customHeight="1" x14ac:dyDescent="0.25">
      <c r="A186" s="275" t="s">
        <v>283</v>
      </c>
      <c r="B186" s="238"/>
      <c r="C186" s="239" t="s">
        <v>501</v>
      </c>
      <c r="D186" s="260" t="s">
        <v>87</v>
      </c>
      <c r="E186" s="262"/>
      <c r="F186" s="263"/>
      <c r="G186" s="263"/>
      <c r="H186" s="263"/>
      <c r="I186" s="263"/>
      <c r="J186" s="263"/>
      <c r="K186" s="263"/>
      <c r="L186" s="263">
        <v>360.5</v>
      </c>
      <c r="M186" s="263"/>
      <c r="N186" s="143">
        <f t="shared" si="9"/>
        <v>360.5</v>
      </c>
      <c r="O186" s="262"/>
      <c r="P186" s="263"/>
      <c r="Q186" s="263"/>
      <c r="R186" s="241">
        <f t="shared" si="10"/>
        <v>360.5</v>
      </c>
    </row>
    <row r="187" spans="1:18" ht="19.95" customHeight="1" x14ac:dyDescent="0.25">
      <c r="A187" s="275" t="s">
        <v>284</v>
      </c>
      <c r="B187" s="238"/>
      <c r="C187" s="239" t="s">
        <v>501</v>
      </c>
      <c r="D187" s="244" t="s">
        <v>112</v>
      </c>
      <c r="E187" s="262">
        <v>14792.46</v>
      </c>
      <c r="F187" s="263"/>
      <c r="G187" s="263"/>
      <c r="H187" s="263"/>
      <c r="I187" s="263"/>
      <c r="J187" s="263"/>
      <c r="K187" s="263"/>
      <c r="L187" s="263"/>
      <c r="M187" s="263"/>
      <c r="N187" s="143">
        <f t="shared" si="9"/>
        <v>0</v>
      </c>
      <c r="O187" s="262">
        <v>1320</v>
      </c>
      <c r="P187" s="263"/>
      <c r="Q187" s="263"/>
      <c r="R187" s="241">
        <f t="shared" si="10"/>
        <v>16112.46</v>
      </c>
    </row>
    <row r="188" spans="1:18" ht="19.95" customHeight="1" x14ac:dyDescent="0.25">
      <c r="A188" s="275" t="s">
        <v>404</v>
      </c>
      <c r="B188" s="238"/>
      <c r="C188" s="239" t="s">
        <v>501</v>
      </c>
      <c r="D188" s="257" t="s">
        <v>112</v>
      </c>
      <c r="E188" s="262"/>
      <c r="F188" s="263"/>
      <c r="G188" s="263"/>
      <c r="H188" s="263"/>
      <c r="I188" s="263"/>
      <c r="J188" s="263"/>
      <c r="K188" s="263"/>
      <c r="L188" s="263"/>
      <c r="M188" s="263"/>
      <c r="N188" s="143">
        <f t="shared" si="9"/>
        <v>0</v>
      </c>
      <c r="O188" s="262"/>
      <c r="P188" s="263"/>
      <c r="Q188" s="263"/>
      <c r="R188" s="241">
        <f t="shared" si="10"/>
        <v>0</v>
      </c>
    </row>
    <row r="189" spans="1:18" ht="19.95" customHeight="1" x14ac:dyDescent="0.25">
      <c r="A189" s="275" t="s">
        <v>551</v>
      </c>
      <c r="B189" s="238"/>
      <c r="C189" s="239" t="s">
        <v>501</v>
      </c>
      <c r="D189" s="257"/>
      <c r="E189" s="262"/>
      <c r="F189" s="263"/>
      <c r="G189" s="263"/>
      <c r="H189" s="263"/>
      <c r="I189" s="263"/>
      <c r="J189" s="263"/>
      <c r="K189" s="263"/>
      <c r="L189" s="263">
        <v>358.46</v>
      </c>
      <c r="M189" s="263"/>
      <c r="N189" s="143">
        <f t="shared" si="9"/>
        <v>358.46</v>
      </c>
      <c r="O189" s="262"/>
      <c r="P189" s="263"/>
      <c r="Q189" s="263"/>
      <c r="R189" s="241">
        <f t="shared" si="10"/>
        <v>358.46</v>
      </c>
    </row>
    <row r="190" spans="1:18" ht="19.95" customHeight="1" x14ac:dyDescent="0.25">
      <c r="A190" s="275" t="s">
        <v>285</v>
      </c>
      <c r="B190" s="238"/>
      <c r="C190" s="239" t="s">
        <v>501</v>
      </c>
      <c r="D190" s="244" t="s">
        <v>103</v>
      </c>
      <c r="E190" s="262">
        <v>5716.53</v>
      </c>
      <c r="F190" s="263"/>
      <c r="G190" s="263"/>
      <c r="H190" s="263"/>
      <c r="I190" s="263">
        <v>165.34</v>
      </c>
      <c r="J190" s="263"/>
      <c r="K190" s="263"/>
      <c r="L190" s="263">
        <v>3899.87</v>
      </c>
      <c r="M190" s="263"/>
      <c r="N190" s="143">
        <f t="shared" si="9"/>
        <v>4065.21</v>
      </c>
      <c r="O190" s="262"/>
      <c r="P190" s="262"/>
      <c r="Q190" s="262"/>
      <c r="R190" s="241">
        <f t="shared" si="10"/>
        <v>9781.74</v>
      </c>
    </row>
    <row r="191" spans="1:18" ht="19.95" customHeight="1" x14ac:dyDescent="0.25">
      <c r="A191" s="275" t="s">
        <v>286</v>
      </c>
      <c r="B191" s="238"/>
      <c r="C191" s="239" t="s">
        <v>501</v>
      </c>
      <c r="D191" s="260" t="s">
        <v>87</v>
      </c>
      <c r="E191" s="262">
        <v>7171.53</v>
      </c>
      <c r="F191" s="263"/>
      <c r="G191" s="263"/>
      <c r="H191" s="263"/>
      <c r="I191" s="263">
        <v>139.72</v>
      </c>
      <c r="J191" s="263"/>
      <c r="K191" s="263"/>
      <c r="L191" s="263">
        <v>1013.42</v>
      </c>
      <c r="M191" s="263"/>
      <c r="N191" s="143">
        <f t="shared" si="9"/>
        <v>1153.1399999999999</v>
      </c>
      <c r="O191" s="262"/>
      <c r="P191" s="262"/>
      <c r="Q191" s="262"/>
      <c r="R191" s="241">
        <f t="shared" si="10"/>
        <v>8324.67</v>
      </c>
    </row>
    <row r="192" spans="1:18" ht="19.95" customHeight="1" x14ac:dyDescent="0.25">
      <c r="A192" s="275" t="s">
        <v>287</v>
      </c>
      <c r="B192" s="238"/>
      <c r="C192" s="239" t="s">
        <v>501</v>
      </c>
      <c r="D192" s="257" t="s">
        <v>352</v>
      </c>
      <c r="E192" s="262">
        <v>16550.59</v>
      </c>
      <c r="F192" s="263"/>
      <c r="G192" s="263"/>
      <c r="H192" s="263"/>
      <c r="I192" s="263"/>
      <c r="J192" s="263"/>
      <c r="K192" s="263"/>
      <c r="L192" s="263">
        <v>79.069999999999993</v>
      </c>
      <c r="M192" s="263"/>
      <c r="N192" s="143">
        <f t="shared" si="9"/>
        <v>79.069999999999993</v>
      </c>
      <c r="O192" s="262"/>
      <c r="P192" s="262"/>
      <c r="Q192" s="262"/>
      <c r="R192" s="241">
        <f t="shared" si="10"/>
        <v>16629.66</v>
      </c>
    </row>
    <row r="193" spans="1:18" ht="19.95" customHeight="1" x14ac:dyDescent="0.25">
      <c r="A193" s="275" t="s">
        <v>288</v>
      </c>
      <c r="B193" s="238"/>
      <c r="C193" s="239" t="s">
        <v>501</v>
      </c>
      <c r="D193" s="257" t="s">
        <v>112</v>
      </c>
      <c r="E193" s="262"/>
      <c r="F193" s="263"/>
      <c r="G193" s="263"/>
      <c r="H193" s="263"/>
      <c r="I193" s="263"/>
      <c r="J193" s="263"/>
      <c r="K193" s="263"/>
      <c r="L193" s="263"/>
      <c r="M193" s="263"/>
      <c r="N193" s="143">
        <f t="shared" si="9"/>
        <v>0</v>
      </c>
      <c r="O193" s="262"/>
      <c r="P193" s="262"/>
      <c r="Q193" s="262"/>
      <c r="R193" s="241">
        <f t="shared" si="10"/>
        <v>0</v>
      </c>
    </row>
    <row r="194" spans="1:18" ht="19.95" customHeight="1" x14ac:dyDescent="0.25">
      <c r="A194" s="275" t="s">
        <v>405</v>
      </c>
      <c r="B194" s="238"/>
      <c r="C194" s="239" t="s">
        <v>501</v>
      </c>
      <c r="D194" s="260" t="s">
        <v>93</v>
      </c>
      <c r="E194" s="262">
        <v>2522</v>
      </c>
      <c r="F194" s="263"/>
      <c r="G194" s="263"/>
      <c r="H194" s="263"/>
      <c r="I194" s="263"/>
      <c r="J194" s="263"/>
      <c r="K194" s="263"/>
      <c r="L194" s="263">
        <v>377.97</v>
      </c>
      <c r="M194" s="263"/>
      <c r="N194" s="143">
        <f t="shared" si="9"/>
        <v>377.97</v>
      </c>
      <c r="O194" s="262"/>
      <c r="P194" s="262"/>
      <c r="Q194" s="262"/>
      <c r="R194" s="241">
        <f t="shared" si="10"/>
        <v>2899.9700000000003</v>
      </c>
    </row>
    <row r="195" spans="1:18" ht="19.95" customHeight="1" x14ac:dyDescent="0.25">
      <c r="A195" s="275" t="s">
        <v>406</v>
      </c>
      <c r="B195" s="238"/>
      <c r="C195" s="239" t="s">
        <v>501</v>
      </c>
      <c r="D195" s="260" t="s">
        <v>352</v>
      </c>
      <c r="E195" s="262">
        <v>7093.11</v>
      </c>
      <c r="F195" s="263"/>
      <c r="G195" s="263"/>
      <c r="H195" s="263"/>
      <c r="I195" s="263">
        <v>163.08000000000001</v>
      </c>
      <c r="J195" s="263"/>
      <c r="K195" s="263"/>
      <c r="L195" s="263">
        <v>1833.82</v>
      </c>
      <c r="M195" s="263"/>
      <c r="N195" s="143">
        <f t="shared" si="9"/>
        <v>1996.8999999999999</v>
      </c>
      <c r="O195" s="262"/>
      <c r="P195" s="262"/>
      <c r="Q195" s="262">
        <v>7500</v>
      </c>
      <c r="R195" s="241">
        <f t="shared" si="10"/>
        <v>16590.010000000002</v>
      </c>
    </row>
    <row r="196" spans="1:18" ht="19.95" customHeight="1" x14ac:dyDescent="0.25">
      <c r="A196" s="275" t="s">
        <v>552</v>
      </c>
      <c r="B196" s="238"/>
      <c r="C196" s="239" t="s">
        <v>501</v>
      </c>
      <c r="D196" s="260"/>
      <c r="E196" s="262"/>
      <c r="F196" s="263"/>
      <c r="G196" s="263"/>
      <c r="H196" s="263"/>
      <c r="I196" s="263"/>
      <c r="J196" s="263"/>
      <c r="K196" s="263"/>
      <c r="L196" s="263">
        <v>118.07</v>
      </c>
      <c r="M196" s="263"/>
      <c r="N196" s="143">
        <f t="shared" si="9"/>
        <v>118.07</v>
      </c>
      <c r="O196" s="262"/>
      <c r="P196" s="262"/>
      <c r="Q196" s="262"/>
      <c r="R196" s="241">
        <f t="shared" si="10"/>
        <v>118.07</v>
      </c>
    </row>
    <row r="197" spans="1:18" ht="19.95" customHeight="1" x14ac:dyDescent="0.25">
      <c r="A197" s="275" t="s">
        <v>407</v>
      </c>
      <c r="B197" s="238"/>
      <c r="C197" s="239" t="s">
        <v>501</v>
      </c>
      <c r="D197" s="244"/>
      <c r="E197" s="262"/>
      <c r="F197" s="263"/>
      <c r="G197" s="263"/>
      <c r="H197" s="263"/>
      <c r="I197" s="263"/>
      <c r="J197" s="263"/>
      <c r="K197" s="263"/>
      <c r="L197" s="263"/>
      <c r="M197" s="263"/>
      <c r="N197" s="143">
        <f t="shared" si="9"/>
        <v>0</v>
      </c>
      <c r="O197" s="262"/>
      <c r="P197" s="262"/>
      <c r="Q197" s="262"/>
      <c r="R197" s="241">
        <f t="shared" si="10"/>
        <v>0</v>
      </c>
    </row>
    <row r="198" spans="1:18" ht="19.95" customHeight="1" x14ac:dyDescent="0.25">
      <c r="A198" s="275" t="s">
        <v>289</v>
      </c>
      <c r="B198" s="238"/>
      <c r="C198" s="239" t="s">
        <v>501</v>
      </c>
      <c r="D198" s="257" t="s">
        <v>93</v>
      </c>
      <c r="E198" s="262">
        <v>3783</v>
      </c>
      <c r="F198" s="263"/>
      <c r="G198" s="263"/>
      <c r="H198" s="263"/>
      <c r="I198" s="263"/>
      <c r="J198" s="263"/>
      <c r="K198" s="263"/>
      <c r="L198" s="263">
        <v>661.36</v>
      </c>
      <c r="M198" s="263"/>
      <c r="N198" s="143">
        <f t="shared" si="9"/>
        <v>661.36</v>
      </c>
      <c r="O198" s="262"/>
      <c r="P198" s="262"/>
      <c r="Q198" s="262"/>
      <c r="R198" s="241">
        <f t="shared" si="10"/>
        <v>4444.3599999999997</v>
      </c>
    </row>
    <row r="199" spans="1:18" ht="19.95" customHeight="1" x14ac:dyDescent="0.25">
      <c r="A199" s="275" t="s">
        <v>290</v>
      </c>
      <c r="B199" s="238"/>
      <c r="C199" s="239" t="s">
        <v>501</v>
      </c>
      <c r="D199" s="257" t="s">
        <v>103</v>
      </c>
      <c r="E199" s="262">
        <v>5212.12</v>
      </c>
      <c r="F199" s="263"/>
      <c r="G199" s="263"/>
      <c r="H199" s="263"/>
      <c r="I199" s="263">
        <v>225.92</v>
      </c>
      <c r="J199" s="263"/>
      <c r="K199" s="263"/>
      <c r="L199" s="263">
        <v>876.22</v>
      </c>
      <c r="M199" s="263"/>
      <c r="N199" s="143">
        <f t="shared" si="9"/>
        <v>1102.1400000000001</v>
      </c>
      <c r="O199" s="262"/>
      <c r="P199" s="262"/>
      <c r="Q199" s="262"/>
      <c r="R199" s="241">
        <f t="shared" si="10"/>
        <v>6314.26</v>
      </c>
    </row>
    <row r="200" spans="1:18" ht="19.95" customHeight="1" x14ac:dyDescent="0.25">
      <c r="A200" s="275" t="s">
        <v>553</v>
      </c>
      <c r="B200" s="238"/>
      <c r="C200" s="239" t="s">
        <v>501</v>
      </c>
      <c r="D200" s="257"/>
      <c r="E200" s="262"/>
      <c r="F200" s="263"/>
      <c r="G200" s="263"/>
      <c r="H200" s="263"/>
      <c r="I200" s="263"/>
      <c r="J200" s="263"/>
      <c r="K200" s="263"/>
      <c r="L200" s="263">
        <v>921.66</v>
      </c>
      <c r="M200" s="263"/>
      <c r="N200" s="143">
        <f t="shared" si="9"/>
        <v>921.66</v>
      </c>
      <c r="O200" s="262"/>
      <c r="P200" s="262"/>
      <c r="Q200" s="262"/>
      <c r="R200" s="241">
        <f t="shared" si="10"/>
        <v>921.66</v>
      </c>
    </row>
    <row r="201" spans="1:18" ht="19.95" customHeight="1" x14ac:dyDescent="0.25">
      <c r="A201" s="275" t="s">
        <v>408</v>
      </c>
      <c r="B201" s="238"/>
      <c r="C201" s="239" t="s">
        <v>501</v>
      </c>
      <c r="D201" s="244" t="s">
        <v>112</v>
      </c>
      <c r="E201" s="262">
        <v>1576.25</v>
      </c>
      <c r="F201" s="263"/>
      <c r="G201" s="263"/>
      <c r="H201" s="263"/>
      <c r="I201" s="263"/>
      <c r="J201" s="263"/>
      <c r="K201" s="263"/>
      <c r="L201" s="263"/>
      <c r="M201" s="263"/>
      <c r="N201" s="143">
        <f t="shared" si="9"/>
        <v>0</v>
      </c>
      <c r="O201" s="262"/>
      <c r="P201" s="262"/>
      <c r="Q201" s="262"/>
      <c r="R201" s="241">
        <f t="shared" si="10"/>
        <v>1576.25</v>
      </c>
    </row>
    <row r="202" spans="1:18" ht="19.95" customHeight="1" x14ac:dyDescent="0.25">
      <c r="A202" s="275" t="s">
        <v>254</v>
      </c>
      <c r="B202" s="238"/>
      <c r="C202" s="239" t="s">
        <v>501</v>
      </c>
      <c r="D202" s="257" t="s">
        <v>250</v>
      </c>
      <c r="E202" s="262">
        <v>6648.1</v>
      </c>
      <c r="F202" s="263"/>
      <c r="G202" s="263"/>
      <c r="H202" s="263"/>
      <c r="I202" s="263"/>
      <c r="J202" s="263"/>
      <c r="K202" s="263"/>
      <c r="L202" s="263">
        <v>10146.219999999999</v>
      </c>
      <c r="M202" s="263"/>
      <c r="N202" s="143">
        <f t="shared" si="9"/>
        <v>10146.219999999999</v>
      </c>
      <c r="O202" s="262">
        <v>441.35</v>
      </c>
      <c r="P202" s="262"/>
      <c r="Q202" s="262"/>
      <c r="R202" s="241">
        <f t="shared" si="10"/>
        <v>17235.669999999998</v>
      </c>
    </row>
    <row r="203" spans="1:18" ht="19.95" customHeight="1" x14ac:dyDescent="0.25">
      <c r="A203" s="275" t="s">
        <v>292</v>
      </c>
      <c r="B203" s="238"/>
      <c r="C203" s="239" t="s">
        <v>501</v>
      </c>
      <c r="D203" s="257" t="s">
        <v>95</v>
      </c>
      <c r="E203" s="261">
        <v>8093.39</v>
      </c>
      <c r="F203" s="263"/>
      <c r="G203" s="263"/>
      <c r="H203" s="263"/>
      <c r="I203" s="263"/>
      <c r="J203" s="263"/>
      <c r="K203" s="263"/>
      <c r="L203" s="263"/>
      <c r="M203" s="263"/>
      <c r="N203" s="143">
        <f t="shared" si="9"/>
        <v>0</v>
      </c>
      <c r="O203" s="262"/>
      <c r="P203" s="262"/>
      <c r="Q203" s="262"/>
      <c r="R203" s="241">
        <f t="shared" si="10"/>
        <v>8093.39</v>
      </c>
    </row>
    <row r="204" spans="1:18" ht="19.95" customHeight="1" x14ac:dyDescent="0.25">
      <c r="A204" s="275" t="s">
        <v>293</v>
      </c>
      <c r="B204" s="238"/>
      <c r="C204" s="239" t="s">
        <v>501</v>
      </c>
      <c r="D204" s="257" t="s">
        <v>93</v>
      </c>
      <c r="E204" s="262">
        <v>2522</v>
      </c>
      <c r="F204" s="263"/>
      <c r="G204" s="263"/>
      <c r="H204" s="263"/>
      <c r="I204" s="263"/>
      <c r="J204" s="263"/>
      <c r="K204" s="263"/>
      <c r="L204" s="263">
        <v>377.97</v>
      </c>
      <c r="M204" s="263"/>
      <c r="N204" s="143">
        <f t="shared" si="9"/>
        <v>377.97</v>
      </c>
      <c r="O204" s="262"/>
      <c r="P204" s="262"/>
      <c r="Q204" s="262"/>
      <c r="R204" s="241">
        <f t="shared" si="10"/>
        <v>2899.9700000000003</v>
      </c>
    </row>
    <row r="205" spans="1:18" ht="19.95" customHeight="1" x14ac:dyDescent="0.25">
      <c r="A205" s="275" t="s">
        <v>409</v>
      </c>
      <c r="B205" s="238"/>
      <c r="C205" s="239" t="s">
        <v>501</v>
      </c>
      <c r="D205" s="260" t="s">
        <v>87</v>
      </c>
      <c r="E205" s="262">
        <v>4455.53</v>
      </c>
      <c r="F205" s="263"/>
      <c r="G205" s="263"/>
      <c r="H205" s="263"/>
      <c r="I205" s="263">
        <v>13.17</v>
      </c>
      <c r="J205" s="263"/>
      <c r="K205" s="263"/>
      <c r="L205" s="263">
        <v>192.58</v>
      </c>
      <c r="M205" s="263"/>
      <c r="N205" s="143">
        <f t="shared" si="9"/>
        <v>205.75</v>
      </c>
      <c r="O205" s="262">
        <v>260</v>
      </c>
      <c r="P205" s="262"/>
      <c r="Q205" s="262"/>
      <c r="R205" s="241">
        <f t="shared" si="10"/>
        <v>4921.28</v>
      </c>
    </row>
    <row r="206" spans="1:18" ht="19.95" customHeight="1" x14ac:dyDescent="0.25">
      <c r="A206" s="275" t="s">
        <v>295</v>
      </c>
      <c r="B206" s="238"/>
      <c r="C206" s="239" t="s">
        <v>501</v>
      </c>
      <c r="D206" s="244" t="s">
        <v>95</v>
      </c>
      <c r="E206" s="262">
        <v>12260.8</v>
      </c>
      <c r="F206" s="263"/>
      <c r="G206" s="263"/>
      <c r="H206" s="263"/>
      <c r="I206" s="263"/>
      <c r="J206" s="263"/>
      <c r="K206" s="263"/>
      <c r="L206" s="263"/>
      <c r="M206" s="263"/>
      <c r="N206" s="143">
        <f t="shared" si="9"/>
        <v>0</v>
      </c>
      <c r="O206" s="262"/>
      <c r="P206" s="262"/>
      <c r="Q206" s="262"/>
      <c r="R206" s="241">
        <f t="shared" si="10"/>
        <v>12260.8</v>
      </c>
    </row>
    <row r="207" spans="1:18" ht="19.95" customHeight="1" x14ac:dyDescent="0.25">
      <c r="A207" s="275" t="s">
        <v>297</v>
      </c>
      <c r="B207" s="238"/>
      <c r="C207" s="239" t="s">
        <v>501</v>
      </c>
      <c r="D207" s="244"/>
      <c r="E207" s="262"/>
      <c r="F207" s="263"/>
      <c r="G207" s="263"/>
      <c r="H207" s="263"/>
      <c r="I207" s="263">
        <v>326.16000000000003</v>
      </c>
      <c r="J207" s="263"/>
      <c r="K207" s="263"/>
      <c r="L207" s="263">
        <v>1223.0999999999999</v>
      </c>
      <c r="M207" s="263"/>
      <c r="N207" s="143">
        <f t="shared" si="9"/>
        <v>1549.26</v>
      </c>
      <c r="O207" s="262"/>
      <c r="P207" s="262"/>
      <c r="Q207" s="262"/>
      <c r="R207" s="241">
        <f t="shared" si="10"/>
        <v>1549.26</v>
      </c>
    </row>
    <row r="208" spans="1:18" ht="19.95" customHeight="1" x14ac:dyDescent="0.25">
      <c r="A208" s="275" t="s">
        <v>298</v>
      </c>
      <c r="B208" s="238"/>
      <c r="C208" s="239" t="s">
        <v>501</v>
      </c>
      <c r="D208" s="244" t="s">
        <v>103</v>
      </c>
      <c r="E208" s="262">
        <v>4546.0600000000004</v>
      </c>
      <c r="F208" s="263"/>
      <c r="G208" s="263"/>
      <c r="H208" s="263"/>
      <c r="I208" s="263"/>
      <c r="J208" s="263"/>
      <c r="K208" s="263"/>
      <c r="L208" s="263">
        <v>10042.91</v>
      </c>
      <c r="M208" s="263"/>
      <c r="N208" s="143">
        <f t="shared" si="9"/>
        <v>10042.91</v>
      </c>
      <c r="O208" s="262"/>
      <c r="P208" s="262"/>
      <c r="Q208" s="262"/>
      <c r="R208" s="241">
        <f t="shared" si="10"/>
        <v>14588.970000000001</v>
      </c>
    </row>
    <row r="209" spans="1:18" ht="19.95" customHeight="1" x14ac:dyDescent="0.25">
      <c r="A209" s="275" t="s">
        <v>410</v>
      </c>
      <c r="B209" s="238"/>
      <c r="C209" s="239" t="s">
        <v>501</v>
      </c>
      <c r="D209" s="244" t="s">
        <v>93</v>
      </c>
      <c r="E209" s="262">
        <v>3007</v>
      </c>
      <c r="F209" s="263"/>
      <c r="G209" s="263"/>
      <c r="H209" s="263"/>
      <c r="I209" s="263"/>
      <c r="J209" s="263"/>
      <c r="K209" s="263"/>
      <c r="L209" s="263"/>
      <c r="M209" s="263"/>
      <c r="N209" s="143">
        <f t="shared" si="9"/>
        <v>0</v>
      </c>
      <c r="O209" s="262"/>
      <c r="P209" s="262"/>
      <c r="Q209" s="262"/>
      <c r="R209" s="241">
        <f t="shared" si="10"/>
        <v>3007</v>
      </c>
    </row>
    <row r="210" spans="1:18" ht="19.95" customHeight="1" x14ac:dyDescent="0.25">
      <c r="A210" s="275" t="s">
        <v>554</v>
      </c>
      <c r="B210" s="238"/>
      <c r="C210" s="239" t="s">
        <v>501</v>
      </c>
      <c r="D210" s="244" t="s">
        <v>95</v>
      </c>
      <c r="E210" s="262">
        <v>1784.8</v>
      </c>
      <c r="F210" s="263"/>
      <c r="G210" s="263"/>
      <c r="H210" s="263"/>
      <c r="I210" s="263"/>
      <c r="J210" s="263"/>
      <c r="K210" s="263"/>
      <c r="L210" s="263"/>
      <c r="M210" s="263"/>
      <c r="N210" s="143">
        <f t="shared" si="9"/>
        <v>0</v>
      </c>
      <c r="O210" s="262">
        <v>260</v>
      </c>
      <c r="P210" s="262"/>
      <c r="Q210" s="262"/>
      <c r="R210" s="241">
        <f t="shared" si="10"/>
        <v>2044.8</v>
      </c>
    </row>
    <row r="211" spans="1:18" ht="19.95" customHeight="1" x14ac:dyDescent="0.25">
      <c r="A211" s="275" t="s">
        <v>411</v>
      </c>
      <c r="B211" s="238"/>
      <c r="C211" s="239" t="s">
        <v>501</v>
      </c>
      <c r="D211" s="244"/>
      <c r="E211" s="262"/>
      <c r="F211" s="263"/>
      <c r="G211" s="263"/>
      <c r="H211" s="263"/>
      <c r="I211" s="263"/>
      <c r="J211" s="263"/>
      <c r="K211" s="263"/>
      <c r="L211" s="263"/>
      <c r="M211" s="263"/>
      <c r="N211" s="143">
        <f t="shared" si="9"/>
        <v>0</v>
      </c>
      <c r="O211" s="262"/>
      <c r="P211" s="262"/>
      <c r="Q211" s="262"/>
      <c r="R211" s="241">
        <f t="shared" si="10"/>
        <v>0</v>
      </c>
    </row>
    <row r="212" spans="1:18" ht="19.95" customHeight="1" x14ac:dyDescent="0.25">
      <c r="A212" s="275" t="s">
        <v>412</v>
      </c>
      <c r="B212" s="238"/>
      <c r="C212" s="239" t="s">
        <v>501</v>
      </c>
      <c r="D212" s="244" t="s">
        <v>87</v>
      </c>
      <c r="E212" s="262"/>
      <c r="F212" s="263"/>
      <c r="G212" s="263"/>
      <c r="H212" s="263"/>
      <c r="I212" s="263"/>
      <c r="J212" s="263"/>
      <c r="K212" s="263"/>
      <c r="L212" s="263"/>
      <c r="M212" s="263"/>
      <c r="N212" s="143">
        <f t="shared" si="9"/>
        <v>0</v>
      </c>
      <c r="O212" s="262"/>
      <c r="P212" s="262"/>
      <c r="Q212" s="262"/>
      <c r="R212" s="241">
        <f t="shared" si="10"/>
        <v>0</v>
      </c>
    </row>
    <row r="213" spans="1:18" ht="19.95" customHeight="1" x14ac:dyDescent="0.25">
      <c r="A213" s="275" t="s">
        <v>413</v>
      </c>
      <c r="B213" s="238"/>
      <c r="C213" s="239" t="s">
        <v>501</v>
      </c>
      <c r="D213" s="257" t="s">
        <v>250</v>
      </c>
      <c r="E213" s="262">
        <v>5530.8</v>
      </c>
      <c r="F213" s="263"/>
      <c r="G213" s="263"/>
      <c r="H213" s="263"/>
      <c r="I213" s="263"/>
      <c r="J213" s="263"/>
      <c r="K213" s="263"/>
      <c r="L213" s="263">
        <v>3184.58</v>
      </c>
      <c r="M213" s="263"/>
      <c r="N213" s="143">
        <f t="shared" si="9"/>
        <v>3184.58</v>
      </c>
      <c r="O213" s="262"/>
      <c r="P213" s="262"/>
      <c r="Q213" s="262"/>
      <c r="R213" s="241">
        <f t="shared" si="10"/>
        <v>8715.380000000001</v>
      </c>
    </row>
    <row r="214" spans="1:18" ht="19.95" customHeight="1" x14ac:dyDescent="0.25">
      <c r="A214" s="275" t="s">
        <v>414</v>
      </c>
      <c r="B214" s="238"/>
      <c r="C214" s="239" t="s">
        <v>501</v>
      </c>
      <c r="D214" s="257" t="s">
        <v>87</v>
      </c>
      <c r="E214" s="262"/>
      <c r="F214" s="263"/>
      <c r="G214" s="263"/>
      <c r="H214" s="263"/>
      <c r="I214" s="263"/>
      <c r="J214" s="263"/>
      <c r="K214" s="263"/>
      <c r="L214" s="263"/>
      <c r="M214" s="263"/>
      <c r="N214" s="143">
        <f t="shared" si="9"/>
        <v>0</v>
      </c>
      <c r="O214" s="262"/>
      <c r="P214" s="262"/>
      <c r="Q214" s="262"/>
      <c r="R214" s="241">
        <f t="shared" si="10"/>
        <v>0</v>
      </c>
    </row>
    <row r="215" spans="1:18" ht="19.95" customHeight="1" x14ac:dyDescent="0.25">
      <c r="A215" s="275" t="s">
        <v>415</v>
      </c>
      <c r="B215" s="238"/>
      <c r="C215" s="239" t="s">
        <v>501</v>
      </c>
      <c r="D215" s="260" t="s">
        <v>95</v>
      </c>
      <c r="E215" s="262">
        <v>7456.85</v>
      </c>
      <c r="F215" s="263"/>
      <c r="G215" s="263"/>
      <c r="H215" s="263"/>
      <c r="I215" s="263">
        <v>243.36</v>
      </c>
      <c r="J215" s="263"/>
      <c r="K215" s="263"/>
      <c r="L215" s="263">
        <v>1584.34</v>
      </c>
      <c r="M215" s="263"/>
      <c r="N215" s="143">
        <f t="shared" si="9"/>
        <v>1827.6999999999998</v>
      </c>
      <c r="O215" s="262"/>
      <c r="P215" s="262"/>
      <c r="Q215" s="262">
        <v>6250</v>
      </c>
      <c r="R215" s="241">
        <f t="shared" si="10"/>
        <v>15534.55</v>
      </c>
    </row>
    <row r="216" spans="1:18" ht="19.95" customHeight="1" x14ac:dyDescent="0.25">
      <c r="A216" s="275" t="s">
        <v>416</v>
      </c>
      <c r="B216" s="238"/>
      <c r="C216" s="239" t="s">
        <v>501</v>
      </c>
      <c r="D216" s="257" t="s">
        <v>103</v>
      </c>
      <c r="E216" s="262">
        <v>6431.09</v>
      </c>
      <c r="F216" s="263"/>
      <c r="G216" s="263"/>
      <c r="H216" s="263"/>
      <c r="I216" s="263"/>
      <c r="J216" s="263"/>
      <c r="K216" s="263"/>
      <c r="L216" s="263">
        <v>4085.24</v>
      </c>
      <c r="M216" s="263"/>
      <c r="N216" s="143">
        <f t="shared" si="9"/>
        <v>4085.24</v>
      </c>
      <c r="O216" s="262"/>
      <c r="P216" s="262"/>
      <c r="Q216" s="262"/>
      <c r="R216" s="241">
        <f t="shared" si="10"/>
        <v>10516.33</v>
      </c>
    </row>
    <row r="217" spans="1:18" ht="19.95" customHeight="1" x14ac:dyDescent="0.25">
      <c r="A217" s="275" t="s">
        <v>417</v>
      </c>
      <c r="B217" s="238"/>
      <c r="C217" s="239" t="s">
        <v>501</v>
      </c>
      <c r="D217" s="257" t="s">
        <v>95</v>
      </c>
      <c r="E217" s="262">
        <v>23461.78</v>
      </c>
      <c r="F217" s="263"/>
      <c r="G217" s="263"/>
      <c r="H217" s="263"/>
      <c r="I217" s="263"/>
      <c r="J217" s="263"/>
      <c r="K217" s="263"/>
      <c r="L217" s="263"/>
      <c r="M217" s="263"/>
      <c r="N217" s="143">
        <f t="shared" si="9"/>
        <v>0</v>
      </c>
      <c r="O217" s="262"/>
      <c r="P217" s="262"/>
      <c r="Q217" s="262"/>
      <c r="R217" s="241">
        <f t="shared" si="10"/>
        <v>23461.78</v>
      </c>
    </row>
    <row r="218" spans="1:18" ht="19.95" customHeight="1" x14ac:dyDescent="0.25">
      <c r="A218" s="275" t="s">
        <v>418</v>
      </c>
      <c r="B218" s="238"/>
      <c r="C218" s="239" t="s">
        <v>501</v>
      </c>
      <c r="D218" s="257" t="s">
        <v>103</v>
      </c>
      <c r="E218" s="262"/>
      <c r="F218" s="263"/>
      <c r="G218" s="263"/>
      <c r="H218" s="263"/>
      <c r="I218" s="263"/>
      <c r="J218" s="263"/>
      <c r="K218" s="263"/>
      <c r="L218" s="263">
        <v>540.63</v>
      </c>
      <c r="M218" s="263"/>
      <c r="N218" s="143">
        <f t="shared" si="9"/>
        <v>540.63</v>
      </c>
      <c r="O218" s="262"/>
      <c r="P218" s="262"/>
      <c r="Q218" s="262"/>
      <c r="R218" s="241">
        <f t="shared" si="10"/>
        <v>540.63</v>
      </c>
    </row>
    <row r="219" spans="1:18" ht="19.95" customHeight="1" x14ac:dyDescent="0.25">
      <c r="A219" s="275" t="s">
        <v>303</v>
      </c>
      <c r="B219" s="238"/>
      <c r="C219" s="239" t="s">
        <v>501</v>
      </c>
      <c r="D219" s="260"/>
      <c r="E219" s="262"/>
      <c r="F219" s="263"/>
      <c r="G219" s="263"/>
      <c r="H219" s="263"/>
      <c r="I219" s="263"/>
      <c r="J219" s="263"/>
      <c r="K219" s="263"/>
      <c r="L219" s="263">
        <v>1875.06</v>
      </c>
      <c r="M219" s="263"/>
      <c r="N219" s="143">
        <f t="shared" si="9"/>
        <v>1875.06</v>
      </c>
      <c r="O219" s="262"/>
      <c r="P219" s="262"/>
      <c r="Q219" s="262">
        <v>6250</v>
      </c>
      <c r="R219" s="241">
        <f t="shared" si="10"/>
        <v>8125.0599999999995</v>
      </c>
    </row>
    <row r="220" spans="1:18" ht="19.95" customHeight="1" x14ac:dyDescent="0.25">
      <c r="A220" s="275" t="s">
        <v>555</v>
      </c>
      <c r="B220" s="238"/>
      <c r="C220" s="239" t="s">
        <v>501</v>
      </c>
      <c r="D220" s="260" t="s">
        <v>112</v>
      </c>
      <c r="E220" s="262">
        <v>3152.5</v>
      </c>
      <c r="F220" s="263"/>
      <c r="G220" s="263"/>
      <c r="H220" s="263"/>
      <c r="I220" s="263"/>
      <c r="J220" s="263"/>
      <c r="K220" s="263"/>
      <c r="L220" s="263"/>
      <c r="M220" s="263"/>
      <c r="N220" s="143">
        <f t="shared" si="9"/>
        <v>0</v>
      </c>
      <c r="O220" s="262">
        <v>390</v>
      </c>
      <c r="P220" s="262"/>
      <c r="Q220" s="262"/>
      <c r="R220" s="241">
        <f t="shared" si="10"/>
        <v>3542.5</v>
      </c>
    </row>
    <row r="221" spans="1:18" ht="19.95" customHeight="1" x14ac:dyDescent="0.25">
      <c r="A221" s="275" t="s">
        <v>419</v>
      </c>
      <c r="B221" s="238"/>
      <c r="C221" s="239" t="s">
        <v>501</v>
      </c>
      <c r="D221" s="244"/>
      <c r="E221" s="262"/>
      <c r="F221" s="263"/>
      <c r="G221" s="263"/>
      <c r="H221" s="263"/>
      <c r="I221" s="263"/>
      <c r="J221" s="263"/>
      <c r="K221" s="263"/>
      <c r="L221" s="263">
        <v>1814.26</v>
      </c>
      <c r="M221" s="263"/>
      <c r="N221" s="143">
        <f t="shared" si="9"/>
        <v>1814.26</v>
      </c>
      <c r="O221" s="262"/>
      <c r="P221" s="262"/>
      <c r="Q221" s="262"/>
      <c r="R221" s="241">
        <f t="shared" si="10"/>
        <v>1814.26</v>
      </c>
    </row>
    <row r="222" spans="1:18" ht="19.95" customHeight="1" x14ac:dyDescent="0.25">
      <c r="A222" s="275" t="s">
        <v>307</v>
      </c>
      <c r="B222" s="238"/>
      <c r="C222" s="239" t="s">
        <v>501</v>
      </c>
      <c r="D222" s="244"/>
      <c r="E222" s="262"/>
      <c r="F222" s="263"/>
      <c r="G222" s="263"/>
      <c r="H222" s="263"/>
      <c r="I222" s="263"/>
      <c r="J222" s="263"/>
      <c r="K222" s="263"/>
      <c r="L222" s="263">
        <v>456.54</v>
      </c>
      <c r="M222" s="263"/>
      <c r="N222" s="143">
        <f t="shared" si="9"/>
        <v>456.54</v>
      </c>
      <c r="O222" s="262"/>
      <c r="P222" s="262"/>
      <c r="Q222" s="262"/>
      <c r="R222" s="241">
        <f t="shared" si="10"/>
        <v>456.54</v>
      </c>
    </row>
    <row r="223" spans="1:18" ht="19.95" customHeight="1" x14ac:dyDescent="0.25">
      <c r="A223" s="275" t="s">
        <v>420</v>
      </c>
      <c r="B223" s="238"/>
      <c r="C223" s="239" t="s">
        <v>501</v>
      </c>
      <c r="D223" s="244" t="s">
        <v>93</v>
      </c>
      <c r="E223" s="262">
        <v>6305</v>
      </c>
      <c r="F223" s="263"/>
      <c r="G223" s="263"/>
      <c r="H223" s="263"/>
      <c r="I223" s="263"/>
      <c r="J223" s="263"/>
      <c r="K223" s="263"/>
      <c r="L223" s="263">
        <v>1340.62</v>
      </c>
      <c r="M223" s="263"/>
      <c r="N223" s="143">
        <f t="shared" si="9"/>
        <v>1340.62</v>
      </c>
      <c r="O223" s="262"/>
      <c r="P223" s="262"/>
      <c r="Q223" s="262"/>
      <c r="R223" s="241">
        <f t="shared" si="10"/>
        <v>7645.62</v>
      </c>
    </row>
    <row r="224" spans="1:18" ht="19.95" customHeight="1" x14ac:dyDescent="0.25">
      <c r="A224" s="275" t="s">
        <v>421</v>
      </c>
      <c r="B224" s="238"/>
      <c r="C224" s="239" t="s">
        <v>501</v>
      </c>
      <c r="D224" s="257" t="s">
        <v>112</v>
      </c>
      <c r="E224" s="262"/>
      <c r="F224" s="263"/>
      <c r="G224" s="263"/>
      <c r="H224" s="263"/>
      <c r="I224" s="263"/>
      <c r="J224" s="263"/>
      <c r="K224" s="263"/>
      <c r="L224" s="263"/>
      <c r="M224" s="263"/>
      <c r="N224" s="143">
        <f t="shared" si="9"/>
        <v>0</v>
      </c>
      <c r="O224" s="262"/>
      <c r="P224" s="262"/>
      <c r="Q224" s="262"/>
      <c r="R224" s="241">
        <f t="shared" si="10"/>
        <v>0</v>
      </c>
    </row>
    <row r="225" spans="1:18" ht="19.95" customHeight="1" x14ac:dyDescent="0.25">
      <c r="A225" s="275" t="s">
        <v>422</v>
      </c>
      <c r="B225" s="238"/>
      <c r="C225" s="239" t="s">
        <v>501</v>
      </c>
      <c r="D225" s="244"/>
      <c r="E225" s="262"/>
      <c r="F225" s="263"/>
      <c r="G225" s="263"/>
      <c r="H225" s="263"/>
      <c r="I225" s="263"/>
      <c r="J225" s="263"/>
      <c r="K225" s="263"/>
      <c r="L225" s="263">
        <v>292.45999999999998</v>
      </c>
      <c r="M225" s="263"/>
      <c r="N225" s="143">
        <f t="shared" si="9"/>
        <v>292.45999999999998</v>
      </c>
      <c r="O225" s="262"/>
      <c r="P225" s="262"/>
      <c r="Q225" s="262"/>
      <c r="R225" s="241">
        <f t="shared" si="10"/>
        <v>292.45999999999998</v>
      </c>
    </row>
    <row r="226" spans="1:18" ht="19.95" customHeight="1" x14ac:dyDescent="0.25">
      <c r="A226" s="275" t="s">
        <v>556</v>
      </c>
      <c r="B226" s="238"/>
      <c r="C226" s="239" t="s">
        <v>501</v>
      </c>
      <c r="D226" s="244" t="s">
        <v>93</v>
      </c>
      <c r="E226" s="262">
        <v>1746</v>
      </c>
      <c r="F226" s="263"/>
      <c r="G226" s="263"/>
      <c r="H226" s="263"/>
      <c r="I226" s="263"/>
      <c r="J226" s="263"/>
      <c r="K226" s="263"/>
      <c r="L226" s="263"/>
      <c r="M226" s="263"/>
      <c r="N226" s="143">
        <f t="shared" si="9"/>
        <v>0</v>
      </c>
      <c r="O226" s="262"/>
      <c r="P226" s="262"/>
      <c r="Q226" s="262"/>
      <c r="R226" s="241">
        <f t="shared" si="10"/>
        <v>1746</v>
      </c>
    </row>
    <row r="227" spans="1:18" ht="19.95" customHeight="1" x14ac:dyDescent="0.25">
      <c r="A227" s="275" t="s">
        <v>423</v>
      </c>
      <c r="B227" s="238"/>
      <c r="C227" s="239" t="s">
        <v>501</v>
      </c>
      <c r="D227" s="257" t="s">
        <v>112</v>
      </c>
      <c r="E227" s="262">
        <v>6305</v>
      </c>
      <c r="F227" s="263"/>
      <c r="G227" s="263"/>
      <c r="H227" s="263"/>
      <c r="I227" s="263"/>
      <c r="J227" s="263"/>
      <c r="K227" s="263"/>
      <c r="L227" s="263"/>
      <c r="M227" s="263"/>
      <c r="N227" s="143">
        <f t="shared" si="9"/>
        <v>0</v>
      </c>
      <c r="O227" s="262"/>
      <c r="P227" s="262"/>
      <c r="Q227" s="262"/>
      <c r="R227" s="241">
        <f t="shared" si="10"/>
        <v>6305</v>
      </c>
    </row>
    <row r="228" spans="1:18" ht="19.95" customHeight="1" x14ac:dyDescent="0.25">
      <c r="A228" s="275" t="s">
        <v>310</v>
      </c>
      <c r="B228" s="238"/>
      <c r="C228" s="239" t="s">
        <v>501</v>
      </c>
      <c r="D228" s="260" t="s">
        <v>93</v>
      </c>
      <c r="E228" s="262">
        <v>1940</v>
      </c>
      <c r="F228" s="263"/>
      <c r="G228" s="263"/>
      <c r="H228" s="263"/>
      <c r="I228" s="263"/>
      <c r="J228" s="263"/>
      <c r="K228" s="263"/>
      <c r="L228" s="263">
        <v>3012.64</v>
      </c>
      <c r="M228" s="263"/>
      <c r="N228" s="143">
        <f t="shared" si="9"/>
        <v>3012.64</v>
      </c>
      <c r="O228" s="262"/>
      <c r="P228" s="262"/>
      <c r="Q228" s="262"/>
      <c r="R228" s="241">
        <f t="shared" si="10"/>
        <v>4952.6399999999994</v>
      </c>
    </row>
    <row r="229" spans="1:18" ht="19.95" customHeight="1" x14ac:dyDescent="0.25">
      <c r="A229" s="275" t="s">
        <v>311</v>
      </c>
      <c r="B229" s="238"/>
      <c r="C229" s="239" t="s">
        <v>501</v>
      </c>
      <c r="D229" s="257" t="s">
        <v>103</v>
      </c>
      <c r="E229" s="262">
        <v>8704.1200000000008</v>
      </c>
      <c r="F229" s="263"/>
      <c r="G229" s="263"/>
      <c r="H229" s="263"/>
      <c r="I229" s="263">
        <v>1496.26</v>
      </c>
      <c r="J229" s="263"/>
      <c r="K229" s="263"/>
      <c r="L229" s="263">
        <v>23026.34</v>
      </c>
      <c r="M229" s="263"/>
      <c r="N229" s="143">
        <f t="shared" si="9"/>
        <v>24522.6</v>
      </c>
      <c r="O229" s="262"/>
      <c r="P229" s="262"/>
      <c r="Q229" s="262"/>
      <c r="R229" s="241">
        <f t="shared" si="10"/>
        <v>33226.720000000001</v>
      </c>
    </row>
    <row r="230" spans="1:18" ht="19.95" customHeight="1" x14ac:dyDescent="0.25">
      <c r="A230" s="275" t="s">
        <v>557</v>
      </c>
      <c r="B230" s="238"/>
      <c r="C230" s="239" t="s">
        <v>501</v>
      </c>
      <c r="D230" s="257" t="s">
        <v>103</v>
      </c>
      <c r="E230" s="262">
        <v>672.53</v>
      </c>
      <c r="F230" s="263"/>
      <c r="G230" s="263"/>
      <c r="H230" s="263"/>
      <c r="I230" s="263"/>
      <c r="J230" s="263"/>
      <c r="K230" s="263"/>
      <c r="L230" s="263">
        <v>69.86</v>
      </c>
      <c r="M230" s="263"/>
      <c r="N230" s="143">
        <f t="shared" si="9"/>
        <v>69.86</v>
      </c>
      <c r="O230" s="262"/>
      <c r="P230" s="262"/>
      <c r="Q230" s="262"/>
      <c r="R230" s="241">
        <f t="shared" si="10"/>
        <v>742.39</v>
      </c>
    </row>
    <row r="231" spans="1:18" ht="19.95" customHeight="1" x14ac:dyDescent="0.25">
      <c r="A231" s="275" t="s">
        <v>558</v>
      </c>
      <c r="B231" s="238"/>
      <c r="C231" s="239" t="s">
        <v>501</v>
      </c>
      <c r="D231" s="257"/>
      <c r="E231" s="262"/>
      <c r="F231" s="263"/>
      <c r="G231" s="263"/>
      <c r="H231" s="263"/>
      <c r="I231" s="263"/>
      <c r="J231" s="263"/>
      <c r="K231" s="263"/>
      <c r="L231" s="263">
        <v>243.36</v>
      </c>
      <c r="M231" s="263"/>
      <c r="N231" s="143">
        <f t="shared" si="9"/>
        <v>243.36</v>
      </c>
      <c r="O231" s="262">
        <v>1190.3399999999999</v>
      </c>
      <c r="P231" s="262"/>
      <c r="Q231" s="262"/>
      <c r="R231" s="241">
        <f t="shared" si="10"/>
        <v>1433.6999999999998</v>
      </c>
    </row>
    <row r="232" spans="1:18" ht="19.95" customHeight="1" x14ac:dyDescent="0.25">
      <c r="A232" s="275" t="s">
        <v>424</v>
      </c>
      <c r="B232" s="238"/>
      <c r="C232" s="239" t="s">
        <v>501</v>
      </c>
      <c r="D232" s="257" t="s">
        <v>95</v>
      </c>
      <c r="E232" s="262">
        <v>15459.32</v>
      </c>
      <c r="F232" s="263"/>
      <c r="G232" s="263"/>
      <c r="H232" s="263"/>
      <c r="I232" s="263"/>
      <c r="J232" s="263"/>
      <c r="K232" s="263"/>
      <c r="L232" s="263"/>
      <c r="M232" s="263"/>
      <c r="N232" s="143">
        <f t="shared" si="9"/>
        <v>0</v>
      </c>
      <c r="O232" s="262"/>
      <c r="P232" s="262"/>
      <c r="Q232" s="262"/>
      <c r="R232" s="241">
        <f t="shared" si="10"/>
        <v>15459.32</v>
      </c>
    </row>
    <row r="233" spans="1:18" ht="19.95" customHeight="1" x14ac:dyDescent="0.25">
      <c r="A233" s="275" t="s">
        <v>425</v>
      </c>
      <c r="B233" s="238"/>
      <c r="C233" s="239" t="s">
        <v>501</v>
      </c>
      <c r="D233" s="260" t="s">
        <v>91</v>
      </c>
      <c r="E233" s="262">
        <v>1818.75</v>
      </c>
      <c r="F233" s="263"/>
      <c r="G233" s="263"/>
      <c r="H233" s="263"/>
      <c r="I233" s="263"/>
      <c r="J233" s="263"/>
      <c r="K233" s="263"/>
      <c r="L233" s="263">
        <v>640</v>
      </c>
      <c r="M233" s="263"/>
      <c r="N233" s="143">
        <f t="shared" ref="N233:N289" si="11">SUM(G233:M233)</f>
        <v>640</v>
      </c>
      <c r="O233" s="262"/>
      <c r="P233" s="262"/>
      <c r="Q233" s="262"/>
      <c r="R233" s="241">
        <f t="shared" ref="R233:R289" si="12">E233+F233+N233+O233+P233+Q233</f>
        <v>2458.75</v>
      </c>
    </row>
    <row r="234" spans="1:18" ht="19.95" customHeight="1" x14ac:dyDescent="0.25">
      <c r="A234" s="275" t="s">
        <v>426</v>
      </c>
      <c r="B234" s="238"/>
      <c r="C234" s="239" t="s">
        <v>501</v>
      </c>
      <c r="D234" s="260" t="s">
        <v>87</v>
      </c>
      <c r="E234" s="262">
        <v>1940</v>
      </c>
      <c r="F234" s="263"/>
      <c r="G234" s="263"/>
      <c r="H234" s="263"/>
      <c r="I234" s="263"/>
      <c r="J234" s="263"/>
      <c r="K234" s="263"/>
      <c r="L234" s="263">
        <v>40.76</v>
      </c>
      <c r="M234" s="263"/>
      <c r="N234" s="143">
        <f t="shared" si="11"/>
        <v>40.76</v>
      </c>
      <c r="O234" s="262"/>
      <c r="P234" s="262"/>
      <c r="Q234" s="262"/>
      <c r="R234" s="241">
        <f t="shared" si="12"/>
        <v>1980.76</v>
      </c>
    </row>
    <row r="235" spans="1:18" ht="19.95" customHeight="1" x14ac:dyDescent="0.25">
      <c r="A235" s="275" t="s">
        <v>316</v>
      </c>
      <c r="B235" s="238"/>
      <c r="C235" s="239" t="s">
        <v>501</v>
      </c>
      <c r="D235" s="257" t="s">
        <v>95</v>
      </c>
      <c r="E235" s="262">
        <v>15913.99</v>
      </c>
      <c r="F235" s="263"/>
      <c r="G235" s="263"/>
      <c r="H235" s="263"/>
      <c r="I235" s="263"/>
      <c r="J235" s="263"/>
      <c r="K235" s="263"/>
      <c r="L235" s="263">
        <v>861.12</v>
      </c>
      <c r="M235" s="263"/>
      <c r="N235" s="143">
        <f t="shared" si="11"/>
        <v>861.12</v>
      </c>
      <c r="O235" s="262">
        <v>1040</v>
      </c>
      <c r="P235" s="262"/>
      <c r="Q235" s="262"/>
      <c r="R235" s="241">
        <f t="shared" si="12"/>
        <v>17815.11</v>
      </c>
    </row>
    <row r="236" spans="1:18" ht="19.95" customHeight="1" x14ac:dyDescent="0.25">
      <c r="A236" s="275" t="s">
        <v>427</v>
      </c>
      <c r="B236" s="238"/>
      <c r="C236" s="239" t="s">
        <v>501</v>
      </c>
      <c r="D236" s="257" t="s">
        <v>95</v>
      </c>
      <c r="E236" s="262">
        <v>23900.799999999999</v>
      </c>
      <c r="F236" s="263"/>
      <c r="G236" s="263"/>
      <c r="H236" s="263"/>
      <c r="I236" s="263"/>
      <c r="J236" s="263"/>
      <c r="K236" s="263"/>
      <c r="L236" s="263"/>
      <c r="M236" s="263"/>
      <c r="N236" s="143">
        <f t="shared" si="11"/>
        <v>0</v>
      </c>
      <c r="O236" s="262">
        <v>130</v>
      </c>
      <c r="P236" s="262"/>
      <c r="Q236" s="262"/>
      <c r="R236" s="241">
        <f t="shared" si="12"/>
        <v>24030.799999999999</v>
      </c>
    </row>
    <row r="237" spans="1:18" ht="19.95" customHeight="1" x14ac:dyDescent="0.25">
      <c r="A237" s="275" t="s">
        <v>318</v>
      </c>
      <c r="B237" s="238"/>
      <c r="C237" s="239" t="s">
        <v>501</v>
      </c>
      <c r="D237" s="260"/>
      <c r="E237" s="263"/>
      <c r="F237" s="263"/>
      <c r="G237" s="263"/>
      <c r="H237" s="263"/>
      <c r="I237" s="263"/>
      <c r="J237" s="263"/>
      <c r="K237" s="263"/>
      <c r="L237" s="263">
        <v>530.01</v>
      </c>
      <c r="M237" s="263"/>
      <c r="N237" s="143">
        <f t="shared" si="11"/>
        <v>530.01</v>
      </c>
      <c r="O237" s="262"/>
      <c r="P237" s="262"/>
      <c r="Q237" s="262"/>
      <c r="R237" s="241">
        <f t="shared" si="12"/>
        <v>530.01</v>
      </c>
    </row>
    <row r="238" spans="1:18" ht="19.95" customHeight="1" x14ac:dyDescent="0.25">
      <c r="A238" s="275" t="s">
        <v>428</v>
      </c>
      <c r="B238" s="238"/>
      <c r="C238" s="239" t="s">
        <v>501</v>
      </c>
      <c r="D238" s="244" t="s">
        <v>112</v>
      </c>
      <c r="E238" s="263">
        <v>606.25</v>
      </c>
      <c r="F238" s="263"/>
      <c r="G238" s="263"/>
      <c r="H238" s="263"/>
      <c r="I238" s="263"/>
      <c r="J238" s="263"/>
      <c r="K238" s="263"/>
      <c r="L238" s="263"/>
      <c r="M238" s="263"/>
      <c r="N238" s="143">
        <f t="shared" si="11"/>
        <v>0</v>
      </c>
      <c r="O238" s="262"/>
      <c r="P238" s="262"/>
      <c r="Q238" s="262"/>
      <c r="R238" s="241">
        <f t="shared" si="12"/>
        <v>606.25</v>
      </c>
    </row>
    <row r="239" spans="1:18" ht="19.95" customHeight="1" x14ac:dyDescent="0.25">
      <c r="A239" s="275" t="s">
        <v>429</v>
      </c>
      <c r="B239" s="238"/>
      <c r="C239" s="239" t="s">
        <v>501</v>
      </c>
      <c r="D239" s="260"/>
      <c r="E239" s="263"/>
      <c r="F239" s="263"/>
      <c r="G239" s="263"/>
      <c r="H239" s="263"/>
      <c r="I239" s="263">
        <v>483.51</v>
      </c>
      <c r="J239" s="263"/>
      <c r="K239" s="263"/>
      <c r="L239" s="263">
        <v>2871.99</v>
      </c>
      <c r="M239" s="263"/>
      <c r="N239" s="143">
        <f t="shared" si="11"/>
        <v>3355.5</v>
      </c>
      <c r="O239" s="262"/>
      <c r="P239" s="262"/>
      <c r="Q239" s="262"/>
      <c r="R239" s="241">
        <f t="shared" si="12"/>
        <v>3355.5</v>
      </c>
    </row>
    <row r="240" spans="1:18" ht="19.95" customHeight="1" x14ac:dyDescent="0.25">
      <c r="A240" s="275" t="s">
        <v>430</v>
      </c>
      <c r="B240" s="238"/>
      <c r="C240" s="239" t="s">
        <v>501</v>
      </c>
      <c r="D240" s="257" t="s">
        <v>95</v>
      </c>
      <c r="E240" s="263">
        <v>6363.2</v>
      </c>
      <c r="F240" s="263"/>
      <c r="G240" s="263"/>
      <c r="H240" s="263"/>
      <c r="I240" s="263"/>
      <c r="J240" s="263"/>
      <c r="K240" s="263"/>
      <c r="L240" s="263"/>
      <c r="M240" s="263"/>
      <c r="N240" s="143">
        <f t="shared" si="11"/>
        <v>0</v>
      </c>
      <c r="O240" s="262"/>
      <c r="P240" s="262"/>
      <c r="Q240" s="262"/>
      <c r="R240" s="241">
        <f t="shared" si="12"/>
        <v>6363.2</v>
      </c>
    </row>
    <row r="241" spans="1:18" ht="19.95" customHeight="1" x14ac:dyDescent="0.25">
      <c r="A241" s="275" t="s">
        <v>478</v>
      </c>
      <c r="B241" s="238"/>
      <c r="C241" s="239" t="s">
        <v>501</v>
      </c>
      <c r="D241" s="257"/>
      <c r="E241" s="262"/>
      <c r="F241" s="263"/>
      <c r="G241" s="263"/>
      <c r="H241" s="263"/>
      <c r="I241" s="263"/>
      <c r="J241" s="263"/>
      <c r="K241" s="263"/>
      <c r="L241" s="263"/>
      <c r="M241" s="263"/>
      <c r="N241" s="143">
        <f t="shared" si="11"/>
        <v>0</v>
      </c>
      <c r="O241" s="262"/>
      <c r="P241" s="262"/>
      <c r="Q241" s="262">
        <v>10000</v>
      </c>
      <c r="R241" s="241">
        <f t="shared" si="12"/>
        <v>10000</v>
      </c>
    </row>
    <row r="242" spans="1:18" ht="19.95" customHeight="1" x14ac:dyDescent="0.25">
      <c r="A242" s="275" t="s">
        <v>431</v>
      </c>
      <c r="B242" s="238"/>
      <c r="C242" s="239" t="s">
        <v>501</v>
      </c>
      <c r="D242" s="257" t="s">
        <v>91</v>
      </c>
      <c r="E242" s="262">
        <v>5456.25</v>
      </c>
      <c r="F242" s="263"/>
      <c r="G242" s="263"/>
      <c r="H242" s="263"/>
      <c r="I242" s="263"/>
      <c r="J242" s="263"/>
      <c r="K242" s="263"/>
      <c r="L242" s="263"/>
      <c r="M242" s="263"/>
      <c r="N242" s="143">
        <f t="shared" si="11"/>
        <v>0</v>
      </c>
      <c r="O242" s="262"/>
      <c r="P242" s="262"/>
      <c r="Q242" s="262"/>
      <c r="R242" s="241">
        <f t="shared" si="12"/>
        <v>5456.25</v>
      </c>
    </row>
    <row r="243" spans="1:18" ht="19.95" customHeight="1" x14ac:dyDescent="0.25">
      <c r="A243" s="275" t="s">
        <v>432</v>
      </c>
      <c r="B243" s="238"/>
      <c r="C243" s="239" t="s">
        <v>501</v>
      </c>
      <c r="D243" s="257"/>
      <c r="E243" s="262"/>
      <c r="F243" s="263"/>
      <c r="G243" s="263"/>
      <c r="H243" s="263"/>
      <c r="I243" s="263"/>
      <c r="J243" s="263"/>
      <c r="K243" s="263"/>
      <c r="L243" s="263">
        <v>3262.4</v>
      </c>
      <c r="M243" s="263"/>
      <c r="N243" s="143">
        <f t="shared" si="11"/>
        <v>3262.4</v>
      </c>
      <c r="O243" s="262"/>
      <c r="P243" s="262"/>
      <c r="Q243" s="262"/>
      <c r="R243" s="241">
        <f t="shared" si="12"/>
        <v>3262.4</v>
      </c>
    </row>
    <row r="244" spans="1:18" ht="19.95" customHeight="1" x14ac:dyDescent="0.25">
      <c r="A244" s="275" t="s">
        <v>433</v>
      </c>
      <c r="B244" s="238"/>
      <c r="C244" s="239" t="s">
        <v>501</v>
      </c>
      <c r="D244" s="257"/>
      <c r="E244" s="262"/>
      <c r="F244" s="263"/>
      <c r="G244" s="263"/>
      <c r="H244" s="263"/>
      <c r="I244" s="263"/>
      <c r="J244" s="263"/>
      <c r="K244" s="263"/>
      <c r="L244" s="263"/>
      <c r="M244" s="263"/>
      <c r="N244" s="143">
        <f t="shared" si="11"/>
        <v>0</v>
      </c>
      <c r="O244" s="262"/>
      <c r="P244" s="262"/>
      <c r="Q244" s="262"/>
      <c r="R244" s="241">
        <f t="shared" si="12"/>
        <v>0</v>
      </c>
    </row>
    <row r="245" spans="1:18" ht="19.95" customHeight="1" x14ac:dyDescent="0.25">
      <c r="A245" s="275" t="s">
        <v>434</v>
      </c>
      <c r="B245" s="238"/>
      <c r="C245" s="239" t="s">
        <v>501</v>
      </c>
      <c r="D245" s="260" t="s">
        <v>352</v>
      </c>
      <c r="E245" s="262">
        <v>21825.040000000001</v>
      </c>
      <c r="F245" s="263"/>
      <c r="G245" s="263"/>
      <c r="H245" s="263"/>
      <c r="I245" s="263">
        <v>215.42</v>
      </c>
      <c r="J245" s="263"/>
      <c r="K245" s="263"/>
      <c r="L245" s="263">
        <v>718.41</v>
      </c>
      <c r="M245" s="263"/>
      <c r="N245" s="143">
        <f t="shared" si="11"/>
        <v>933.82999999999993</v>
      </c>
      <c r="O245" s="262">
        <v>1663.9</v>
      </c>
      <c r="P245" s="262"/>
      <c r="Q245" s="262">
        <v>7500</v>
      </c>
      <c r="R245" s="241">
        <f t="shared" si="12"/>
        <v>31922.770000000004</v>
      </c>
    </row>
    <row r="246" spans="1:18" ht="19.95" customHeight="1" x14ac:dyDescent="0.25">
      <c r="A246" s="275" t="s">
        <v>559</v>
      </c>
      <c r="B246" s="238"/>
      <c r="C246" s="239"/>
      <c r="D246" s="260"/>
      <c r="E246" s="262"/>
      <c r="F246" s="263"/>
      <c r="G246" s="263"/>
      <c r="H246" s="263"/>
      <c r="I246" s="263"/>
      <c r="J246" s="263"/>
      <c r="K246" s="263"/>
      <c r="L246" s="263">
        <f>1950+1950</f>
        <v>3900</v>
      </c>
      <c r="M246" s="263"/>
      <c r="N246" s="143">
        <f t="shared" si="11"/>
        <v>3900</v>
      </c>
      <c r="O246" s="262"/>
      <c r="P246" s="262"/>
      <c r="Q246" s="262"/>
      <c r="R246" s="241">
        <f t="shared" si="12"/>
        <v>3900</v>
      </c>
    </row>
    <row r="247" spans="1:18" ht="19.95" customHeight="1" x14ac:dyDescent="0.25">
      <c r="A247" s="275" t="s">
        <v>560</v>
      </c>
      <c r="B247" s="238"/>
      <c r="C247" s="239" t="s">
        <v>501</v>
      </c>
      <c r="D247" s="260" t="s">
        <v>112</v>
      </c>
      <c r="E247" s="262">
        <v>3152.5</v>
      </c>
      <c r="F247" s="263"/>
      <c r="G247" s="263"/>
      <c r="H247" s="263"/>
      <c r="I247" s="263"/>
      <c r="J247" s="263"/>
      <c r="K247" s="263"/>
      <c r="L247" s="263"/>
      <c r="M247" s="263"/>
      <c r="N247" s="143">
        <f t="shared" si="11"/>
        <v>0</v>
      </c>
      <c r="O247" s="262">
        <v>650</v>
      </c>
      <c r="P247" s="262"/>
      <c r="Q247" s="262"/>
      <c r="R247" s="241">
        <f t="shared" si="12"/>
        <v>3802.5</v>
      </c>
    </row>
    <row r="248" spans="1:18" ht="19.95" customHeight="1" x14ac:dyDescent="0.25">
      <c r="A248" s="275" t="s">
        <v>561</v>
      </c>
      <c r="B248" s="238"/>
      <c r="C248" s="239" t="s">
        <v>501</v>
      </c>
      <c r="D248" s="260" t="s">
        <v>93</v>
      </c>
      <c r="E248" s="262">
        <v>7905.5</v>
      </c>
      <c r="F248" s="263"/>
      <c r="G248" s="263"/>
      <c r="H248" s="263"/>
      <c r="I248" s="263"/>
      <c r="J248" s="263"/>
      <c r="K248" s="263"/>
      <c r="L248" s="263"/>
      <c r="M248" s="263"/>
      <c r="N248" s="143">
        <f t="shared" si="11"/>
        <v>0</v>
      </c>
      <c r="O248" s="262"/>
      <c r="P248" s="262"/>
      <c r="Q248" s="262"/>
      <c r="R248" s="241">
        <f t="shared" si="12"/>
        <v>7905.5</v>
      </c>
    </row>
    <row r="249" spans="1:18" ht="19.95" customHeight="1" x14ac:dyDescent="0.25">
      <c r="A249" s="275" t="s">
        <v>325</v>
      </c>
      <c r="B249" s="238"/>
      <c r="C249" s="239" t="s">
        <v>501</v>
      </c>
      <c r="D249" s="257" t="s">
        <v>95</v>
      </c>
      <c r="E249" s="262">
        <v>7093.11</v>
      </c>
      <c r="F249" s="263"/>
      <c r="G249" s="263"/>
      <c r="H249" s="263"/>
      <c r="I249" s="263"/>
      <c r="J249" s="263"/>
      <c r="K249" s="263"/>
      <c r="L249" s="263"/>
      <c r="M249" s="263"/>
      <c r="N249" s="143">
        <f t="shared" si="11"/>
        <v>0</v>
      </c>
      <c r="O249" s="262"/>
      <c r="P249" s="262"/>
      <c r="Q249" s="262"/>
      <c r="R249" s="241">
        <f t="shared" si="12"/>
        <v>7093.11</v>
      </c>
    </row>
    <row r="250" spans="1:18" ht="19.95" customHeight="1" x14ac:dyDescent="0.25">
      <c r="A250" s="275" t="s">
        <v>209</v>
      </c>
      <c r="B250" s="238"/>
      <c r="C250" s="239" t="s">
        <v>501</v>
      </c>
      <c r="D250" s="244" t="s">
        <v>91</v>
      </c>
      <c r="E250" s="262"/>
      <c r="F250" s="263"/>
      <c r="G250" s="263"/>
      <c r="H250" s="263"/>
      <c r="I250" s="263"/>
      <c r="J250" s="263"/>
      <c r="K250" s="263"/>
      <c r="L250" s="263"/>
      <c r="M250" s="263"/>
      <c r="N250" s="143">
        <f t="shared" si="11"/>
        <v>0</v>
      </c>
      <c r="O250" s="262"/>
      <c r="P250" s="262"/>
      <c r="Q250" s="262"/>
      <c r="R250" s="241">
        <f t="shared" si="12"/>
        <v>0</v>
      </c>
    </row>
    <row r="251" spans="1:18" ht="19.95" customHeight="1" x14ac:dyDescent="0.25">
      <c r="A251" s="275" t="s">
        <v>562</v>
      </c>
      <c r="B251" s="238"/>
      <c r="C251" s="239" t="s">
        <v>501</v>
      </c>
      <c r="D251" s="244" t="s">
        <v>103</v>
      </c>
      <c r="E251" s="262">
        <v>2606.06</v>
      </c>
      <c r="F251" s="263"/>
      <c r="G251" s="263"/>
      <c r="H251" s="263"/>
      <c r="I251" s="263"/>
      <c r="J251" s="263"/>
      <c r="K251" s="263"/>
      <c r="L251" s="263">
        <v>352.82</v>
      </c>
      <c r="M251" s="263"/>
      <c r="N251" s="143">
        <f t="shared" si="11"/>
        <v>352.82</v>
      </c>
      <c r="O251" s="262"/>
      <c r="P251" s="262"/>
      <c r="Q251" s="262"/>
      <c r="R251" s="241">
        <f t="shared" si="12"/>
        <v>2958.88</v>
      </c>
    </row>
    <row r="252" spans="1:18" ht="19.95" customHeight="1" x14ac:dyDescent="0.25">
      <c r="A252" s="275" t="s">
        <v>326</v>
      </c>
      <c r="B252" s="238"/>
      <c r="C252" s="239" t="s">
        <v>501</v>
      </c>
      <c r="D252" s="257" t="s">
        <v>87</v>
      </c>
      <c r="E252" s="262">
        <v>7372</v>
      </c>
      <c r="F252" s="263"/>
      <c r="G252" s="263"/>
      <c r="H252" s="263"/>
      <c r="I252" s="263"/>
      <c r="J252" s="263"/>
      <c r="K252" s="263"/>
      <c r="L252" s="263">
        <v>1667.02</v>
      </c>
      <c r="M252" s="263"/>
      <c r="N252" s="143">
        <f t="shared" si="11"/>
        <v>1667.02</v>
      </c>
      <c r="O252" s="262"/>
      <c r="P252" s="262"/>
      <c r="Q252" s="262"/>
      <c r="R252" s="241">
        <f t="shared" si="12"/>
        <v>9039.02</v>
      </c>
    </row>
    <row r="253" spans="1:18" ht="19.95" customHeight="1" x14ac:dyDescent="0.25">
      <c r="A253" s="275" t="s">
        <v>435</v>
      </c>
      <c r="B253" s="238"/>
      <c r="C253" s="239" t="s">
        <v>501</v>
      </c>
      <c r="D253" s="260" t="s">
        <v>95</v>
      </c>
      <c r="E253" s="262">
        <v>11094.31</v>
      </c>
      <c r="F253" s="263"/>
      <c r="G253" s="263"/>
      <c r="H253" s="263"/>
      <c r="I253" s="263"/>
      <c r="J253" s="263"/>
      <c r="K253" s="263"/>
      <c r="L253" s="263"/>
      <c r="M253" s="263"/>
      <c r="N253" s="143">
        <f t="shared" si="11"/>
        <v>0</v>
      </c>
      <c r="O253" s="262"/>
      <c r="P253" s="262"/>
      <c r="Q253" s="262"/>
      <c r="R253" s="241">
        <f t="shared" si="12"/>
        <v>11094.31</v>
      </c>
    </row>
    <row r="254" spans="1:18" ht="19.95" customHeight="1" x14ac:dyDescent="0.25">
      <c r="A254" s="275" t="s">
        <v>563</v>
      </c>
      <c r="B254" s="238"/>
      <c r="C254" s="239" t="s">
        <v>501</v>
      </c>
      <c r="D254" s="260" t="s">
        <v>103</v>
      </c>
      <c r="E254" s="262">
        <v>2425</v>
      </c>
      <c r="F254" s="263"/>
      <c r="G254" s="263"/>
      <c r="H254" s="263"/>
      <c r="I254" s="263"/>
      <c r="J254" s="263"/>
      <c r="K254" s="263"/>
      <c r="L254" s="263"/>
      <c r="M254" s="263"/>
      <c r="N254" s="143">
        <f t="shared" si="11"/>
        <v>0</v>
      </c>
      <c r="O254" s="262"/>
      <c r="P254" s="262"/>
      <c r="Q254" s="262"/>
      <c r="R254" s="241">
        <f t="shared" si="12"/>
        <v>2425</v>
      </c>
    </row>
    <row r="255" spans="1:18" ht="19.95" customHeight="1" x14ac:dyDescent="0.25">
      <c r="A255" s="275" t="s">
        <v>327</v>
      </c>
      <c r="B255" s="238"/>
      <c r="C255" s="239" t="s">
        <v>501</v>
      </c>
      <c r="D255" s="260" t="s">
        <v>112</v>
      </c>
      <c r="E255" s="262">
        <v>20127.5</v>
      </c>
      <c r="F255" s="263"/>
      <c r="G255" s="263"/>
      <c r="H255" s="263"/>
      <c r="I255" s="263"/>
      <c r="J255" s="263"/>
      <c r="K255" s="263"/>
      <c r="L255" s="263"/>
      <c r="M255" s="263"/>
      <c r="N255" s="143">
        <f t="shared" si="11"/>
        <v>0</v>
      </c>
      <c r="O255" s="262">
        <v>1033</v>
      </c>
      <c r="P255" s="262"/>
      <c r="Q255" s="262"/>
      <c r="R255" s="241">
        <f t="shared" si="12"/>
        <v>21160.5</v>
      </c>
    </row>
    <row r="256" spans="1:18" ht="19.95" customHeight="1" x14ac:dyDescent="0.25">
      <c r="A256" s="275" t="s">
        <v>328</v>
      </c>
      <c r="B256" s="238"/>
      <c r="C256" s="239" t="s">
        <v>501</v>
      </c>
      <c r="D256" s="257" t="s">
        <v>112</v>
      </c>
      <c r="E256" s="262">
        <v>6547.48</v>
      </c>
      <c r="F256" s="263"/>
      <c r="G256" s="263"/>
      <c r="H256" s="263"/>
      <c r="I256" s="263"/>
      <c r="J256" s="263"/>
      <c r="K256" s="263"/>
      <c r="L256" s="263">
        <v>81.540000000000006</v>
      </c>
      <c r="M256" s="263"/>
      <c r="N256" s="143">
        <f t="shared" si="11"/>
        <v>81.540000000000006</v>
      </c>
      <c r="O256" s="262"/>
      <c r="P256" s="262"/>
      <c r="Q256" s="262"/>
      <c r="R256" s="241">
        <f t="shared" si="12"/>
        <v>6629.0199999999995</v>
      </c>
    </row>
    <row r="257" spans="1:18" ht="19.95" customHeight="1" x14ac:dyDescent="0.25">
      <c r="A257" s="275" t="s">
        <v>436</v>
      </c>
      <c r="B257" s="238"/>
      <c r="C257" s="239" t="s">
        <v>501</v>
      </c>
      <c r="D257" s="257"/>
      <c r="E257" s="262"/>
      <c r="F257" s="263"/>
      <c r="G257" s="263"/>
      <c r="H257" s="263"/>
      <c r="I257" s="263"/>
      <c r="J257" s="263"/>
      <c r="K257" s="263"/>
      <c r="L257" s="263"/>
      <c r="M257" s="263"/>
      <c r="N257" s="143">
        <f t="shared" si="11"/>
        <v>0</v>
      </c>
      <c r="O257" s="262"/>
      <c r="P257" s="262"/>
      <c r="Q257" s="262"/>
      <c r="R257" s="241">
        <f t="shared" si="12"/>
        <v>0</v>
      </c>
    </row>
    <row r="258" spans="1:18" ht="19.95" customHeight="1" x14ac:dyDescent="0.25">
      <c r="A258" s="275" t="s">
        <v>564</v>
      </c>
      <c r="B258" s="238"/>
      <c r="C258" s="239" t="s">
        <v>501</v>
      </c>
      <c r="D258" s="257"/>
      <c r="E258" s="262"/>
      <c r="F258" s="263"/>
      <c r="G258" s="263"/>
      <c r="H258" s="263"/>
      <c r="I258" s="263"/>
      <c r="J258" s="263"/>
      <c r="K258" s="263"/>
      <c r="L258" s="263">
        <v>127.18</v>
      </c>
      <c r="M258" s="263"/>
      <c r="N258" s="143">
        <f t="shared" si="11"/>
        <v>127.18</v>
      </c>
      <c r="O258" s="262"/>
      <c r="P258" s="262"/>
      <c r="Q258" s="262"/>
      <c r="R258" s="241">
        <f t="shared" si="12"/>
        <v>127.18</v>
      </c>
    </row>
    <row r="259" spans="1:18" ht="19.95" customHeight="1" x14ac:dyDescent="0.25">
      <c r="A259" s="275" t="s">
        <v>437</v>
      </c>
      <c r="B259" s="238"/>
      <c r="C259" s="239" t="s">
        <v>501</v>
      </c>
      <c r="D259" s="257"/>
      <c r="E259" s="262"/>
      <c r="F259" s="263"/>
      <c r="G259" s="263"/>
      <c r="H259" s="263"/>
      <c r="I259" s="263"/>
      <c r="J259" s="263"/>
      <c r="K259" s="263"/>
      <c r="L259" s="263"/>
      <c r="M259" s="263"/>
      <c r="N259" s="143">
        <f t="shared" si="11"/>
        <v>0</v>
      </c>
      <c r="O259" s="262"/>
      <c r="P259" s="262"/>
      <c r="Q259" s="262"/>
      <c r="R259" s="241">
        <f t="shared" si="12"/>
        <v>0</v>
      </c>
    </row>
    <row r="260" spans="1:18" ht="19.95" customHeight="1" x14ac:dyDescent="0.25">
      <c r="A260" s="275" t="s">
        <v>438</v>
      </c>
      <c r="B260" s="238"/>
      <c r="C260" s="239" t="s">
        <v>501</v>
      </c>
      <c r="D260" s="257" t="s">
        <v>103</v>
      </c>
      <c r="E260" s="262">
        <v>5716.53</v>
      </c>
      <c r="F260" s="263"/>
      <c r="G260" s="263">
        <v>217.65</v>
      </c>
      <c r="H260" s="263"/>
      <c r="I260" s="263"/>
      <c r="J260" s="263"/>
      <c r="K260" s="263"/>
      <c r="L260" s="263">
        <v>797.02</v>
      </c>
      <c r="M260" s="263"/>
      <c r="N260" s="143">
        <f t="shared" si="11"/>
        <v>1014.67</v>
      </c>
      <c r="O260" s="262"/>
      <c r="P260" s="262"/>
      <c r="Q260" s="262"/>
      <c r="R260" s="241">
        <f t="shared" si="12"/>
        <v>6731.2</v>
      </c>
    </row>
    <row r="261" spans="1:18" ht="19.95" customHeight="1" x14ac:dyDescent="0.25">
      <c r="A261" s="275" t="s">
        <v>439</v>
      </c>
      <c r="B261" s="238"/>
      <c r="C261" s="239" t="s">
        <v>501</v>
      </c>
      <c r="D261" s="257" t="s">
        <v>95</v>
      </c>
      <c r="E261" s="262">
        <v>4728.74</v>
      </c>
      <c r="F261" s="263"/>
      <c r="G261" s="263"/>
      <c r="H261" s="263"/>
      <c r="I261" s="263"/>
      <c r="J261" s="263"/>
      <c r="K261" s="263"/>
      <c r="L261" s="263"/>
      <c r="M261" s="263"/>
      <c r="N261" s="143">
        <f t="shared" si="11"/>
        <v>0</v>
      </c>
      <c r="O261" s="262"/>
      <c r="P261" s="262"/>
      <c r="Q261" s="262"/>
      <c r="R261" s="241">
        <f t="shared" si="12"/>
        <v>4728.74</v>
      </c>
    </row>
    <row r="262" spans="1:18" ht="19.95" customHeight="1" x14ac:dyDescent="0.25">
      <c r="A262" s="275" t="s">
        <v>440</v>
      </c>
      <c r="B262" s="238"/>
      <c r="C262" s="239" t="s">
        <v>501</v>
      </c>
      <c r="D262" s="244" t="s">
        <v>95</v>
      </c>
      <c r="E262" s="262">
        <v>4728.72</v>
      </c>
      <c r="F262" s="263"/>
      <c r="G262" s="263"/>
      <c r="H262" s="263"/>
      <c r="I262" s="263">
        <v>61.16</v>
      </c>
      <c r="J262" s="263">
        <v>30.58</v>
      </c>
      <c r="K262" s="263"/>
      <c r="L262" s="263">
        <v>2806.14</v>
      </c>
      <c r="M262" s="263"/>
      <c r="N262" s="143">
        <f t="shared" si="11"/>
        <v>2897.8799999999997</v>
      </c>
      <c r="O262" s="262">
        <v>900.7</v>
      </c>
      <c r="P262" s="262"/>
      <c r="Q262" s="262">
        <v>12500</v>
      </c>
      <c r="R262" s="241">
        <f t="shared" si="12"/>
        <v>21027.300000000003</v>
      </c>
    </row>
    <row r="263" spans="1:18" ht="19.95" customHeight="1" x14ac:dyDescent="0.25">
      <c r="A263" s="275" t="s">
        <v>441</v>
      </c>
      <c r="B263" s="238"/>
      <c r="C263" s="239" t="s">
        <v>501</v>
      </c>
      <c r="D263" s="257"/>
      <c r="E263" s="262"/>
      <c r="F263" s="263"/>
      <c r="G263" s="263"/>
      <c r="H263" s="263"/>
      <c r="I263" s="263"/>
      <c r="J263" s="263"/>
      <c r="K263" s="263"/>
      <c r="L263" s="263">
        <v>1284.42</v>
      </c>
      <c r="M263" s="263"/>
      <c r="N263" s="143">
        <f t="shared" si="11"/>
        <v>1284.42</v>
      </c>
      <c r="O263" s="262"/>
      <c r="P263" s="262"/>
      <c r="Q263" s="262"/>
      <c r="R263" s="241">
        <f t="shared" si="12"/>
        <v>1284.42</v>
      </c>
    </row>
    <row r="264" spans="1:18" ht="19.95" customHeight="1" x14ac:dyDescent="0.25">
      <c r="A264" s="275" t="s">
        <v>442</v>
      </c>
      <c r="B264" s="238"/>
      <c r="C264" s="239" t="s">
        <v>501</v>
      </c>
      <c r="D264" s="260" t="s">
        <v>95</v>
      </c>
      <c r="E264" s="262">
        <v>14666.4</v>
      </c>
      <c r="F264" s="263"/>
      <c r="G264" s="263"/>
      <c r="H264" s="263"/>
      <c r="I264" s="263"/>
      <c r="J264" s="263"/>
      <c r="K264" s="263"/>
      <c r="L264" s="263"/>
      <c r="M264" s="263"/>
      <c r="N264" s="143">
        <f t="shared" si="11"/>
        <v>0</v>
      </c>
      <c r="O264" s="262"/>
      <c r="P264" s="262"/>
      <c r="Q264" s="262"/>
      <c r="R264" s="241">
        <f t="shared" si="12"/>
        <v>14666.4</v>
      </c>
    </row>
    <row r="265" spans="1:18" ht="19.95" customHeight="1" x14ac:dyDescent="0.25">
      <c r="A265" s="275" t="s">
        <v>443</v>
      </c>
      <c r="B265" s="238"/>
      <c r="C265" s="239" t="s">
        <v>501</v>
      </c>
      <c r="D265" s="257" t="s">
        <v>112</v>
      </c>
      <c r="E265" s="262">
        <v>788.12</v>
      </c>
      <c r="F265" s="263"/>
      <c r="G265" s="263"/>
      <c r="H265" s="263"/>
      <c r="I265" s="263"/>
      <c r="J265" s="263"/>
      <c r="K265" s="263"/>
      <c r="L265" s="263"/>
      <c r="M265" s="263"/>
      <c r="N265" s="143">
        <f t="shared" si="11"/>
        <v>0</v>
      </c>
      <c r="O265" s="262"/>
      <c r="P265" s="262"/>
      <c r="Q265" s="262"/>
      <c r="R265" s="241">
        <f t="shared" si="12"/>
        <v>788.12</v>
      </c>
    </row>
    <row r="266" spans="1:18" ht="19.95" customHeight="1" x14ac:dyDescent="0.25">
      <c r="A266" s="275" t="s">
        <v>581</v>
      </c>
      <c r="B266" s="238"/>
      <c r="C266" s="239" t="s">
        <v>501</v>
      </c>
      <c r="D266" s="257" t="s">
        <v>95</v>
      </c>
      <c r="E266" s="262">
        <v>1784.8</v>
      </c>
      <c r="F266" s="263"/>
      <c r="G266" s="263"/>
      <c r="H266" s="263"/>
      <c r="I266" s="263"/>
      <c r="J266" s="263"/>
      <c r="K266" s="263"/>
      <c r="L266" s="263"/>
      <c r="M266" s="263"/>
      <c r="N266" s="143"/>
      <c r="O266" s="262"/>
      <c r="P266" s="262"/>
      <c r="Q266" s="262"/>
      <c r="R266" s="241"/>
    </row>
    <row r="267" spans="1:18" ht="19.95" customHeight="1" x14ac:dyDescent="0.25">
      <c r="A267" s="275" t="s">
        <v>334</v>
      </c>
      <c r="B267" s="238"/>
      <c r="C267" s="239" t="s">
        <v>501</v>
      </c>
      <c r="D267" s="257" t="s">
        <v>93</v>
      </c>
      <c r="E267" s="262">
        <v>20030.5</v>
      </c>
      <c r="F267" s="263"/>
      <c r="G267" s="263"/>
      <c r="H267" s="263"/>
      <c r="I267" s="263">
        <v>243.36</v>
      </c>
      <c r="J267" s="263">
        <v>946.75</v>
      </c>
      <c r="K267" s="263"/>
      <c r="L267" s="263">
        <v>11105</v>
      </c>
      <c r="M267" s="263"/>
      <c r="N267" s="143">
        <f t="shared" si="11"/>
        <v>12295.11</v>
      </c>
      <c r="O267" s="262">
        <v>260</v>
      </c>
      <c r="P267" s="262"/>
      <c r="Q267" s="262"/>
      <c r="R267" s="241">
        <f t="shared" si="12"/>
        <v>32585.61</v>
      </c>
    </row>
    <row r="268" spans="1:18" ht="19.95" customHeight="1" x14ac:dyDescent="0.25">
      <c r="A268" s="275" t="s">
        <v>335</v>
      </c>
      <c r="B268" s="238"/>
      <c r="C268" s="239" t="s">
        <v>501</v>
      </c>
      <c r="D268" s="260" t="s">
        <v>87</v>
      </c>
      <c r="E268" s="262">
        <v>1940</v>
      </c>
      <c r="F268" s="263"/>
      <c r="G268" s="263"/>
      <c r="H268" s="263"/>
      <c r="I268" s="263"/>
      <c r="J268" s="263"/>
      <c r="K268" s="263"/>
      <c r="L268" s="263">
        <v>104.37</v>
      </c>
      <c r="M268" s="263"/>
      <c r="N268" s="143">
        <f t="shared" si="11"/>
        <v>104.37</v>
      </c>
      <c r="O268" s="262"/>
      <c r="P268" s="262"/>
      <c r="Q268" s="262"/>
      <c r="R268" s="241">
        <f t="shared" si="12"/>
        <v>2044.37</v>
      </c>
    </row>
    <row r="269" spans="1:18" ht="19.95" customHeight="1" x14ac:dyDescent="0.25">
      <c r="A269" s="275" t="s">
        <v>336</v>
      </c>
      <c r="B269" s="238"/>
      <c r="C269" s="239" t="s">
        <v>501</v>
      </c>
      <c r="D269" s="257" t="s">
        <v>103</v>
      </c>
      <c r="E269" s="262">
        <v>970</v>
      </c>
      <c r="F269" s="263"/>
      <c r="G269" s="263"/>
      <c r="H269" s="263"/>
      <c r="I269" s="263"/>
      <c r="J269" s="263"/>
      <c r="K269" s="263"/>
      <c r="L269" s="263"/>
      <c r="M269" s="263"/>
      <c r="N269" s="143">
        <f t="shared" si="11"/>
        <v>0</v>
      </c>
      <c r="O269" s="262"/>
      <c r="P269" s="262"/>
      <c r="Q269" s="262"/>
      <c r="R269" s="241">
        <f t="shared" si="12"/>
        <v>970</v>
      </c>
    </row>
    <row r="270" spans="1:18" ht="19.95" customHeight="1" x14ac:dyDescent="0.25">
      <c r="A270" s="275" t="s">
        <v>444</v>
      </c>
      <c r="B270" s="238"/>
      <c r="C270" s="239" t="s">
        <v>501</v>
      </c>
      <c r="D270" s="244" t="s">
        <v>352</v>
      </c>
      <c r="E270" s="262">
        <v>14368.11</v>
      </c>
      <c r="F270" s="263"/>
      <c r="G270" s="263"/>
      <c r="H270" s="263"/>
      <c r="I270" s="263"/>
      <c r="J270" s="263"/>
      <c r="K270" s="263"/>
      <c r="L270" s="263">
        <v>1121.0899999999999</v>
      </c>
      <c r="M270" s="263"/>
      <c r="N270" s="143">
        <f t="shared" si="11"/>
        <v>1121.0899999999999</v>
      </c>
      <c r="O270" s="262"/>
      <c r="P270" s="262"/>
      <c r="Q270" s="262"/>
      <c r="R270" s="241">
        <f t="shared" si="12"/>
        <v>15489.2</v>
      </c>
    </row>
    <row r="271" spans="1:18" ht="19.95" customHeight="1" x14ac:dyDescent="0.25">
      <c r="A271" s="275" t="s">
        <v>445</v>
      </c>
      <c r="B271" s="238"/>
      <c r="C271" s="239" t="s">
        <v>501</v>
      </c>
      <c r="D271" s="257" t="s">
        <v>95</v>
      </c>
      <c r="E271" s="262">
        <v>6274.66</v>
      </c>
      <c r="F271" s="263"/>
      <c r="G271" s="263"/>
      <c r="H271" s="263"/>
      <c r="I271" s="263"/>
      <c r="J271" s="263"/>
      <c r="K271" s="263"/>
      <c r="L271" s="263">
        <v>1216.8</v>
      </c>
      <c r="M271" s="263"/>
      <c r="N271" s="143">
        <f t="shared" si="11"/>
        <v>1216.8</v>
      </c>
      <c r="O271" s="262"/>
      <c r="P271" s="262"/>
      <c r="Q271" s="262"/>
      <c r="R271" s="241">
        <f t="shared" si="12"/>
        <v>7491.46</v>
      </c>
    </row>
    <row r="272" spans="1:18" ht="19.95" customHeight="1" x14ac:dyDescent="0.25">
      <c r="A272" s="275" t="s">
        <v>446</v>
      </c>
      <c r="B272" s="238"/>
      <c r="C272" s="239" t="s">
        <v>501</v>
      </c>
      <c r="D272" s="257" t="s">
        <v>91</v>
      </c>
      <c r="E272" s="262"/>
      <c r="F272" s="263"/>
      <c r="G272" s="263"/>
      <c r="H272" s="263"/>
      <c r="I272" s="263"/>
      <c r="J272" s="263"/>
      <c r="K272" s="263"/>
      <c r="L272" s="263"/>
      <c r="M272" s="263"/>
      <c r="N272" s="143">
        <f t="shared" si="11"/>
        <v>0</v>
      </c>
      <c r="O272" s="262"/>
      <c r="P272" s="262"/>
      <c r="Q272" s="262"/>
      <c r="R272" s="241">
        <f t="shared" si="12"/>
        <v>0</v>
      </c>
    </row>
    <row r="273" spans="1:18" ht="19.95" customHeight="1" x14ac:dyDescent="0.25">
      <c r="A273" s="275" t="s">
        <v>339</v>
      </c>
      <c r="B273" s="238"/>
      <c r="C273" s="239" t="s">
        <v>501</v>
      </c>
      <c r="D273" s="260" t="s">
        <v>93</v>
      </c>
      <c r="E273" s="262"/>
      <c r="F273" s="263"/>
      <c r="G273" s="263"/>
      <c r="H273" s="263"/>
      <c r="I273" s="263"/>
      <c r="J273" s="263"/>
      <c r="K273" s="263"/>
      <c r="L273" s="263">
        <v>740.1</v>
      </c>
      <c r="M273" s="263"/>
      <c r="N273" s="143">
        <f t="shared" si="11"/>
        <v>740.1</v>
      </c>
      <c r="O273" s="262"/>
      <c r="P273" s="262"/>
      <c r="Q273" s="262"/>
      <c r="R273" s="241">
        <f t="shared" si="12"/>
        <v>740.1</v>
      </c>
    </row>
    <row r="274" spans="1:18" ht="19.95" customHeight="1" x14ac:dyDescent="0.25">
      <c r="A274" s="275" t="s">
        <v>565</v>
      </c>
      <c r="B274" s="238"/>
      <c r="C274" s="239" t="s">
        <v>501</v>
      </c>
      <c r="D274" s="260" t="s">
        <v>112</v>
      </c>
      <c r="E274" s="262">
        <v>788.12</v>
      </c>
      <c r="F274" s="263"/>
      <c r="G274" s="263"/>
      <c r="H274" s="263"/>
      <c r="I274" s="263"/>
      <c r="J274" s="263"/>
      <c r="K274" s="263"/>
      <c r="L274" s="263"/>
      <c r="M274" s="263"/>
      <c r="N274" s="143">
        <f t="shared" si="11"/>
        <v>0</v>
      </c>
      <c r="O274" s="262"/>
      <c r="P274" s="262"/>
      <c r="Q274" s="262"/>
      <c r="R274" s="241">
        <f t="shared" si="12"/>
        <v>788.12</v>
      </c>
    </row>
    <row r="275" spans="1:18" ht="19.95" customHeight="1" x14ac:dyDescent="0.25">
      <c r="A275" s="275" t="s">
        <v>340</v>
      </c>
      <c r="B275" s="238"/>
      <c r="C275" s="239" t="s">
        <v>501</v>
      </c>
      <c r="D275" s="257" t="s">
        <v>112</v>
      </c>
      <c r="E275" s="262">
        <v>1394.37</v>
      </c>
      <c r="F275" s="263"/>
      <c r="G275" s="263"/>
      <c r="H275" s="263"/>
      <c r="I275" s="263"/>
      <c r="J275" s="263"/>
      <c r="K275" s="263"/>
      <c r="L275" s="263"/>
      <c r="M275" s="263"/>
      <c r="N275" s="143">
        <f t="shared" si="11"/>
        <v>0</v>
      </c>
      <c r="O275" s="262"/>
      <c r="P275" s="262"/>
      <c r="Q275" s="262">
        <v>15000</v>
      </c>
      <c r="R275" s="241">
        <f t="shared" si="12"/>
        <v>16394.37</v>
      </c>
    </row>
    <row r="276" spans="1:18" ht="19.95" customHeight="1" x14ac:dyDescent="0.25">
      <c r="A276" s="275" t="s">
        <v>566</v>
      </c>
      <c r="B276" s="238"/>
      <c r="C276" s="239" t="s">
        <v>501</v>
      </c>
      <c r="D276" s="257"/>
      <c r="E276" s="262"/>
      <c r="F276" s="263"/>
      <c r="G276" s="263"/>
      <c r="H276" s="263"/>
      <c r="I276" s="263"/>
      <c r="J276" s="263"/>
      <c r="K276" s="263"/>
      <c r="L276" s="263">
        <v>218.56</v>
      </c>
      <c r="M276" s="263"/>
      <c r="N276" s="143">
        <f t="shared" si="11"/>
        <v>218.56</v>
      </c>
      <c r="O276" s="262"/>
      <c r="P276" s="262"/>
      <c r="Q276" s="262"/>
      <c r="R276" s="241">
        <f t="shared" si="12"/>
        <v>218.56</v>
      </c>
    </row>
    <row r="277" spans="1:18" ht="19.95" customHeight="1" x14ac:dyDescent="0.25">
      <c r="A277" s="275" t="s">
        <v>341</v>
      </c>
      <c r="B277" s="238"/>
      <c r="C277" s="239" t="s">
        <v>501</v>
      </c>
      <c r="D277" s="260" t="s">
        <v>93</v>
      </c>
      <c r="E277" s="262">
        <v>2910</v>
      </c>
      <c r="F277" s="263"/>
      <c r="G277" s="263"/>
      <c r="H277" s="263"/>
      <c r="I277" s="263">
        <v>188.98</v>
      </c>
      <c r="J277" s="263"/>
      <c r="K277" s="263"/>
      <c r="L277" s="263">
        <v>6268.56</v>
      </c>
      <c r="M277" s="263"/>
      <c r="N277" s="143">
        <f t="shared" si="11"/>
        <v>6457.54</v>
      </c>
      <c r="O277" s="262"/>
      <c r="P277" s="262"/>
      <c r="Q277" s="262"/>
      <c r="R277" s="241">
        <f t="shared" si="12"/>
        <v>9367.5400000000009</v>
      </c>
    </row>
    <row r="278" spans="1:18" ht="19.95" customHeight="1" x14ac:dyDescent="0.25">
      <c r="A278" s="275" t="s">
        <v>447</v>
      </c>
      <c r="B278" s="238"/>
      <c r="C278" s="239" t="s">
        <v>501</v>
      </c>
      <c r="D278" s="257"/>
      <c r="E278" s="262"/>
      <c r="F278" s="263"/>
      <c r="G278" s="263"/>
      <c r="H278" s="263"/>
      <c r="I278" s="263"/>
      <c r="J278" s="263"/>
      <c r="K278" s="263"/>
      <c r="L278" s="263">
        <v>2067.41</v>
      </c>
      <c r="M278" s="263"/>
      <c r="N278" s="143">
        <f t="shared" si="11"/>
        <v>2067.41</v>
      </c>
      <c r="O278" s="262"/>
      <c r="P278" s="262"/>
      <c r="Q278" s="262"/>
      <c r="R278" s="241">
        <f t="shared" si="12"/>
        <v>2067.41</v>
      </c>
    </row>
    <row r="279" spans="1:18" ht="19.95" customHeight="1" x14ac:dyDescent="0.25">
      <c r="A279" s="275" t="s">
        <v>342</v>
      </c>
      <c r="B279" s="238"/>
      <c r="C279" s="239" t="s">
        <v>501</v>
      </c>
      <c r="D279" s="244" t="s">
        <v>87</v>
      </c>
      <c r="E279" s="263">
        <v>6347.03</v>
      </c>
      <c r="F279" s="263"/>
      <c r="G279" s="263"/>
      <c r="H279" s="263"/>
      <c r="I279" s="263"/>
      <c r="J279" s="263"/>
      <c r="K279" s="263"/>
      <c r="L279" s="263">
        <v>533.69000000000005</v>
      </c>
      <c r="M279" s="263"/>
      <c r="N279" s="143">
        <f t="shared" si="11"/>
        <v>533.69000000000005</v>
      </c>
      <c r="O279" s="262">
        <v>520</v>
      </c>
      <c r="P279" s="262"/>
      <c r="Q279" s="262"/>
      <c r="R279" s="241">
        <f t="shared" si="12"/>
        <v>7400.7199999999993</v>
      </c>
    </row>
    <row r="280" spans="1:18" ht="19.95" customHeight="1" x14ac:dyDescent="0.25">
      <c r="A280" s="275" t="s">
        <v>448</v>
      </c>
      <c r="B280" s="238"/>
      <c r="C280" s="239" t="s">
        <v>501</v>
      </c>
      <c r="D280" s="260"/>
      <c r="E280" s="262"/>
      <c r="F280" s="263"/>
      <c r="G280" s="263"/>
      <c r="H280" s="263"/>
      <c r="I280" s="263"/>
      <c r="J280" s="263"/>
      <c r="K280" s="263"/>
      <c r="L280" s="263">
        <v>927.86</v>
      </c>
      <c r="M280" s="263"/>
      <c r="N280" s="143">
        <f t="shared" si="11"/>
        <v>927.86</v>
      </c>
      <c r="O280" s="262"/>
      <c r="P280" s="262"/>
      <c r="Q280" s="262"/>
      <c r="R280" s="241">
        <f t="shared" si="12"/>
        <v>927.86</v>
      </c>
    </row>
    <row r="281" spans="1:18" ht="19.95" customHeight="1" x14ac:dyDescent="0.25">
      <c r="A281" s="275" t="s">
        <v>567</v>
      </c>
      <c r="B281" s="238"/>
      <c r="C281" s="239" t="s">
        <v>501</v>
      </c>
      <c r="D281" s="260"/>
      <c r="E281" s="262"/>
      <c r="F281" s="263"/>
      <c r="G281" s="263"/>
      <c r="H281" s="263"/>
      <c r="I281" s="263"/>
      <c r="J281" s="263"/>
      <c r="K281" s="263"/>
      <c r="L281" s="263">
        <v>651.94000000000005</v>
      </c>
      <c r="M281" s="263"/>
      <c r="N281" s="143">
        <f t="shared" si="11"/>
        <v>651.94000000000005</v>
      </c>
      <c r="O281" s="262"/>
      <c r="P281" s="262"/>
      <c r="Q281" s="262"/>
      <c r="R281" s="241">
        <f t="shared" si="12"/>
        <v>651.94000000000005</v>
      </c>
    </row>
    <row r="282" spans="1:18" ht="19.95" customHeight="1" x14ac:dyDescent="0.25">
      <c r="A282" s="275" t="s">
        <v>346</v>
      </c>
      <c r="B282" s="238"/>
      <c r="C282" s="239" t="s">
        <v>501</v>
      </c>
      <c r="D282" s="257" t="s">
        <v>95</v>
      </c>
      <c r="E282" s="262">
        <v>15830.4</v>
      </c>
      <c r="F282" s="263"/>
      <c r="G282" s="263"/>
      <c r="H282" s="263"/>
      <c r="I282" s="263"/>
      <c r="J282" s="263"/>
      <c r="K282" s="263"/>
      <c r="L282" s="263"/>
      <c r="M282" s="263"/>
      <c r="N282" s="143">
        <f t="shared" si="11"/>
        <v>0</v>
      </c>
      <c r="O282" s="262">
        <v>130</v>
      </c>
      <c r="P282" s="262"/>
      <c r="Q282" s="262"/>
      <c r="R282" s="241">
        <f t="shared" si="12"/>
        <v>15960.4</v>
      </c>
    </row>
    <row r="283" spans="1:18" ht="19.95" customHeight="1" x14ac:dyDescent="0.25">
      <c r="A283" s="275" t="s">
        <v>345</v>
      </c>
      <c r="B283" s="238"/>
      <c r="C283" s="239" t="s">
        <v>501</v>
      </c>
      <c r="D283" s="257" t="s">
        <v>87</v>
      </c>
      <c r="E283" s="262">
        <v>11995.65</v>
      </c>
      <c r="F283" s="263"/>
      <c r="G283" s="263"/>
      <c r="H283" s="263"/>
      <c r="I283" s="263"/>
      <c r="J283" s="263"/>
      <c r="K283" s="263"/>
      <c r="L283" s="263">
        <v>5674.68</v>
      </c>
      <c r="M283" s="263"/>
      <c r="N283" s="143">
        <f t="shared" si="11"/>
        <v>5674.68</v>
      </c>
      <c r="O283" s="262">
        <v>780</v>
      </c>
      <c r="P283" s="262"/>
      <c r="Q283" s="262"/>
      <c r="R283" s="241">
        <f t="shared" si="12"/>
        <v>18450.330000000002</v>
      </c>
    </row>
    <row r="284" spans="1:18" ht="19.95" customHeight="1" x14ac:dyDescent="0.25">
      <c r="A284" s="275" t="s">
        <v>347</v>
      </c>
      <c r="B284" s="238"/>
      <c r="C284" s="239" t="s">
        <v>501</v>
      </c>
      <c r="D284" s="244" t="s">
        <v>103</v>
      </c>
      <c r="E284" s="262"/>
      <c r="F284" s="263"/>
      <c r="G284" s="263"/>
      <c r="H284" s="263"/>
      <c r="I284" s="263"/>
      <c r="J284" s="263"/>
      <c r="K284" s="263"/>
      <c r="L284" s="263"/>
      <c r="M284" s="263"/>
      <c r="N284" s="143">
        <f t="shared" si="11"/>
        <v>0</v>
      </c>
      <c r="O284" s="262"/>
      <c r="P284" s="262"/>
      <c r="Q284" s="262"/>
      <c r="R284" s="241">
        <f t="shared" si="12"/>
        <v>0</v>
      </c>
    </row>
    <row r="285" spans="1:18" ht="19.95" customHeight="1" x14ac:dyDescent="0.25">
      <c r="A285" s="275" t="s">
        <v>348</v>
      </c>
      <c r="B285" s="238"/>
      <c r="C285" s="239" t="s">
        <v>501</v>
      </c>
      <c r="D285" s="257" t="s">
        <v>112</v>
      </c>
      <c r="E285" s="262">
        <v>10124.36</v>
      </c>
      <c r="F285" s="263"/>
      <c r="G285" s="263"/>
      <c r="H285" s="263"/>
      <c r="I285" s="263"/>
      <c r="J285" s="263"/>
      <c r="K285" s="263"/>
      <c r="L285" s="263"/>
      <c r="M285" s="263"/>
      <c r="N285" s="143">
        <f t="shared" si="11"/>
        <v>0</v>
      </c>
      <c r="O285" s="262">
        <v>520</v>
      </c>
      <c r="P285" s="262"/>
      <c r="Q285" s="262"/>
      <c r="R285" s="241">
        <f t="shared" si="12"/>
        <v>10644.36</v>
      </c>
    </row>
    <row r="286" spans="1:18" ht="19.95" customHeight="1" x14ac:dyDescent="0.25">
      <c r="A286" s="275" t="s">
        <v>449</v>
      </c>
      <c r="B286" s="238"/>
      <c r="C286" s="239" t="s">
        <v>501</v>
      </c>
      <c r="D286" s="257"/>
      <c r="E286" s="263"/>
      <c r="F286" s="263"/>
      <c r="G286" s="263"/>
      <c r="H286" s="263"/>
      <c r="I286" s="263"/>
      <c r="J286" s="263"/>
      <c r="K286" s="263"/>
      <c r="L286" s="263">
        <v>530.44000000000005</v>
      </c>
      <c r="M286" s="263"/>
      <c r="N286" s="143">
        <f t="shared" si="11"/>
        <v>530.44000000000005</v>
      </c>
      <c r="O286" s="262"/>
      <c r="P286" s="262"/>
      <c r="Q286" s="262">
        <v>6250</v>
      </c>
      <c r="R286" s="241">
        <f t="shared" si="12"/>
        <v>6780.4400000000005</v>
      </c>
    </row>
    <row r="287" spans="1:18" ht="19.95" customHeight="1" x14ac:dyDescent="0.25">
      <c r="A287" s="275" t="s">
        <v>568</v>
      </c>
      <c r="B287" s="238"/>
      <c r="C287" s="239" t="s">
        <v>501</v>
      </c>
      <c r="D287" s="257" t="s">
        <v>112</v>
      </c>
      <c r="E287" s="263">
        <v>4365</v>
      </c>
      <c r="F287" s="263"/>
      <c r="G287" s="263"/>
      <c r="H287" s="263"/>
      <c r="I287" s="263"/>
      <c r="J287" s="263"/>
      <c r="K287" s="263"/>
      <c r="L287" s="263"/>
      <c r="M287" s="263"/>
      <c r="N287" s="143">
        <f t="shared" si="11"/>
        <v>0</v>
      </c>
      <c r="O287" s="262">
        <v>130</v>
      </c>
      <c r="P287" s="262"/>
      <c r="Q287" s="262"/>
      <c r="R287" s="241">
        <f t="shared" si="12"/>
        <v>4495</v>
      </c>
    </row>
    <row r="288" spans="1:18" ht="19.95" customHeight="1" x14ac:dyDescent="0.25">
      <c r="A288" s="275" t="s">
        <v>450</v>
      </c>
      <c r="B288" s="238"/>
      <c r="C288" s="239" t="s">
        <v>501</v>
      </c>
      <c r="D288" s="257" t="s">
        <v>112</v>
      </c>
      <c r="E288" s="258">
        <v>3152.5</v>
      </c>
      <c r="F288" s="258"/>
      <c r="G288" s="258"/>
      <c r="H288" s="258"/>
      <c r="I288" s="258"/>
      <c r="J288" s="258"/>
      <c r="K288" s="258"/>
      <c r="L288" s="258"/>
      <c r="M288" s="258"/>
      <c r="N288" s="143">
        <f t="shared" si="11"/>
        <v>0</v>
      </c>
      <c r="O288" s="261"/>
      <c r="P288" s="261"/>
      <c r="Q288" s="261"/>
      <c r="R288" s="241">
        <f t="shared" si="12"/>
        <v>3152.5</v>
      </c>
    </row>
    <row r="289" spans="1:18" ht="19.95" customHeight="1" x14ac:dyDescent="0.25">
      <c r="A289" s="275" t="s">
        <v>451</v>
      </c>
      <c r="B289" s="238"/>
      <c r="C289" s="239" t="s">
        <v>501</v>
      </c>
      <c r="D289" s="257" t="s">
        <v>112</v>
      </c>
      <c r="E289" s="258"/>
      <c r="F289" s="258"/>
      <c r="G289" s="258"/>
      <c r="H289" s="258"/>
      <c r="I289" s="258"/>
      <c r="J289" s="258"/>
      <c r="K289" s="258"/>
      <c r="L289" s="258"/>
      <c r="M289" s="258"/>
      <c r="N289" s="143">
        <f t="shared" si="11"/>
        <v>0</v>
      </c>
      <c r="O289" s="261"/>
      <c r="P289" s="261"/>
      <c r="Q289" s="261"/>
      <c r="R289" s="241">
        <f t="shared" si="12"/>
        <v>0</v>
      </c>
    </row>
    <row r="290" spans="1:18" ht="19.95" customHeight="1" x14ac:dyDescent="0.25">
      <c r="A290" s="246" t="s">
        <v>85</v>
      </c>
      <c r="B290" s="225"/>
      <c r="C290" s="247"/>
      <c r="D290" s="247"/>
      <c r="E290" s="264">
        <f>SUM(E158:E289)</f>
        <v>573998.2699999999</v>
      </c>
      <c r="F290" s="264">
        <f t="shared" ref="F290:N290" si="13">SUM(F158:F289)</f>
        <v>0</v>
      </c>
      <c r="G290" s="264">
        <f t="shared" si="13"/>
        <v>271.39</v>
      </c>
      <c r="H290" s="264">
        <f t="shared" si="13"/>
        <v>1930.19</v>
      </c>
      <c r="I290" s="264">
        <f t="shared" si="13"/>
        <v>4793.87</v>
      </c>
      <c r="J290" s="264">
        <f t="shared" si="13"/>
        <v>977.33</v>
      </c>
      <c r="K290" s="264">
        <f t="shared" si="13"/>
        <v>0</v>
      </c>
      <c r="L290" s="264">
        <f t="shared" si="13"/>
        <v>184144.94999999998</v>
      </c>
      <c r="M290" s="264">
        <f t="shared" si="13"/>
        <v>26159.010000000002</v>
      </c>
      <c r="N290" s="146">
        <f t="shared" si="13"/>
        <v>218276.74000000005</v>
      </c>
      <c r="O290" s="264">
        <f>SUM(O158:O289)</f>
        <v>19329.2</v>
      </c>
      <c r="P290" s="264">
        <f t="shared" ref="P290:Q290" si="14">SUM(P158:P289)</f>
        <v>0</v>
      </c>
      <c r="Q290" s="264">
        <f t="shared" si="14"/>
        <v>84000</v>
      </c>
      <c r="R290" s="264">
        <f>SUM(R158:R289)</f>
        <v>893819.41</v>
      </c>
    </row>
    <row r="291" spans="1:18" ht="42" customHeight="1" x14ac:dyDescent="0.25">
      <c r="A291" s="265" t="s">
        <v>62</v>
      </c>
      <c r="B291" s="266"/>
      <c r="C291" s="266"/>
      <c r="D291" s="266"/>
      <c r="E291" s="267">
        <f t="shared" ref="E291:Q291" si="15">E61+E157+E290</f>
        <v>1553018.42</v>
      </c>
      <c r="F291" s="267">
        <f t="shared" si="15"/>
        <v>13014.98</v>
      </c>
      <c r="G291" s="267">
        <f t="shared" si="15"/>
        <v>19664.77</v>
      </c>
      <c r="H291" s="267">
        <f t="shared" si="15"/>
        <v>5993.1200000000008</v>
      </c>
      <c r="I291" s="267">
        <f t="shared" si="15"/>
        <v>51264.89</v>
      </c>
      <c r="J291" s="267">
        <f t="shared" si="15"/>
        <v>2642.19</v>
      </c>
      <c r="K291" s="267">
        <f t="shared" si="15"/>
        <v>0</v>
      </c>
      <c r="L291" s="267">
        <f t="shared" si="15"/>
        <v>364565.95999999996</v>
      </c>
      <c r="M291" s="267">
        <f t="shared" si="15"/>
        <v>33729.86</v>
      </c>
      <c r="N291" s="273">
        <f t="shared" si="15"/>
        <v>477860.7900000001</v>
      </c>
      <c r="O291" s="267">
        <f t="shared" si="15"/>
        <v>120889.09999999999</v>
      </c>
      <c r="P291" s="267">
        <f t="shared" si="15"/>
        <v>137500</v>
      </c>
      <c r="Q291" s="267">
        <f t="shared" si="15"/>
        <v>387750.01</v>
      </c>
      <c r="R291" s="268">
        <f>E291+F291+G291+H291+I291+J291+K291+L290+M291+O291+P291+Q291</f>
        <v>2509612.29</v>
      </c>
    </row>
    <row r="292" spans="1:18" ht="15" customHeight="1" x14ac:dyDescent="0.25">
      <c r="R292" s="270" t="s">
        <v>577</v>
      </c>
    </row>
  </sheetData>
  <autoFilter ref="A2:R292" xr:uid="{613F25F0-B4F9-4433-906A-4EA9B25785AE}"/>
  <pageMargins left="0.7" right="0.7" top="0.75" bottom="0.75" header="0.3" footer="0.3"/>
  <pageSetup paperSize="8" scale="14" orientation="landscape" r:id="rId1"/>
  <ignoredErrors>
    <ignoredError sqref="N18 N24 N26 N5 N31 N49 N46" formulaRange="1"/>
    <ignoredError sqref="R29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141D-B114-4D05-8256-79C58A85EBDC}">
  <sheetPr>
    <pageSetUpPr fitToPage="1"/>
  </sheetPr>
  <dimension ref="A1:AH309"/>
  <sheetViews>
    <sheetView zoomScale="85" zoomScaleNormal="85" workbookViewId="0">
      <pane ySplit="2" topLeftCell="A52" activePane="bottomLeft" state="frozen"/>
      <selection pane="bottomLeft" activeCell="A63" sqref="A63"/>
    </sheetView>
  </sheetViews>
  <sheetFormatPr defaultColWidth="9.109375" defaultRowHeight="15" customHeight="1" x14ac:dyDescent="0.25"/>
  <cols>
    <col min="1" max="1" width="52.33203125" style="292" customWidth="1"/>
    <col min="2" max="2" width="15.44140625" style="292" customWidth="1"/>
    <col min="3" max="3" width="19.44140625" style="334" customWidth="1"/>
    <col min="4" max="4" width="21.6640625" style="334" customWidth="1"/>
    <col min="5" max="5" width="20.44140625" style="292" customWidth="1"/>
    <col min="6" max="13" width="21.5546875" style="292" customWidth="1"/>
    <col min="14" max="14" width="20.6640625" style="335" customWidth="1"/>
    <col min="15" max="15" width="20.33203125" style="292" customWidth="1"/>
    <col min="16" max="16" width="22.6640625" style="292" customWidth="1"/>
    <col min="17" max="17" width="20.6640625" style="292" customWidth="1"/>
    <col min="18" max="18" width="21.44140625" style="292" customWidth="1"/>
    <col min="19" max="19" width="9.109375" style="292"/>
    <col min="20" max="20" width="19.109375" style="292" customWidth="1"/>
    <col min="21" max="16384" width="9.109375" style="292"/>
  </cols>
  <sheetData>
    <row r="1" spans="1:34" s="287" customFormat="1" ht="30" customHeight="1" x14ac:dyDescent="0.25">
      <c r="A1" s="281" t="s">
        <v>576</v>
      </c>
      <c r="B1" s="282"/>
      <c r="C1" s="283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4"/>
      <c r="O1" s="282"/>
      <c r="P1" s="282"/>
      <c r="Q1" s="282"/>
      <c r="R1" s="285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</row>
    <row r="2" spans="1:34" ht="40.200000000000003" customHeight="1" x14ac:dyDescent="0.25">
      <c r="A2" s="288" t="s">
        <v>544</v>
      </c>
      <c r="B2" s="288" t="s">
        <v>526</v>
      </c>
      <c r="C2" s="288" t="s">
        <v>498</v>
      </c>
      <c r="D2" s="289" t="s">
        <v>545</v>
      </c>
      <c r="E2" s="290" t="s">
        <v>546</v>
      </c>
      <c r="F2" s="290" t="s">
        <v>548</v>
      </c>
      <c r="G2" s="290" t="s">
        <v>527</v>
      </c>
      <c r="H2" s="290" t="s">
        <v>528</v>
      </c>
      <c r="I2" s="290" t="s">
        <v>529</v>
      </c>
      <c r="J2" s="290" t="s">
        <v>530</v>
      </c>
      <c r="K2" s="290" t="s">
        <v>531</v>
      </c>
      <c r="L2" s="290" t="s">
        <v>569</v>
      </c>
      <c r="M2" s="290" t="s">
        <v>532</v>
      </c>
      <c r="N2" s="291" t="s">
        <v>542</v>
      </c>
      <c r="O2" s="290" t="s">
        <v>82</v>
      </c>
      <c r="P2" s="290" t="s">
        <v>543</v>
      </c>
      <c r="Q2" s="290" t="s">
        <v>549</v>
      </c>
      <c r="R2" s="289" t="s">
        <v>85</v>
      </c>
    </row>
    <row r="3" spans="1:34" ht="19.95" customHeight="1" x14ac:dyDescent="0.25">
      <c r="A3" s="293" t="s">
        <v>386</v>
      </c>
      <c r="B3" s="294"/>
      <c r="C3" s="295" t="s">
        <v>499</v>
      </c>
      <c r="D3" s="296" t="s">
        <v>110</v>
      </c>
      <c r="E3" s="297">
        <v>86252.4</v>
      </c>
      <c r="F3" s="297"/>
      <c r="G3" s="297">
        <v>5105.22</v>
      </c>
      <c r="H3" s="297"/>
      <c r="I3" s="297"/>
      <c r="J3" s="297"/>
      <c r="K3" s="297"/>
      <c r="L3" s="297"/>
      <c r="M3" s="297"/>
      <c r="N3" s="298">
        <f>SUM(G3:M3)</f>
        <v>5105.22</v>
      </c>
      <c r="O3" s="297">
        <v>31350.36</v>
      </c>
      <c r="P3" s="297">
        <v>5000</v>
      </c>
      <c r="Q3" s="297"/>
      <c r="R3" s="297">
        <f>E3+F3+N3+O3+P3+Q3</f>
        <v>127707.98</v>
      </c>
    </row>
    <row r="4" spans="1:34" ht="19.95" customHeight="1" x14ac:dyDescent="0.25">
      <c r="A4" s="294" t="s">
        <v>461</v>
      </c>
      <c r="B4" s="294">
        <v>1507</v>
      </c>
      <c r="C4" s="295" t="s">
        <v>499</v>
      </c>
      <c r="D4" s="296"/>
      <c r="E4" s="297"/>
      <c r="F4" s="297"/>
      <c r="G4" s="297"/>
      <c r="H4" s="297"/>
      <c r="I4" s="297"/>
      <c r="J4" s="297"/>
      <c r="K4" s="297"/>
      <c r="L4" s="297"/>
      <c r="M4" s="297"/>
      <c r="N4" s="298">
        <f t="shared" ref="N4:N66" si="0">SUM(G4:M4)</f>
        <v>0</v>
      </c>
      <c r="O4" s="297"/>
      <c r="P4" s="299">
        <v>15000</v>
      </c>
      <c r="Q4" s="297"/>
      <c r="R4" s="297">
        <f t="shared" ref="R4:R66" si="1">E4+F4+N4+O4+P4+Q4</f>
        <v>15000</v>
      </c>
    </row>
    <row r="5" spans="1:34" ht="19.95" customHeight="1" x14ac:dyDescent="0.25">
      <c r="A5" s="294" t="s">
        <v>86</v>
      </c>
      <c r="B5" s="294">
        <v>120</v>
      </c>
      <c r="C5" s="295" t="s">
        <v>499</v>
      </c>
      <c r="D5" s="295" t="s">
        <v>87</v>
      </c>
      <c r="E5" s="297">
        <v>9554.5</v>
      </c>
      <c r="F5" s="297">
        <v>1261</v>
      </c>
      <c r="G5" s="297"/>
      <c r="H5" s="297"/>
      <c r="I5" s="297"/>
      <c r="J5" s="297"/>
      <c r="K5" s="297"/>
      <c r="L5" s="297"/>
      <c r="M5" s="297"/>
      <c r="N5" s="298">
        <f t="shared" si="0"/>
        <v>0</v>
      </c>
      <c r="O5" s="297">
        <v>260</v>
      </c>
      <c r="P5" s="297"/>
      <c r="Q5" s="297"/>
      <c r="R5" s="297">
        <f t="shared" si="1"/>
        <v>11075.5</v>
      </c>
    </row>
    <row r="6" spans="1:34" ht="19.95" customHeight="1" x14ac:dyDescent="0.25">
      <c r="A6" s="294" t="s">
        <v>462</v>
      </c>
      <c r="B6" s="294">
        <v>706</v>
      </c>
      <c r="C6" s="295" t="s">
        <v>499</v>
      </c>
      <c r="D6" s="295"/>
      <c r="E6" s="297"/>
      <c r="F6" s="297"/>
      <c r="G6" s="297"/>
      <c r="H6" s="297"/>
      <c r="I6" s="297"/>
      <c r="J6" s="297"/>
      <c r="K6" s="297"/>
      <c r="L6" s="297"/>
      <c r="M6" s="297"/>
      <c r="N6" s="298">
        <f t="shared" si="0"/>
        <v>0</v>
      </c>
      <c r="O6" s="297"/>
      <c r="P6" s="297"/>
      <c r="Q6" s="297"/>
      <c r="R6" s="297">
        <f t="shared" si="1"/>
        <v>0</v>
      </c>
    </row>
    <row r="7" spans="1:34" ht="19.95" customHeight="1" x14ac:dyDescent="0.25">
      <c r="A7" s="294" t="s">
        <v>573</v>
      </c>
      <c r="B7" s="294">
        <v>792</v>
      </c>
      <c r="C7" s="295" t="s">
        <v>499</v>
      </c>
      <c r="D7" s="295" t="s">
        <v>91</v>
      </c>
      <c r="E7" s="297">
        <v>9093.75</v>
      </c>
      <c r="F7" s="297"/>
      <c r="G7" s="297"/>
      <c r="H7" s="297"/>
      <c r="I7" s="297"/>
      <c r="J7" s="297"/>
      <c r="K7" s="297"/>
      <c r="L7" s="297"/>
      <c r="M7" s="297">
        <v>1663.55</v>
      </c>
      <c r="N7" s="298">
        <f t="shared" si="0"/>
        <v>1663.55</v>
      </c>
      <c r="O7" s="297"/>
      <c r="P7" s="297"/>
      <c r="Q7" s="297">
        <v>12500</v>
      </c>
      <c r="R7" s="297">
        <f>E7+F7+N7+O7+P7+Q7</f>
        <v>23257.3</v>
      </c>
    </row>
    <row r="8" spans="1:34" ht="19.95" customHeight="1" x14ac:dyDescent="0.25">
      <c r="A8" s="294" t="s">
        <v>92</v>
      </c>
      <c r="B8" s="294">
        <v>1939</v>
      </c>
      <c r="C8" s="295" t="s">
        <v>499</v>
      </c>
      <c r="D8" s="295" t="s">
        <v>93</v>
      </c>
      <c r="E8" s="297"/>
      <c r="F8" s="297"/>
      <c r="G8" s="297"/>
      <c r="H8" s="297"/>
      <c r="I8" s="297"/>
      <c r="J8" s="297"/>
      <c r="K8" s="297"/>
      <c r="L8" s="297"/>
      <c r="M8" s="297"/>
      <c r="N8" s="298">
        <f t="shared" si="0"/>
        <v>0</v>
      </c>
      <c r="O8" s="297"/>
      <c r="P8" s="297"/>
      <c r="Q8" s="297"/>
      <c r="R8" s="297">
        <f t="shared" si="1"/>
        <v>0</v>
      </c>
    </row>
    <row r="9" spans="1:34" ht="19.95" customHeight="1" x14ac:dyDescent="0.25">
      <c r="A9" s="300" t="s">
        <v>148</v>
      </c>
      <c r="B9" s="294">
        <v>1516</v>
      </c>
      <c r="C9" s="295" t="s">
        <v>499</v>
      </c>
      <c r="D9" s="301" t="s">
        <v>103</v>
      </c>
      <c r="E9" s="297">
        <v>2690.12</v>
      </c>
      <c r="F9" s="297"/>
      <c r="G9" s="297">
        <v>1408.28</v>
      </c>
      <c r="H9" s="297"/>
      <c r="I9" s="297"/>
      <c r="J9" s="297"/>
      <c r="K9" s="297"/>
      <c r="L9" s="297"/>
      <c r="M9" s="297"/>
      <c r="N9" s="298">
        <f t="shared" si="0"/>
        <v>1408.28</v>
      </c>
      <c r="O9" s="297"/>
      <c r="P9" s="297"/>
      <c r="Q9" s="297"/>
      <c r="R9" s="297">
        <f t="shared" si="1"/>
        <v>4098.3999999999996</v>
      </c>
    </row>
    <row r="10" spans="1:34" ht="19.95" customHeight="1" x14ac:dyDescent="0.25">
      <c r="A10" s="294" t="s">
        <v>473</v>
      </c>
      <c r="B10" s="294">
        <v>49</v>
      </c>
      <c r="C10" s="295" t="s">
        <v>499</v>
      </c>
      <c r="D10" s="295" t="s">
        <v>95</v>
      </c>
      <c r="E10" s="297">
        <v>39557.81</v>
      </c>
      <c r="F10" s="297"/>
      <c r="G10" s="297"/>
      <c r="H10" s="297"/>
      <c r="I10" s="297"/>
      <c r="J10" s="297"/>
      <c r="K10" s="297"/>
      <c r="L10" s="297"/>
      <c r="M10" s="297"/>
      <c r="N10" s="298">
        <f t="shared" si="0"/>
        <v>0</v>
      </c>
      <c r="O10" s="297">
        <v>520</v>
      </c>
      <c r="P10" s="297">
        <v>5000</v>
      </c>
      <c r="Q10" s="297"/>
      <c r="R10" s="297">
        <f t="shared" si="1"/>
        <v>45077.81</v>
      </c>
    </row>
    <row r="11" spans="1:34" ht="19.95" customHeight="1" x14ac:dyDescent="0.25">
      <c r="A11" s="294" t="s">
        <v>149</v>
      </c>
      <c r="B11" s="294">
        <v>2381</v>
      </c>
      <c r="C11" s="295" t="s">
        <v>499</v>
      </c>
      <c r="D11" s="295" t="s">
        <v>93</v>
      </c>
      <c r="E11" s="297">
        <v>4850</v>
      </c>
      <c r="F11" s="297"/>
      <c r="G11" s="297">
        <v>1414.8</v>
      </c>
      <c r="H11" s="297"/>
      <c r="I11" s="297"/>
      <c r="J11" s="297"/>
      <c r="K11" s="297"/>
      <c r="L11" s="297"/>
      <c r="M11" s="297"/>
      <c r="N11" s="298">
        <f>SUM(G11:M11)</f>
        <v>1414.8</v>
      </c>
      <c r="O11" s="297"/>
      <c r="P11" s="297"/>
      <c r="Q11" s="297"/>
      <c r="R11" s="302">
        <f>E11+F11+N11+O11+P11+Q11</f>
        <v>6264.8</v>
      </c>
    </row>
    <row r="12" spans="1:34" ht="19.95" customHeight="1" x14ac:dyDescent="0.25">
      <c r="A12" s="294" t="s">
        <v>96</v>
      </c>
      <c r="B12" s="294">
        <v>791</v>
      </c>
      <c r="C12" s="295" t="s">
        <v>499</v>
      </c>
      <c r="D12" s="295" t="s">
        <v>91</v>
      </c>
      <c r="E12" s="297">
        <v>10912.5</v>
      </c>
      <c r="F12" s="297"/>
      <c r="G12" s="297"/>
      <c r="H12" s="297"/>
      <c r="I12" s="297"/>
      <c r="J12" s="297"/>
      <c r="K12" s="297"/>
      <c r="L12" s="297">
        <v>10915</v>
      </c>
      <c r="M12" s="297"/>
      <c r="N12" s="298">
        <f t="shared" si="0"/>
        <v>10915</v>
      </c>
      <c r="O12" s="297">
        <v>330</v>
      </c>
      <c r="P12" s="297"/>
      <c r="Q12" s="297"/>
      <c r="R12" s="297">
        <f t="shared" si="1"/>
        <v>22157.5</v>
      </c>
    </row>
    <row r="13" spans="1:34" ht="19.95" customHeight="1" x14ac:dyDescent="0.25">
      <c r="A13" s="300" t="s">
        <v>152</v>
      </c>
      <c r="B13" s="294">
        <v>1092</v>
      </c>
      <c r="C13" s="295" t="s">
        <v>499</v>
      </c>
      <c r="D13" s="295" t="s">
        <v>87</v>
      </c>
      <c r="E13" s="297">
        <v>11455.67</v>
      </c>
      <c r="F13" s="297"/>
      <c r="G13" s="297">
        <v>77.36</v>
      </c>
      <c r="H13" s="297"/>
      <c r="I13" s="297"/>
      <c r="J13" s="297"/>
      <c r="K13" s="297"/>
      <c r="L13" s="297"/>
      <c r="M13" s="297"/>
      <c r="N13" s="298">
        <f t="shared" si="0"/>
        <v>77.36</v>
      </c>
      <c r="O13" s="297">
        <v>336.4</v>
      </c>
      <c r="P13" s="297">
        <v>2500</v>
      </c>
      <c r="Q13" s="297"/>
      <c r="R13" s="297">
        <f>E13+F13+N13+O13+P13+Q13</f>
        <v>14369.43</v>
      </c>
    </row>
    <row r="14" spans="1:34" ht="19.95" customHeight="1" x14ac:dyDescent="0.25">
      <c r="A14" s="294" t="s">
        <v>97</v>
      </c>
      <c r="B14" s="294">
        <v>996</v>
      </c>
      <c r="C14" s="295" t="s">
        <v>499</v>
      </c>
      <c r="D14" s="295"/>
      <c r="E14" s="297"/>
      <c r="F14" s="297"/>
      <c r="G14" s="297"/>
      <c r="H14" s="297"/>
      <c r="I14" s="297"/>
      <c r="J14" s="297"/>
      <c r="K14" s="297"/>
      <c r="L14" s="297"/>
      <c r="M14" s="297"/>
      <c r="N14" s="298">
        <f t="shared" si="0"/>
        <v>0</v>
      </c>
      <c r="O14" s="297"/>
      <c r="P14" s="297"/>
      <c r="Q14" s="297">
        <v>12500</v>
      </c>
      <c r="R14" s="297">
        <f t="shared" si="1"/>
        <v>12500</v>
      </c>
    </row>
    <row r="15" spans="1:34" ht="19.95" customHeight="1" x14ac:dyDescent="0.25">
      <c r="A15" s="294" t="s">
        <v>362</v>
      </c>
      <c r="B15" s="294">
        <v>2190</v>
      </c>
      <c r="C15" s="295" t="s">
        <v>499</v>
      </c>
      <c r="D15" s="295" t="s">
        <v>95</v>
      </c>
      <c r="E15" s="297">
        <v>21734.06</v>
      </c>
      <c r="F15" s="297"/>
      <c r="G15" s="297"/>
      <c r="H15" s="297"/>
      <c r="I15" s="297"/>
      <c r="J15" s="297"/>
      <c r="K15" s="297"/>
      <c r="L15" s="297"/>
      <c r="M15" s="297"/>
      <c r="N15" s="298">
        <f t="shared" si="0"/>
        <v>0</v>
      </c>
      <c r="O15" s="297">
        <v>5487.36</v>
      </c>
      <c r="P15" s="297">
        <v>2500</v>
      </c>
      <c r="Q15" s="297">
        <f>18750+6250</f>
        <v>25000</v>
      </c>
      <c r="R15" s="297">
        <f t="shared" si="1"/>
        <v>54721.42</v>
      </c>
    </row>
    <row r="16" spans="1:34" ht="19.95" customHeight="1" x14ac:dyDescent="0.25">
      <c r="A16" s="294" t="s">
        <v>99</v>
      </c>
      <c r="B16" s="294">
        <v>1011</v>
      </c>
      <c r="C16" s="295" t="s">
        <v>499</v>
      </c>
      <c r="D16" s="295" t="s">
        <v>95</v>
      </c>
      <c r="E16" s="297">
        <v>15550.31</v>
      </c>
      <c r="F16" s="297"/>
      <c r="G16" s="297"/>
      <c r="H16" s="297"/>
      <c r="I16" s="297"/>
      <c r="J16" s="297"/>
      <c r="K16" s="297"/>
      <c r="L16" s="297"/>
      <c r="M16" s="297"/>
      <c r="N16" s="298">
        <f t="shared" si="0"/>
        <v>0</v>
      </c>
      <c r="O16" s="297">
        <v>200</v>
      </c>
      <c r="P16" s="297"/>
      <c r="Q16" s="297"/>
      <c r="R16" s="297">
        <f t="shared" si="1"/>
        <v>15750.31</v>
      </c>
    </row>
    <row r="17" spans="1:18" ht="19.95" customHeight="1" x14ac:dyDescent="0.25">
      <c r="A17" s="294" t="s">
        <v>100</v>
      </c>
      <c r="B17" s="294">
        <v>57</v>
      </c>
      <c r="C17" s="295" t="s">
        <v>499</v>
      </c>
      <c r="D17" s="295"/>
      <c r="E17" s="297"/>
      <c r="F17" s="297"/>
      <c r="G17" s="297"/>
      <c r="H17" s="297"/>
      <c r="I17" s="297"/>
      <c r="J17" s="297"/>
      <c r="K17" s="297"/>
      <c r="L17" s="297"/>
      <c r="M17" s="297"/>
      <c r="N17" s="298">
        <f t="shared" si="0"/>
        <v>0</v>
      </c>
      <c r="O17" s="297"/>
      <c r="P17" s="297"/>
      <c r="Q17" s="297">
        <v>6250</v>
      </c>
      <c r="R17" s="297">
        <f t="shared" si="1"/>
        <v>6250</v>
      </c>
    </row>
    <row r="18" spans="1:18" ht="19.95" customHeight="1" x14ac:dyDescent="0.25">
      <c r="A18" s="294" t="s">
        <v>162</v>
      </c>
      <c r="B18" s="294">
        <v>602</v>
      </c>
      <c r="C18" s="295" t="s">
        <v>499</v>
      </c>
      <c r="D18" s="295"/>
      <c r="E18" s="297"/>
      <c r="F18" s="297"/>
      <c r="G18" s="297"/>
      <c r="H18" s="297"/>
      <c r="I18" s="297"/>
      <c r="J18" s="297"/>
      <c r="K18" s="297"/>
      <c r="L18" s="297">
        <v>33261.050000000003</v>
      </c>
      <c r="M18" s="297"/>
      <c r="N18" s="298">
        <f t="shared" si="0"/>
        <v>33261.050000000003</v>
      </c>
      <c r="O18" s="297"/>
      <c r="P18" s="297"/>
      <c r="Q18" s="297"/>
      <c r="R18" s="297">
        <f t="shared" si="1"/>
        <v>33261.050000000003</v>
      </c>
    </row>
    <row r="19" spans="1:18" ht="19.95" customHeight="1" x14ac:dyDescent="0.25">
      <c r="A19" s="294" t="s">
        <v>460</v>
      </c>
      <c r="B19" s="294">
        <v>1813</v>
      </c>
      <c r="C19" s="295" t="s">
        <v>499</v>
      </c>
      <c r="D19" s="295" t="s">
        <v>352</v>
      </c>
      <c r="E19" s="297">
        <v>20733.75</v>
      </c>
      <c r="F19" s="297"/>
      <c r="G19" s="297"/>
      <c r="H19" s="297"/>
      <c r="I19" s="297"/>
      <c r="J19" s="297"/>
      <c r="K19" s="297"/>
      <c r="L19" s="297"/>
      <c r="M19" s="297"/>
      <c r="N19" s="298">
        <f t="shared" si="0"/>
        <v>0</v>
      </c>
      <c r="O19" s="297"/>
      <c r="P19" s="297">
        <v>20000</v>
      </c>
      <c r="Q19" s="297">
        <v>7500</v>
      </c>
      <c r="R19" s="297">
        <f t="shared" si="1"/>
        <v>48233.75</v>
      </c>
    </row>
    <row r="20" spans="1:18" ht="19.95" customHeight="1" x14ac:dyDescent="0.25">
      <c r="A20" s="294" t="s">
        <v>373</v>
      </c>
      <c r="B20" s="294">
        <v>333</v>
      </c>
      <c r="C20" s="295" t="s">
        <v>499</v>
      </c>
      <c r="D20" s="295" t="s">
        <v>103</v>
      </c>
      <c r="E20" s="297">
        <v>25818.15</v>
      </c>
      <c r="F20" s="297"/>
      <c r="G20" s="297">
        <v>101.99</v>
      </c>
      <c r="H20" s="297"/>
      <c r="I20" s="297"/>
      <c r="J20" s="297"/>
      <c r="K20" s="297"/>
      <c r="L20" s="297"/>
      <c r="M20" s="297"/>
      <c r="N20" s="298">
        <f t="shared" si="0"/>
        <v>101.99</v>
      </c>
      <c r="O20" s="297">
        <v>5309.09</v>
      </c>
      <c r="P20" s="297"/>
      <c r="Q20" s="297"/>
      <c r="R20" s="297">
        <f t="shared" si="1"/>
        <v>31229.230000000003</v>
      </c>
    </row>
    <row r="21" spans="1:18" ht="19.95" customHeight="1" x14ac:dyDescent="0.25">
      <c r="A21" s="294" t="s">
        <v>104</v>
      </c>
      <c r="B21" s="294">
        <v>2426</v>
      </c>
      <c r="C21" s="295" t="s">
        <v>499</v>
      </c>
      <c r="D21" s="301" t="s">
        <v>105</v>
      </c>
      <c r="E21" s="297">
        <v>2382.6999999999998</v>
      </c>
      <c r="F21" s="297"/>
      <c r="G21" s="297"/>
      <c r="H21" s="297"/>
      <c r="I21" s="297"/>
      <c r="J21" s="297"/>
      <c r="K21" s="297"/>
      <c r="L21" s="297"/>
      <c r="M21" s="297">
        <v>441.35</v>
      </c>
      <c r="N21" s="298">
        <f t="shared" si="0"/>
        <v>441.35</v>
      </c>
      <c r="O21" s="297"/>
      <c r="P21" s="297"/>
      <c r="Q21" s="297"/>
      <c r="R21" s="297">
        <f t="shared" si="1"/>
        <v>2824.0499999999997</v>
      </c>
    </row>
    <row r="22" spans="1:18" ht="19.95" customHeight="1" x14ac:dyDescent="0.25">
      <c r="A22" s="294" t="s">
        <v>474</v>
      </c>
      <c r="B22" s="294">
        <v>353</v>
      </c>
      <c r="C22" s="295" t="s">
        <v>499</v>
      </c>
      <c r="D22" s="295" t="s">
        <v>91</v>
      </c>
      <c r="E22" s="297">
        <v>8184.38</v>
      </c>
      <c r="F22" s="297"/>
      <c r="G22" s="297"/>
      <c r="H22" s="297"/>
      <c r="I22" s="297"/>
      <c r="J22" s="297"/>
      <c r="K22" s="297"/>
      <c r="L22" s="297"/>
      <c r="M22" s="297"/>
      <c r="N22" s="298">
        <f t="shared" si="0"/>
        <v>0</v>
      </c>
      <c r="O22" s="297"/>
      <c r="P22" s="297">
        <v>2500</v>
      </c>
      <c r="Q22" s="297">
        <v>12500</v>
      </c>
      <c r="R22" s="297">
        <f t="shared" si="1"/>
        <v>23184.38</v>
      </c>
    </row>
    <row r="23" spans="1:18" ht="19.95" customHeight="1" x14ac:dyDescent="0.25">
      <c r="A23" s="300" t="s">
        <v>170</v>
      </c>
      <c r="B23" s="294">
        <v>356</v>
      </c>
      <c r="C23" s="295" t="s">
        <v>499</v>
      </c>
      <c r="D23" s="301" t="s">
        <v>95</v>
      </c>
      <c r="E23" s="297">
        <v>14913.75</v>
      </c>
      <c r="F23" s="297"/>
      <c r="G23" s="297"/>
      <c r="H23" s="297"/>
      <c r="I23" s="297"/>
      <c r="J23" s="297"/>
      <c r="K23" s="297"/>
      <c r="L23" s="297"/>
      <c r="M23" s="297"/>
      <c r="N23" s="298">
        <f t="shared" si="0"/>
        <v>0</v>
      </c>
      <c r="O23" s="297"/>
      <c r="P23" s="297"/>
      <c r="Q23" s="297"/>
      <c r="R23" s="297">
        <f t="shared" si="1"/>
        <v>14913.75</v>
      </c>
    </row>
    <row r="24" spans="1:18" ht="19.95" customHeight="1" x14ac:dyDescent="0.25">
      <c r="A24" s="294" t="s">
        <v>479</v>
      </c>
      <c r="B24" s="294">
        <v>363</v>
      </c>
      <c r="C24" s="295" t="s">
        <v>499</v>
      </c>
      <c r="D24" s="296"/>
      <c r="E24" s="297"/>
      <c r="F24" s="297"/>
      <c r="G24" s="297"/>
      <c r="H24" s="297"/>
      <c r="I24" s="297"/>
      <c r="J24" s="297"/>
      <c r="K24" s="297"/>
      <c r="L24" s="297"/>
      <c r="M24" s="297"/>
      <c r="N24" s="298">
        <f t="shared" si="0"/>
        <v>0</v>
      </c>
      <c r="O24" s="297"/>
      <c r="P24" s="297"/>
      <c r="Q24" s="297">
        <v>15000</v>
      </c>
      <c r="R24" s="297">
        <f t="shared" si="1"/>
        <v>15000</v>
      </c>
    </row>
    <row r="25" spans="1:18" ht="19.95" customHeight="1" x14ac:dyDescent="0.25">
      <c r="A25" s="294" t="s">
        <v>108</v>
      </c>
      <c r="B25" s="294">
        <v>608</v>
      </c>
      <c r="C25" s="295" t="s">
        <v>499</v>
      </c>
      <c r="D25" s="296"/>
      <c r="E25" s="297"/>
      <c r="F25" s="297"/>
      <c r="G25" s="297"/>
      <c r="H25" s="297"/>
      <c r="I25" s="297"/>
      <c r="J25" s="297"/>
      <c r="K25" s="297"/>
      <c r="L25" s="297">
        <v>38760.870000000003</v>
      </c>
      <c r="M25" s="297"/>
      <c r="N25" s="298">
        <f t="shared" si="0"/>
        <v>38760.870000000003</v>
      </c>
      <c r="O25" s="297">
        <v>971.43</v>
      </c>
      <c r="P25" s="297"/>
      <c r="Q25" s="297"/>
      <c r="R25" s="297">
        <f t="shared" si="1"/>
        <v>39732.300000000003</v>
      </c>
    </row>
    <row r="26" spans="1:18" ht="19.95" customHeight="1" x14ac:dyDescent="0.25">
      <c r="A26" s="294" t="s">
        <v>487</v>
      </c>
      <c r="B26" s="294">
        <v>2496</v>
      </c>
      <c r="C26" s="295" t="s">
        <v>499</v>
      </c>
      <c r="D26" s="295" t="s">
        <v>112</v>
      </c>
      <c r="E26" s="297">
        <v>4001.25</v>
      </c>
      <c r="F26" s="297">
        <v>2073.38</v>
      </c>
      <c r="G26" s="297"/>
      <c r="H26" s="297"/>
      <c r="I26" s="297"/>
      <c r="J26" s="297"/>
      <c r="K26" s="297"/>
      <c r="L26" s="297"/>
      <c r="M26" s="297"/>
      <c r="N26" s="298">
        <f t="shared" si="0"/>
        <v>0</v>
      </c>
      <c r="O26" s="297"/>
      <c r="P26" s="297"/>
      <c r="Q26" s="297">
        <v>7500</v>
      </c>
      <c r="R26" s="297">
        <f t="shared" si="1"/>
        <v>13574.630000000001</v>
      </c>
    </row>
    <row r="27" spans="1:18" ht="19.95" customHeight="1" x14ac:dyDescent="0.25">
      <c r="A27" s="294" t="s">
        <v>463</v>
      </c>
      <c r="B27" s="294">
        <v>684</v>
      </c>
      <c r="C27" s="295" t="s">
        <v>499</v>
      </c>
      <c r="D27" s="295" t="s">
        <v>93</v>
      </c>
      <c r="E27" s="297">
        <v>970</v>
      </c>
      <c r="F27" s="297"/>
      <c r="G27" s="297"/>
      <c r="H27" s="297"/>
      <c r="I27" s="297"/>
      <c r="J27" s="297"/>
      <c r="K27" s="297"/>
      <c r="L27" s="297"/>
      <c r="M27" s="297"/>
      <c r="N27" s="298">
        <f t="shared" si="0"/>
        <v>0</v>
      </c>
      <c r="O27" s="297"/>
      <c r="P27" s="297"/>
      <c r="Q27" s="297"/>
      <c r="R27" s="297">
        <f t="shared" si="1"/>
        <v>970</v>
      </c>
    </row>
    <row r="28" spans="1:18" ht="19.95" customHeight="1" x14ac:dyDescent="0.25">
      <c r="A28" s="294" t="s">
        <v>459</v>
      </c>
      <c r="B28" s="294">
        <v>420</v>
      </c>
      <c r="C28" s="295" t="s">
        <v>499</v>
      </c>
      <c r="D28" s="295" t="s">
        <v>103</v>
      </c>
      <c r="E28" s="297">
        <v>4025.5</v>
      </c>
      <c r="F28" s="297"/>
      <c r="G28" s="297"/>
      <c r="H28" s="297"/>
      <c r="I28" s="297"/>
      <c r="J28" s="297"/>
      <c r="K28" s="297"/>
      <c r="L28" s="297"/>
      <c r="M28" s="297"/>
      <c r="N28" s="298">
        <f t="shared" si="0"/>
        <v>0</v>
      </c>
      <c r="O28" s="297"/>
      <c r="P28" s="297"/>
      <c r="Q28" s="297"/>
      <c r="R28" s="297">
        <f t="shared" si="1"/>
        <v>4025.5</v>
      </c>
    </row>
    <row r="29" spans="1:18" ht="19.95" customHeight="1" x14ac:dyDescent="0.25">
      <c r="A29" s="294" t="s">
        <v>458</v>
      </c>
      <c r="B29" s="294">
        <v>1017</v>
      </c>
      <c r="C29" s="295" t="s">
        <v>499</v>
      </c>
      <c r="D29" s="296"/>
      <c r="E29" s="297"/>
      <c r="F29" s="297"/>
      <c r="G29" s="297"/>
      <c r="H29" s="297"/>
      <c r="I29" s="297"/>
      <c r="J29" s="297"/>
      <c r="K29" s="297"/>
      <c r="L29" s="297"/>
      <c r="M29" s="297"/>
      <c r="N29" s="298">
        <f t="shared" si="0"/>
        <v>0</v>
      </c>
      <c r="O29" s="297"/>
      <c r="P29" s="297">
        <v>25000</v>
      </c>
      <c r="Q29" s="297"/>
      <c r="R29" s="297">
        <f t="shared" si="1"/>
        <v>25000</v>
      </c>
    </row>
    <row r="30" spans="1:18" ht="19.95" customHeight="1" x14ac:dyDescent="0.25">
      <c r="A30" s="294" t="s">
        <v>357</v>
      </c>
      <c r="B30" s="294">
        <v>1521</v>
      </c>
      <c r="C30" s="295" t="s">
        <v>499</v>
      </c>
      <c r="D30" s="295" t="s">
        <v>352</v>
      </c>
      <c r="E30" s="297">
        <v>13822.5</v>
      </c>
      <c r="F30" s="297"/>
      <c r="G30" s="297"/>
      <c r="H30" s="297"/>
      <c r="I30" s="297"/>
      <c r="J30" s="297"/>
      <c r="K30" s="297"/>
      <c r="L30" s="297"/>
      <c r="M30" s="297"/>
      <c r="N30" s="298">
        <f t="shared" si="0"/>
        <v>0</v>
      </c>
      <c r="O30" s="297">
        <v>400</v>
      </c>
      <c r="P30" s="297">
        <v>22500</v>
      </c>
      <c r="Q30" s="297">
        <v>19166.669999999998</v>
      </c>
      <c r="R30" s="297">
        <f t="shared" si="1"/>
        <v>55889.17</v>
      </c>
    </row>
    <row r="31" spans="1:18" ht="19.95" customHeight="1" x14ac:dyDescent="0.25">
      <c r="A31" s="294" t="s">
        <v>177</v>
      </c>
      <c r="B31" s="294">
        <v>1721</v>
      </c>
      <c r="C31" s="295" t="s">
        <v>499</v>
      </c>
      <c r="D31" s="295" t="s">
        <v>93</v>
      </c>
      <c r="E31" s="297"/>
      <c r="F31" s="297"/>
      <c r="G31" s="297"/>
      <c r="H31" s="297"/>
      <c r="I31" s="297"/>
      <c r="J31" s="297"/>
      <c r="K31" s="297"/>
      <c r="L31" s="297"/>
      <c r="M31" s="297"/>
      <c r="N31" s="298">
        <f t="shared" si="0"/>
        <v>0</v>
      </c>
      <c r="O31" s="297"/>
      <c r="P31" s="297">
        <v>5000</v>
      </c>
      <c r="Q31" s="297"/>
      <c r="R31" s="297">
        <f t="shared" si="1"/>
        <v>5000</v>
      </c>
    </row>
    <row r="32" spans="1:18" ht="19.95" customHeight="1" x14ac:dyDescent="0.25">
      <c r="A32" s="294" t="s">
        <v>179</v>
      </c>
      <c r="B32" s="294">
        <v>607</v>
      </c>
      <c r="C32" s="295" t="s">
        <v>499</v>
      </c>
      <c r="D32" s="295"/>
      <c r="E32" s="297"/>
      <c r="F32" s="297"/>
      <c r="G32" s="297"/>
      <c r="H32" s="297"/>
      <c r="I32" s="297"/>
      <c r="J32" s="297"/>
      <c r="K32" s="297"/>
      <c r="L32" s="297">
        <v>32874.35</v>
      </c>
      <c r="M32" s="297"/>
      <c r="N32" s="298">
        <f t="shared" si="0"/>
        <v>32874.35</v>
      </c>
      <c r="O32" s="297">
        <v>519</v>
      </c>
      <c r="P32" s="297">
        <v>2500</v>
      </c>
      <c r="Q32" s="297"/>
      <c r="R32" s="297">
        <f t="shared" si="1"/>
        <v>35893.35</v>
      </c>
    </row>
    <row r="33" spans="1:18" ht="19.95" customHeight="1" x14ac:dyDescent="0.25">
      <c r="A33" s="294" t="s">
        <v>356</v>
      </c>
      <c r="B33" s="294">
        <v>140</v>
      </c>
      <c r="C33" s="295" t="s">
        <v>499</v>
      </c>
      <c r="D33" s="295" t="s">
        <v>112</v>
      </c>
      <c r="E33" s="297">
        <v>1394.38</v>
      </c>
      <c r="F33" s="297">
        <v>218.25</v>
      </c>
      <c r="G33" s="297"/>
      <c r="H33" s="297"/>
      <c r="I33" s="297"/>
      <c r="J33" s="297"/>
      <c r="K33" s="297"/>
      <c r="L33" s="297"/>
      <c r="M33" s="297"/>
      <c r="N33" s="298">
        <f t="shared" si="0"/>
        <v>0</v>
      </c>
      <c r="O33" s="297"/>
      <c r="P33" s="297"/>
      <c r="Q33" s="297"/>
      <c r="R33" s="297">
        <f t="shared" si="1"/>
        <v>1612.63</v>
      </c>
    </row>
    <row r="34" spans="1:18" ht="19.95" customHeight="1" x14ac:dyDescent="0.25">
      <c r="A34" s="294" t="s">
        <v>374</v>
      </c>
      <c r="B34" s="294">
        <v>65</v>
      </c>
      <c r="C34" s="295" t="s">
        <v>499</v>
      </c>
      <c r="D34" s="295"/>
      <c r="E34" s="297"/>
      <c r="F34" s="297"/>
      <c r="G34" s="297"/>
      <c r="H34" s="297"/>
      <c r="I34" s="297"/>
      <c r="J34" s="297"/>
      <c r="K34" s="297"/>
      <c r="L34" s="297"/>
      <c r="M34" s="297"/>
      <c r="N34" s="298">
        <f t="shared" si="0"/>
        <v>0</v>
      </c>
      <c r="O34" s="297"/>
      <c r="P34" s="297"/>
      <c r="Q34" s="297">
        <v>6250</v>
      </c>
      <c r="R34" s="297">
        <f t="shared" si="1"/>
        <v>6250</v>
      </c>
    </row>
    <row r="35" spans="1:18" ht="19.95" customHeight="1" x14ac:dyDescent="0.25">
      <c r="A35" s="294" t="s">
        <v>475</v>
      </c>
      <c r="B35" s="294">
        <v>479</v>
      </c>
      <c r="C35" s="295" t="s">
        <v>499</v>
      </c>
      <c r="D35" s="295"/>
      <c r="E35" s="297"/>
      <c r="F35" s="297"/>
      <c r="G35" s="297"/>
      <c r="H35" s="297"/>
      <c r="I35" s="297"/>
      <c r="J35" s="297"/>
      <c r="K35" s="297"/>
      <c r="L35" s="297"/>
      <c r="M35" s="297"/>
      <c r="N35" s="298">
        <f t="shared" si="0"/>
        <v>0</v>
      </c>
      <c r="O35" s="297"/>
      <c r="P35" s="297"/>
      <c r="Q35" s="297">
        <v>15000</v>
      </c>
      <c r="R35" s="297">
        <f t="shared" si="1"/>
        <v>15000</v>
      </c>
    </row>
    <row r="36" spans="1:18" ht="19.95" customHeight="1" x14ac:dyDescent="0.25">
      <c r="A36" s="294" t="s">
        <v>388</v>
      </c>
      <c r="B36" s="295"/>
      <c r="C36" s="295" t="s">
        <v>499</v>
      </c>
      <c r="D36" s="295"/>
      <c r="E36" s="297"/>
      <c r="F36" s="297"/>
      <c r="G36" s="297"/>
      <c r="H36" s="297"/>
      <c r="I36" s="297"/>
      <c r="J36" s="297"/>
      <c r="K36" s="297"/>
      <c r="L36" s="297"/>
      <c r="M36" s="297"/>
      <c r="N36" s="298">
        <f t="shared" si="0"/>
        <v>0</v>
      </c>
      <c r="O36" s="297"/>
      <c r="P36" s="297"/>
      <c r="Q36" s="297"/>
      <c r="R36" s="297">
        <f t="shared" si="1"/>
        <v>0</v>
      </c>
    </row>
    <row r="37" spans="1:18" ht="19.95" customHeight="1" x14ac:dyDescent="0.25">
      <c r="A37" s="294" t="s">
        <v>185</v>
      </c>
      <c r="B37" s="295"/>
      <c r="C37" s="295" t="s">
        <v>499</v>
      </c>
      <c r="D37" s="295"/>
      <c r="E37" s="297">
        <v>14550</v>
      </c>
      <c r="F37" s="297"/>
      <c r="G37" s="297"/>
      <c r="H37" s="297"/>
      <c r="I37" s="297"/>
      <c r="J37" s="297"/>
      <c r="K37" s="297"/>
      <c r="L37" s="297"/>
      <c r="M37" s="297"/>
      <c r="N37" s="298">
        <f t="shared" si="0"/>
        <v>0</v>
      </c>
      <c r="O37" s="297"/>
      <c r="P37" s="297"/>
      <c r="Q37" s="297"/>
      <c r="R37" s="297">
        <f t="shared" si="1"/>
        <v>14550</v>
      </c>
    </row>
    <row r="38" spans="1:18" ht="19.95" customHeight="1" x14ac:dyDescent="0.25">
      <c r="A38" s="294" t="s">
        <v>367</v>
      </c>
      <c r="B38" s="294">
        <v>53</v>
      </c>
      <c r="C38" s="295" t="s">
        <v>499</v>
      </c>
      <c r="D38" s="295"/>
      <c r="E38" s="297"/>
      <c r="F38" s="297"/>
      <c r="G38" s="297"/>
      <c r="H38" s="297"/>
      <c r="I38" s="297"/>
      <c r="J38" s="297"/>
      <c r="K38" s="297"/>
      <c r="L38" s="297"/>
      <c r="M38" s="297"/>
      <c r="N38" s="298">
        <f t="shared" si="0"/>
        <v>0</v>
      </c>
      <c r="O38" s="297"/>
      <c r="P38" s="297"/>
      <c r="Q38" s="297">
        <v>12500</v>
      </c>
      <c r="R38" s="297">
        <f t="shared" si="1"/>
        <v>12500</v>
      </c>
    </row>
    <row r="39" spans="1:18" ht="19.95" customHeight="1" x14ac:dyDescent="0.25">
      <c r="A39" s="294" t="s">
        <v>355</v>
      </c>
      <c r="B39" s="294">
        <v>1576</v>
      </c>
      <c r="C39" s="295" t="s">
        <v>499</v>
      </c>
      <c r="D39" s="295"/>
      <c r="E39" s="297"/>
      <c r="F39" s="297"/>
      <c r="G39" s="297"/>
      <c r="H39" s="297"/>
      <c r="I39" s="297"/>
      <c r="J39" s="297"/>
      <c r="K39" s="297"/>
      <c r="L39" s="297"/>
      <c r="M39" s="297"/>
      <c r="N39" s="298">
        <f t="shared" si="0"/>
        <v>0</v>
      </c>
      <c r="O39" s="297">
        <v>260</v>
      </c>
      <c r="P39" s="297">
        <v>5000</v>
      </c>
      <c r="Q39" s="297">
        <v>15000</v>
      </c>
      <c r="R39" s="297">
        <f t="shared" si="1"/>
        <v>20260</v>
      </c>
    </row>
    <row r="40" spans="1:18" ht="19.95" customHeight="1" x14ac:dyDescent="0.25">
      <c r="A40" s="294" t="s">
        <v>375</v>
      </c>
      <c r="B40" s="294">
        <v>2283</v>
      </c>
      <c r="C40" s="295" t="s">
        <v>499</v>
      </c>
      <c r="D40" s="295" t="s">
        <v>93</v>
      </c>
      <c r="E40" s="297">
        <v>8536</v>
      </c>
      <c r="F40" s="297"/>
      <c r="G40" s="297"/>
      <c r="H40" s="297"/>
      <c r="I40" s="297"/>
      <c r="J40" s="297">
        <v>1734.02</v>
      </c>
      <c r="K40" s="297"/>
      <c r="L40" s="297"/>
      <c r="M40" s="297"/>
      <c r="N40" s="298">
        <f t="shared" si="0"/>
        <v>1734.02</v>
      </c>
      <c r="O40" s="297"/>
      <c r="P40" s="297"/>
      <c r="Q40" s="297"/>
      <c r="R40" s="297">
        <f t="shared" si="1"/>
        <v>10270.02</v>
      </c>
    </row>
    <row r="41" spans="1:18" ht="19.95" customHeight="1" x14ac:dyDescent="0.25">
      <c r="A41" s="294" t="s">
        <v>376</v>
      </c>
      <c r="B41" s="294">
        <v>2520</v>
      </c>
      <c r="C41" s="295" t="s">
        <v>499</v>
      </c>
      <c r="D41" s="295" t="s">
        <v>112</v>
      </c>
      <c r="E41" s="297">
        <v>8548.1299999999992</v>
      </c>
      <c r="F41" s="297">
        <v>1733.88</v>
      </c>
      <c r="G41" s="297"/>
      <c r="H41" s="297"/>
      <c r="I41" s="297"/>
      <c r="J41" s="297"/>
      <c r="K41" s="297"/>
      <c r="L41" s="297"/>
      <c r="M41" s="297"/>
      <c r="N41" s="298">
        <f t="shared" si="0"/>
        <v>0</v>
      </c>
      <c r="O41" s="297">
        <v>390</v>
      </c>
      <c r="P41" s="297"/>
      <c r="Q41" s="297"/>
      <c r="R41" s="297">
        <f t="shared" si="1"/>
        <v>10672.009999999998</v>
      </c>
    </row>
    <row r="42" spans="1:18" ht="19.95" customHeight="1" x14ac:dyDescent="0.25">
      <c r="A42" s="294" t="s">
        <v>377</v>
      </c>
      <c r="B42" s="294">
        <v>1052</v>
      </c>
      <c r="C42" s="295" t="s">
        <v>499</v>
      </c>
      <c r="D42" s="295" t="s">
        <v>91</v>
      </c>
      <c r="E42" s="297">
        <v>16368.75</v>
      </c>
      <c r="F42" s="297"/>
      <c r="G42" s="297"/>
      <c r="H42" s="297"/>
      <c r="I42" s="297"/>
      <c r="J42" s="297"/>
      <c r="K42" s="297"/>
      <c r="L42" s="297"/>
      <c r="M42" s="297"/>
      <c r="N42" s="298">
        <f t="shared" si="0"/>
        <v>0</v>
      </c>
      <c r="O42" s="297"/>
      <c r="P42" s="297"/>
      <c r="Q42" s="297">
        <v>12500</v>
      </c>
      <c r="R42" s="297">
        <f t="shared" si="1"/>
        <v>28868.75</v>
      </c>
    </row>
    <row r="43" spans="1:18" ht="19.95" customHeight="1" x14ac:dyDescent="0.25">
      <c r="A43" s="294" t="s">
        <v>190</v>
      </c>
      <c r="B43" s="294">
        <v>270</v>
      </c>
      <c r="C43" s="295" t="s">
        <v>499</v>
      </c>
      <c r="D43" s="296"/>
      <c r="E43" s="297"/>
      <c r="F43" s="297"/>
      <c r="G43" s="297"/>
      <c r="H43" s="297"/>
      <c r="I43" s="297"/>
      <c r="J43" s="297"/>
      <c r="K43" s="297"/>
      <c r="L43" s="297"/>
      <c r="M43" s="297"/>
      <c r="N43" s="298">
        <f t="shared" si="0"/>
        <v>0</v>
      </c>
      <c r="O43" s="297"/>
      <c r="P43" s="297"/>
      <c r="Q43" s="297"/>
      <c r="R43" s="297">
        <f t="shared" si="1"/>
        <v>0</v>
      </c>
    </row>
    <row r="44" spans="1:18" ht="19.95" customHeight="1" x14ac:dyDescent="0.25">
      <c r="A44" s="300" t="s">
        <v>192</v>
      </c>
      <c r="B44" s="294">
        <v>1575</v>
      </c>
      <c r="C44" s="295" t="s">
        <v>499</v>
      </c>
      <c r="D44" s="301" t="s">
        <v>91</v>
      </c>
      <c r="E44" s="297">
        <v>14550</v>
      </c>
      <c r="F44" s="297"/>
      <c r="G44" s="297"/>
      <c r="H44" s="297"/>
      <c r="I44" s="297"/>
      <c r="J44" s="297"/>
      <c r="K44" s="297"/>
      <c r="L44" s="297"/>
      <c r="M44" s="297"/>
      <c r="N44" s="298">
        <f>SUM(G44:M44)</f>
        <v>0</v>
      </c>
      <c r="O44" s="297"/>
      <c r="P44" s="297"/>
      <c r="Q44" s="297"/>
      <c r="R44" s="297">
        <f>E44+F44+N44+O44+P44+Q44</f>
        <v>14550</v>
      </c>
    </row>
    <row r="45" spans="1:18" ht="19.95" customHeight="1" x14ac:dyDescent="0.25">
      <c r="A45" s="300" t="s">
        <v>589</v>
      </c>
      <c r="B45" s="294">
        <v>683</v>
      </c>
      <c r="C45" s="295" t="s">
        <v>499</v>
      </c>
      <c r="D45" s="301" t="s">
        <v>93</v>
      </c>
      <c r="E45" s="303">
        <v>1261</v>
      </c>
      <c r="F45" s="297"/>
      <c r="G45" s="297"/>
      <c r="H45" s="297"/>
      <c r="I45" s="297"/>
      <c r="J45" s="297"/>
      <c r="K45" s="297"/>
      <c r="L45" s="297"/>
      <c r="M45" s="297"/>
      <c r="N45" s="298">
        <f>SUM(G45:M45)</f>
        <v>0</v>
      </c>
      <c r="O45" s="297"/>
      <c r="P45" s="297"/>
      <c r="Q45" s="297"/>
      <c r="R45" s="297">
        <f>E45+F45+N45+O45+P45+Q45</f>
        <v>1261</v>
      </c>
    </row>
    <row r="46" spans="1:18" ht="19.95" customHeight="1" x14ac:dyDescent="0.25">
      <c r="A46" s="294" t="s">
        <v>194</v>
      </c>
      <c r="B46" s="294">
        <v>286</v>
      </c>
      <c r="C46" s="295" t="s">
        <v>499</v>
      </c>
      <c r="D46" s="295" t="s">
        <v>91</v>
      </c>
      <c r="E46" s="297">
        <v>15641.25</v>
      </c>
      <c r="F46" s="297"/>
      <c r="G46" s="297"/>
      <c r="H46" s="297"/>
      <c r="I46" s="297"/>
      <c r="J46" s="297"/>
      <c r="K46" s="297"/>
      <c r="L46" s="297"/>
      <c r="M46" s="297"/>
      <c r="N46" s="298">
        <f t="shared" si="0"/>
        <v>0</v>
      </c>
      <c r="O46" s="297"/>
      <c r="P46" s="297"/>
      <c r="Q46" s="297"/>
      <c r="R46" s="297">
        <f t="shared" si="1"/>
        <v>15641.25</v>
      </c>
    </row>
    <row r="47" spans="1:18" ht="19.95" customHeight="1" x14ac:dyDescent="0.25">
      <c r="A47" s="300" t="s">
        <v>193</v>
      </c>
      <c r="B47" s="294">
        <v>156</v>
      </c>
      <c r="C47" s="295" t="s">
        <v>499</v>
      </c>
      <c r="D47" s="295" t="s">
        <v>352</v>
      </c>
      <c r="E47" s="304">
        <v>9457.5</v>
      </c>
      <c r="F47" s="297"/>
      <c r="G47" s="297"/>
      <c r="H47" s="297"/>
      <c r="I47" s="297"/>
      <c r="J47" s="297"/>
      <c r="K47" s="297"/>
      <c r="L47" s="297"/>
      <c r="M47" s="297"/>
      <c r="N47" s="298">
        <f t="shared" si="0"/>
        <v>0</v>
      </c>
      <c r="O47" s="297">
        <v>260</v>
      </c>
      <c r="P47" s="304">
        <v>2500</v>
      </c>
      <c r="Q47" s="297">
        <f>6250*2</f>
        <v>12500</v>
      </c>
      <c r="R47" s="297">
        <f>E47+F47+N47+O47+P47+Q47</f>
        <v>24717.5</v>
      </c>
    </row>
    <row r="48" spans="1:18" ht="19.95" customHeight="1" x14ac:dyDescent="0.25">
      <c r="A48" s="300" t="s">
        <v>590</v>
      </c>
      <c r="B48" s="294"/>
      <c r="C48" s="295"/>
      <c r="D48" s="295"/>
      <c r="E48" s="304"/>
      <c r="F48" s="297"/>
      <c r="G48" s="297"/>
      <c r="H48" s="297"/>
      <c r="I48" s="297"/>
      <c r="J48" s="297"/>
      <c r="K48" s="297"/>
      <c r="L48" s="297"/>
      <c r="M48" s="297"/>
      <c r="N48" s="298"/>
      <c r="O48" s="297"/>
      <c r="P48" s="304"/>
      <c r="Q48" s="297"/>
      <c r="R48" s="297"/>
    </row>
    <row r="49" spans="1:18" ht="19.95" customHeight="1" x14ac:dyDescent="0.25">
      <c r="A49" s="300" t="s">
        <v>476</v>
      </c>
      <c r="B49" s="294">
        <v>81</v>
      </c>
      <c r="C49" s="295" t="s">
        <v>499</v>
      </c>
      <c r="D49" s="301" t="s">
        <v>95</v>
      </c>
      <c r="E49" s="297">
        <v>23643.72</v>
      </c>
      <c r="F49" s="297"/>
      <c r="G49" s="297">
        <v>36.86</v>
      </c>
      <c r="H49" s="297"/>
      <c r="I49" s="297"/>
      <c r="J49" s="297"/>
      <c r="K49" s="297"/>
      <c r="L49" s="297"/>
      <c r="M49" s="297"/>
      <c r="N49" s="298">
        <f t="shared" si="0"/>
        <v>36.86</v>
      </c>
      <c r="O49" s="297">
        <v>9448.2199999999993</v>
      </c>
      <c r="P49" s="297"/>
      <c r="Q49" s="297">
        <v>12500</v>
      </c>
      <c r="R49" s="297">
        <f t="shared" si="1"/>
        <v>45628.800000000003</v>
      </c>
    </row>
    <row r="50" spans="1:18" ht="19.95" customHeight="1" x14ac:dyDescent="0.25">
      <c r="A50" s="294" t="s">
        <v>378</v>
      </c>
      <c r="B50" s="294">
        <v>85</v>
      </c>
      <c r="C50" s="295" t="s">
        <v>499</v>
      </c>
      <c r="D50" s="295" t="s">
        <v>95</v>
      </c>
      <c r="E50" s="297">
        <v>4035.2</v>
      </c>
      <c r="F50" s="297"/>
      <c r="G50" s="297"/>
      <c r="H50" s="297"/>
      <c r="I50" s="297"/>
      <c r="J50" s="297"/>
      <c r="K50" s="297"/>
      <c r="L50" s="297"/>
      <c r="M50" s="297"/>
      <c r="N50" s="298">
        <f t="shared" si="0"/>
        <v>0</v>
      </c>
      <c r="O50" s="297"/>
      <c r="P50" s="297"/>
      <c r="Q50" s="297"/>
      <c r="R50" s="297">
        <f t="shared" si="1"/>
        <v>4035.2</v>
      </c>
    </row>
    <row r="51" spans="1:18" ht="19.95" customHeight="1" x14ac:dyDescent="0.25">
      <c r="A51" s="294" t="s">
        <v>387</v>
      </c>
      <c r="B51" s="294">
        <v>2267</v>
      </c>
      <c r="C51" s="295" t="s">
        <v>499</v>
      </c>
      <c r="D51" s="295" t="s">
        <v>112</v>
      </c>
      <c r="E51" s="297">
        <v>7638.75</v>
      </c>
      <c r="F51" s="297">
        <v>2182.5</v>
      </c>
      <c r="G51" s="297"/>
      <c r="H51" s="297"/>
      <c r="I51" s="297"/>
      <c r="J51" s="297"/>
      <c r="K51" s="297"/>
      <c r="L51" s="297"/>
      <c r="M51" s="297"/>
      <c r="N51" s="298">
        <f t="shared" si="0"/>
        <v>0</v>
      </c>
      <c r="O51" s="297">
        <v>260</v>
      </c>
      <c r="P51" s="297"/>
      <c r="Q51" s="297"/>
      <c r="R51" s="297">
        <f t="shared" si="1"/>
        <v>10081.25</v>
      </c>
    </row>
    <row r="52" spans="1:18" ht="19.95" customHeight="1" x14ac:dyDescent="0.25">
      <c r="A52" s="294" t="s">
        <v>361</v>
      </c>
      <c r="B52" s="294">
        <v>580</v>
      </c>
      <c r="C52" s="295" t="s">
        <v>499</v>
      </c>
      <c r="D52" s="295" t="s">
        <v>91</v>
      </c>
      <c r="E52" s="297">
        <v>2728.13</v>
      </c>
      <c r="F52" s="297"/>
      <c r="G52" s="297"/>
      <c r="H52" s="297"/>
      <c r="I52" s="297"/>
      <c r="J52" s="297"/>
      <c r="K52" s="297"/>
      <c r="L52" s="297"/>
      <c r="M52" s="297"/>
      <c r="N52" s="298">
        <f t="shared" si="0"/>
        <v>0</v>
      </c>
      <c r="O52" s="297"/>
      <c r="P52" s="297">
        <v>17500</v>
      </c>
      <c r="Q52" s="297">
        <v>2500</v>
      </c>
      <c r="R52" s="297">
        <f t="shared" si="1"/>
        <v>22728.13</v>
      </c>
    </row>
    <row r="53" spans="1:18" ht="19.95" customHeight="1" x14ac:dyDescent="0.25">
      <c r="A53" s="294" t="s">
        <v>360</v>
      </c>
      <c r="B53" s="294">
        <v>890</v>
      </c>
      <c r="C53" s="295" t="s">
        <v>499</v>
      </c>
      <c r="D53" s="295" t="s">
        <v>112</v>
      </c>
      <c r="E53" s="297">
        <v>8245</v>
      </c>
      <c r="F53" s="297">
        <v>2973.05</v>
      </c>
      <c r="G53" s="297"/>
      <c r="H53" s="297"/>
      <c r="I53" s="297"/>
      <c r="J53" s="297"/>
      <c r="K53" s="297"/>
      <c r="L53" s="297"/>
      <c r="M53" s="297"/>
      <c r="N53" s="298">
        <f t="shared" si="0"/>
        <v>0</v>
      </c>
      <c r="O53" s="297">
        <v>260</v>
      </c>
      <c r="P53" s="297">
        <v>5000</v>
      </c>
      <c r="Q53" s="297"/>
      <c r="R53" s="297">
        <f t="shared" si="1"/>
        <v>16478.05</v>
      </c>
    </row>
    <row r="54" spans="1:18" ht="19.95" customHeight="1" x14ac:dyDescent="0.25">
      <c r="A54" s="300" t="s">
        <v>214</v>
      </c>
      <c r="B54" s="294">
        <v>422</v>
      </c>
      <c r="C54" s="295" t="s">
        <v>499</v>
      </c>
      <c r="D54" s="295"/>
      <c r="E54" s="297"/>
      <c r="F54" s="297"/>
      <c r="G54" s="297"/>
      <c r="H54" s="297"/>
      <c r="I54" s="297"/>
      <c r="J54" s="297"/>
      <c r="K54" s="297"/>
      <c r="L54" s="297"/>
      <c r="M54" s="297"/>
      <c r="N54" s="298"/>
      <c r="O54" s="297">
        <v>1708.04</v>
      </c>
      <c r="P54" s="297">
        <v>10000</v>
      </c>
      <c r="Q54" s="297"/>
      <c r="R54" s="297">
        <f>E54+F54+N54+O54+P54+Q54</f>
        <v>11708.04</v>
      </c>
    </row>
    <row r="55" spans="1:18" ht="19.95" customHeight="1" x14ac:dyDescent="0.25">
      <c r="A55" s="300" t="s">
        <v>215</v>
      </c>
      <c r="B55" s="294">
        <v>1539</v>
      </c>
      <c r="C55" s="295" t="s">
        <v>499</v>
      </c>
      <c r="D55" s="296" t="s">
        <v>87</v>
      </c>
      <c r="E55" s="297">
        <v>8584.5</v>
      </c>
      <c r="F55" s="297">
        <v>436.5</v>
      </c>
      <c r="G55" s="297"/>
      <c r="H55" s="297"/>
      <c r="I55" s="297"/>
      <c r="J55" s="297"/>
      <c r="K55" s="297"/>
      <c r="L55" s="297"/>
      <c r="M55" s="297"/>
      <c r="N55" s="298">
        <f t="shared" si="0"/>
        <v>0</v>
      </c>
      <c r="O55" s="297">
        <v>520</v>
      </c>
      <c r="P55" s="297"/>
      <c r="Q55" s="297"/>
      <c r="R55" s="297">
        <f t="shared" si="1"/>
        <v>9541</v>
      </c>
    </row>
    <row r="56" spans="1:18" ht="19.95" customHeight="1" x14ac:dyDescent="0.25">
      <c r="A56" s="294" t="s">
        <v>219</v>
      </c>
      <c r="B56" s="294">
        <v>2695</v>
      </c>
      <c r="C56" s="295" t="s">
        <v>499</v>
      </c>
      <c r="D56" s="295"/>
      <c r="E56" s="297"/>
      <c r="F56" s="297"/>
      <c r="G56" s="297"/>
      <c r="H56" s="297"/>
      <c r="I56" s="297"/>
      <c r="J56" s="297"/>
      <c r="K56" s="297"/>
      <c r="L56" s="297"/>
      <c r="M56" s="297"/>
      <c r="N56" s="298">
        <f t="shared" si="0"/>
        <v>0</v>
      </c>
      <c r="O56" s="297"/>
      <c r="P56" s="297"/>
      <c r="Q56" s="297"/>
      <c r="R56" s="297">
        <f t="shared" si="1"/>
        <v>0</v>
      </c>
    </row>
    <row r="57" spans="1:18" ht="19.95" customHeight="1" x14ac:dyDescent="0.25">
      <c r="A57" s="294" t="s">
        <v>379</v>
      </c>
      <c r="B57" s="294">
        <v>561</v>
      </c>
      <c r="C57" s="295" t="s">
        <v>499</v>
      </c>
      <c r="D57" s="295" t="s">
        <v>95</v>
      </c>
      <c r="E57" s="297">
        <v>14186.25</v>
      </c>
      <c r="F57" s="297"/>
      <c r="G57" s="297"/>
      <c r="H57" s="297"/>
      <c r="I57" s="297"/>
      <c r="J57" s="297"/>
      <c r="K57" s="297"/>
      <c r="L57" s="297"/>
      <c r="M57" s="297"/>
      <c r="N57" s="298">
        <f t="shared" si="0"/>
        <v>0</v>
      </c>
      <c r="O57" s="297"/>
      <c r="P57" s="297"/>
      <c r="Q57" s="297"/>
      <c r="R57" s="297">
        <f t="shared" si="1"/>
        <v>14186.25</v>
      </c>
    </row>
    <row r="58" spans="1:18" ht="19.95" customHeight="1" x14ac:dyDescent="0.25">
      <c r="A58" s="294" t="s">
        <v>225</v>
      </c>
      <c r="B58" s="294">
        <v>640</v>
      </c>
      <c r="C58" s="295" t="s">
        <v>499</v>
      </c>
      <c r="D58" s="295"/>
      <c r="E58" s="297"/>
      <c r="F58" s="297"/>
      <c r="G58" s="297"/>
      <c r="H58" s="297"/>
      <c r="I58" s="297"/>
      <c r="J58" s="297"/>
      <c r="K58" s="297"/>
      <c r="L58" s="297"/>
      <c r="M58" s="297"/>
      <c r="N58" s="298">
        <f t="shared" si="0"/>
        <v>0</v>
      </c>
      <c r="O58" s="297">
        <v>1887.68</v>
      </c>
      <c r="P58" s="297">
        <v>2500</v>
      </c>
      <c r="Q58" s="297"/>
      <c r="R58" s="297">
        <f t="shared" si="1"/>
        <v>4387.68</v>
      </c>
    </row>
    <row r="59" spans="1:18" ht="19.95" customHeight="1" x14ac:dyDescent="0.25">
      <c r="A59" s="294" t="s">
        <v>236</v>
      </c>
      <c r="B59" s="294">
        <v>2351</v>
      </c>
      <c r="C59" s="295" t="s">
        <v>499</v>
      </c>
      <c r="D59" s="295"/>
      <c r="E59" s="297"/>
      <c r="F59" s="297"/>
      <c r="G59" s="297"/>
      <c r="H59" s="297"/>
      <c r="I59" s="297"/>
      <c r="J59" s="297"/>
      <c r="K59" s="297"/>
      <c r="L59" s="297">
        <v>30381.040000000001</v>
      </c>
      <c r="M59" s="297"/>
      <c r="N59" s="298">
        <f t="shared" si="0"/>
        <v>30381.040000000001</v>
      </c>
      <c r="O59" s="297">
        <v>822</v>
      </c>
      <c r="P59" s="297"/>
      <c r="Q59" s="297"/>
      <c r="R59" s="297">
        <f t="shared" si="1"/>
        <v>31203.040000000001</v>
      </c>
    </row>
    <row r="60" spans="1:18" ht="19.95" customHeight="1" x14ac:dyDescent="0.25">
      <c r="A60" s="294" t="s">
        <v>380</v>
      </c>
      <c r="B60" s="294">
        <v>1899</v>
      </c>
      <c r="C60" s="295" t="s">
        <v>499</v>
      </c>
      <c r="D60" s="295" t="s">
        <v>93</v>
      </c>
      <c r="E60" s="297">
        <v>8245</v>
      </c>
      <c r="F60" s="297"/>
      <c r="G60" s="297">
        <v>424.44</v>
      </c>
      <c r="H60" s="297"/>
      <c r="I60" s="297"/>
      <c r="J60" s="297"/>
      <c r="K60" s="297"/>
      <c r="L60" s="297"/>
      <c r="M60" s="297"/>
      <c r="N60" s="298">
        <f t="shared" si="0"/>
        <v>424.44</v>
      </c>
      <c r="O60" s="297">
        <v>463.46</v>
      </c>
      <c r="P60" s="297"/>
      <c r="Q60" s="297"/>
      <c r="R60" s="297">
        <f t="shared" si="1"/>
        <v>9132.9</v>
      </c>
    </row>
    <row r="61" spans="1:18" ht="19.95" customHeight="1" x14ac:dyDescent="0.25">
      <c r="A61" s="294" t="s">
        <v>381</v>
      </c>
      <c r="B61" s="294">
        <v>179</v>
      </c>
      <c r="C61" s="295" t="s">
        <v>499</v>
      </c>
      <c r="D61" s="295" t="s">
        <v>91</v>
      </c>
      <c r="E61" s="297">
        <v>33101.25</v>
      </c>
      <c r="F61" s="297"/>
      <c r="G61" s="297"/>
      <c r="H61" s="297"/>
      <c r="I61" s="297"/>
      <c r="J61" s="297"/>
      <c r="K61" s="297"/>
      <c r="L61" s="297"/>
      <c r="M61" s="297"/>
      <c r="N61" s="298">
        <f t="shared" si="0"/>
        <v>0</v>
      </c>
      <c r="O61" s="297"/>
      <c r="P61" s="297"/>
      <c r="Q61" s="297"/>
      <c r="R61" s="297">
        <f t="shared" si="1"/>
        <v>33101.25</v>
      </c>
    </row>
    <row r="62" spans="1:18" ht="19.95" customHeight="1" x14ac:dyDescent="0.25">
      <c r="A62" s="294" t="s">
        <v>382</v>
      </c>
      <c r="B62" s="294">
        <v>180</v>
      </c>
      <c r="C62" s="295" t="s">
        <v>499</v>
      </c>
      <c r="D62" s="295" t="s">
        <v>87</v>
      </c>
      <c r="E62" s="297">
        <v>3783</v>
      </c>
      <c r="F62" s="297"/>
      <c r="G62" s="297">
        <v>77.36</v>
      </c>
      <c r="H62" s="297"/>
      <c r="I62" s="297"/>
      <c r="J62" s="297"/>
      <c r="K62" s="297"/>
      <c r="L62" s="297"/>
      <c r="M62" s="297"/>
      <c r="N62" s="298">
        <f t="shared" si="0"/>
        <v>77.36</v>
      </c>
      <c r="O62" s="297"/>
      <c r="P62" s="297"/>
      <c r="Q62" s="297"/>
      <c r="R62" s="297">
        <f t="shared" si="1"/>
        <v>3860.36</v>
      </c>
    </row>
    <row r="63" spans="1:18" ht="19.95" customHeight="1" x14ac:dyDescent="0.25">
      <c r="A63" s="294" t="s">
        <v>383</v>
      </c>
      <c r="B63" s="294">
        <v>115</v>
      </c>
      <c r="C63" s="295" t="s">
        <v>499</v>
      </c>
      <c r="D63" s="295"/>
      <c r="E63" s="297"/>
      <c r="F63" s="297"/>
      <c r="G63" s="297"/>
      <c r="H63" s="297"/>
      <c r="I63" s="297"/>
      <c r="J63" s="297"/>
      <c r="K63" s="297"/>
      <c r="L63" s="297"/>
      <c r="M63" s="297"/>
      <c r="N63" s="298">
        <f t="shared" si="0"/>
        <v>0</v>
      </c>
      <c r="O63" s="297">
        <v>1901.33</v>
      </c>
      <c r="P63" s="297"/>
      <c r="Q63" s="297">
        <v>6250</v>
      </c>
      <c r="R63" s="297">
        <f t="shared" si="1"/>
        <v>8151.33</v>
      </c>
    </row>
    <row r="64" spans="1:18" ht="19.95" customHeight="1" x14ac:dyDescent="0.25">
      <c r="A64" s="294" t="s">
        <v>497</v>
      </c>
      <c r="B64" s="294">
        <v>540</v>
      </c>
      <c r="C64" s="295" t="s">
        <v>499</v>
      </c>
      <c r="D64" s="295"/>
      <c r="E64" s="297"/>
      <c r="F64" s="297"/>
      <c r="G64" s="297"/>
      <c r="H64" s="297"/>
      <c r="I64" s="297"/>
      <c r="J64" s="297"/>
      <c r="K64" s="297"/>
      <c r="L64" s="297"/>
      <c r="M64" s="297"/>
      <c r="N64" s="298">
        <f t="shared" si="0"/>
        <v>0</v>
      </c>
      <c r="O64" s="297">
        <f>84+213</f>
        <v>297</v>
      </c>
      <c r="P64" s="297"/>
      <c r="Q64" s="297"/>
      <c r="R64" s="297">
        <f t="shared" si="1"/>
        <v>297</v>
      </c>
    </row>
    <row r="65" spans="1:20" ht="19.95" customHeight="1" x14ac:dyDescent="0.25">
      <c r="A65" s="294" t="s">
        <v>384</v>
      </c>
      <c r="B65" s="294">
        <v>1327</v>
      </c>
      <c r="C65" s="295" t="s">
        <v>499</v>
      </c>
      <c r="D65" s="295" t="s">
        <v>87</v>
      </c>
      <c r="E65" s="297">
        <v>2017.59</v>
      </c>
      <c r="F65" s="297"/>
      <c r="G65" s="297"/>
      <c r="H65" s="297"/>
      <c r="I65" s="297"/>
      <c r="J65" s="297"/>
      <c r="K65" s="297"/>
      <c r="L65" s="297"/>
      <c r="M65" s="297"/>
      <c r="N65" s="298">
        <f t="shared" si="0"/>
        <v>0</v>
      </c>
      <c r="O65" s="297"/>
      <c r="P65" s="297"/>
      <c r="Q65" s="297"/>
      <c r="R65" s="297">
        <f t="shared" si="1"/>
        <v>2017.59</v>
      </c>
    </row>
    <row r="66" spans="1:20" ht="19.95" customHeight="1" x14ac:dyDescent="0.25">
      <c r="A66" s="294" t="s">
        <v>385</v>
      </c>
      <c r="B66" s="294">
        <v>2286</v>
      </c>
      <c r="C66" s="295" t="s">
        <v>499</v>
      </c>
      <c r="D66" s="295" t="s">
        <v>93</v>
      </c>
      <c r="E66" s="297">
        <v>8924</v>
      </c>
      <c r="F66" s="297"/>
      <c r="G66" s="297"/>
      <c r="H66" s="297"/>
      <c r="I66" s="297"/>
      <c r="J66" s="297"/>
      <c r="K66" s="297"/>
      <c r="L66" s="297"/>
      <c r="M66" s="297"/>
      <c r="N66" s="298">
        <f t="shared" si="0"/>
        <v>0</v>
      </c>
      <c r="O66" s="297">
        <v>520</v>
      </c>
      <c r="P66" s="297"/>
      <c r="Q66" s="297"/>
      <c r="R66" s="297">
        <f t="shared" si="1"/>
        <v>9444</v>
      </c>
    </row>
    <row r="67" spans="1:20" s="308" customFormat="1" ht="19.95" customHeight="1" x14ac:dyDescent="0.25">
      <c r="A67" s="305" t="s">
        <v>85</v>
      </c>
      <c r="B67" s="293"/>
      <c r="C67" s="306"/>
      <c r="D67" s="306"/>
      <c r="E67" s="307">
        <f>SUM(E3:E66)</f>
        <v>521942.5</v>
      </c>
      <c r="F67" s="307">
        <f t="shared" ref="F67:R67" si="2">SUM(F3:F66)</f>
        <v>10878.560000000001</v>
      </c>
      <c r="G67" s="307">
        <f t="shared" si="2"/>
        <v>8646.31</v>
      </c>
      <c r="H67" s="307">
        <f t="shared" si="2"/>
        <v>0</v>
      </c>
      <c r="I67" s="307">
        <f t="shared" si="2"/>
        <v>0</v>
      </c>
      <c r="J67" s="307">
        <f t="shared" si="2"/>
        <v>1734.02</v>
      </c>
      <c r="K67" s="307">
        <f t="shared" si="2"/>
        <v>0</v>
      </c>
      <c r="L67" s="307">
        <f t="shared" si="2"/>
        <v>146192.31000000003</v>
      </c>
      <c r="M67" s="307">
        <f t="shared" si="2"/>
        <v>2104.9</v>
      </c>
      <c r="N67" s="307">
        <f t="shared" si="2"/>
        <v>158677.54</v>
      </c>
      <c r="O67" s="307">
        <f t="shared" si="2"/>
        <v>64681.37000000001</v>
      </c>
      <c r="P67" s="307">
        <f t="shared" si="2"/>
        <v>150000</v>
      </c>
      <c r="Q67" s="307">
        <f t="shared" si="2"/>
        <v>212916.66999999998</v>
      </c>
      <c r="R67" s="307">
        <f t="shared" si="2"/>
        <v>1119096.6400000004</v>
      </c>
      <c r="T67" s="309"/>
    </row>
    <row r="68" spans="1:20" s="311" customFormat="1" ht="24" customHeight="1" x14ac:dyDescent="0.25">
      <c r="A68" s="310" t="s">
        <v>533</v>
      </c>
      <c r="B68" s="300">
        <v>237</v>
      </c>
      <c r="C68" s="295" t="s">
        <v>500</v>
      </c>
      <c r="D68" s="295"/>
      <c r="E68" s="297"/>
      <c r="F68" s="297"/>
      <c r="G68" s="297"/>
      <c r="H68" s="297"/>
      <c r="I68" s="297"/>
      <c r="J68" s="297"/>
      <c r="K68" s="297"/>
      <c r="L68" s="297"/>
      <c r="M68" s="297"/>
      <c r="N68" s="298">
        <f>SUM(G68:M68)</f>
        <v>0</v>
      </c>
      <c r="O68" s="297"/>
      <c r="P68" s="297"/>
      <c r="Q68" s="297"/>
      <c r="R68" s="297">
        <f>E68+F68+N68+O68+P68+Q68</f>
        <v>0</v>
      </c>
    </row>
    <row r="69" spans="1:20" ht="24" customHeight="1" x14ac:dyDescent="0.25">
      <c r="A69" s="312" t="s">
        <v>363</v>
      </c>
      <c r="B69" s="294">
        <v>235</v>
      </c>
      <c r="C69" s="295" t="s">
        <v>500</v>
      </c>
      <c r="D69" s="301"/>
      <c r="E69" s="313"/>
      <c r="F69" s="313"/>
      <c r="G69" s="313"/>
      <c r="H69" s="313"/>
      <c r="I69" s="313"/>
      <c r="J69" s="313"/>
      <c r="K69" s="313"/>
      <c r="L69" s="313"/>
      <c r="M69" s="313"/>
      <c r="N69" s="298">
        <f t="shared" ref="N69:N135" si="3">SUM(G69:M69)</f>
        <v>0</v>
      </c>
      <c r="O69" s="313"/>
      <c r="P69" s="303"/>
      <c r="Q69" s="313"/>
      <c r="R69" s="297">
        <f>E69+F69+N69+O69+P69+Q69</f>
        <v>0</v>
      </c>
    </row>
    <row r="70" spans="1:20" ht="19.95" customHeight="1" x14ac:dyDescent="0.25">
      <c r="A70" s="300" t="s">
        <v>143</v>
      </c>
      <c r="B70" s="294">
        <v>123</v>
      </c>
      <c r="C70" s="295" t="s">
        <v>500</v>
      </c>
      <c r="D70" s="301"/>
      <c r="E70" s="303"/>
      <c r="F70" s="303"/>
      <c r="G70" s="303"/>
      <c r="H70" s="303"/>
      <c r="I70" s="303"/>
      <c r="J70" s="303"/>
      <c r="K70" s="303"/>
      <c r="L70" s="303"/>
      <c r="M70" s="303"/>
      <c r="N70" s="298">
        <f t="shared" si="3"/>
        <v>0</v>
      </c>
      <c r="O70" s="303"/>
      <c r="P70" s="303"/>
      <c r="Q70" s="303">
        <v>15000</v>
      </c>
      <c r="R70" s="297">
        <f>E70+F70+N70+O70+P70+Q70</f>
        <v>15000</v>
      </c>
    </row>
    <row r="71" spans="1:20" ht="19.95" customHeight="1" x14ac:dyDescent="0.25">
      <c r="A71" s="294" t="s">
        <v>144</v>
      </c>
      <c r="B71" s="294">
        <v>269</v>
      </c>
      <c r="C71" s="295" t="s">
        <v>500</v>
      </c>
      <c r="D71" s="295" t="s">
        <v>112</v>
      </c>
      <c r="E71" s="303">
        <v>14186.25</v>
      </c>
      <c r="F71" s="303">
        <v>441.35</v>
      </c>
      <c r="G71" s="303"/>
      <c r="H71" s="303"/>
      <c r="I71" s="303"/>
      <c r="J71" s="303"/>
      <c r="K71" s="303"/>
      <c r="L71" s="303"/>
      <c r="M71" s="303"/>
      <c r="N71" s="298">
        <f t="shared" si="3"/>
        <v>0</v>
      </c>
      <c r="O71" s="303"/>
      <c r="P71" s="303"/>
      <c r="Q71" s="303"/>
      <c r="R71" s="297">
        <f t="shared" ref="R71:R137" si="4">E71+F71+N71+O71+P71+Q71</f>
        <v>14627.6</v>
      </c>
    </row>
    <row r="72" spans="1:20" ht="19.95" customHeight="1" x14ac:dyDescent="0.25">
      <c r="A72" s="294" t="s">
        <v>145</v>
      </c>
      <c r="B72" s="294">
        <v>122</v>
      </c>
      <c r="C72" s="295" t="s">
        <v>500</v>
      </c>
      <c r="D72" s="295" t="s">
        <v>103</v>
      </c>
      <c r="E72" s="303">
        <v>6305</v>
      </c>
      <c r="F72" s="303"/>
      <c r="G72" s="303"/>
      <c r="H72" s="303"/>
      <c r="I72" s="303"/>
      <c r="J72" s="303"/>
      <c r="K72" s="303"/>
      <c r="L72" s="303"/>
      <c r="M72" s="303"/>
      <c r="N72" s="298">
        <f t="shared" si="3"/>
        <v>0</v>
      </c>
      <c r="O72" s="303"/>
      <c r="P72" s="303"/>
      <c r="Q72" s="303"/>
      <c r="R72" s="297">
        <f t="shared" si="4"/>
        <v>6305</v>
      </c>
    </row>
    <row r="73" spans="1:20" ht="19.95" customHeight="1" x14ac:dyDescent="0.25">
      <c r="A73" s="294" t="s">
        <v>465</v>
      </c>
      <c r="B73" s="294">
        <v>220</v>
      </c>
      <c r="C73" s="295" t="s">
        <v>500</v>
      </c>
      <c r="D73" s="295"/>
      <c r="E73" s="303"/>
      <c r="F73" s="303"/>
      <c r="G73" s="303"/>
      <c r="H73" s="303"/>
      <c r="I73" s="303"/>
      <c r="J73" s="303"/>
      <c r="K73" s="303"/>
      <c r="L73" s="303"/>
      <c r="M73" s="303"/>
      <c r="N73" s="298">
        <f t="shared" si="3"/>
        <v>0</v>
      </c>
      <c r="O73" s="303"/>
      <c r="P73" s="303"/>
      <c r="Q73" s="303"/>
      <c r="R73" s="297">
        <f t="shared" si="4"/>
        <v>0</v>
      </c>
    </row>
    <row r="74" spans="1:20" ht="19.95" customHeight="1" x14ac:dyDescent="0.25">
      <c r="A74" s="294" t="s">
        <v>462</v>
      </c>
      <c r="B74" s="294">
        <v>706</v>
      </c>
      <c r="C74" s="295" t="s">
        <v>500</v>
      </c>
      <c r="D74" s="295"/>
      <c r="E74" s="303"/>
      <c r="F74" s="303"/>
      <c r="G74" s="303"/>
      <c r="H74" s="303"/>
      <c r="I74" s="303"/>
      <c r="J74" s="303"/>
      <c r="K74" s="303"/>
      <c r="L74" s="303">
        <v>21830.91</v>
      </c>
      <c r="M74" s="303"/>
      <c r="N74" s="298">
        <f>SUM(G74:M74)</f>
        <v>21830.91</v>
      </c>
      <c r="O74" s="303"/>
      <c r="P74" s="303"/>
      <c r="Q74" s="303"/>
      <c r="R74" s="297">
        <f>E74+F74+N74+O74+P74+Q74</f>
        <v>21830.91</v>
      </c>
    </row>
    <row r="75" spans="1:20" ht="19.95" customHeight="1" x14ac:dyDescent="0.25">
      <c r="A75" s="312" t="s">
        <v>452</v>
      </c>
      <c r="B75" s="294">
        <v>1873</v>
      </c>
      <c r="C75" s="295" t="s">
        <v>500</v>
      </c>
      <c r="D75" s="301"/>
      <c r="E75" s="313"/>
      <c r="F75" s="313"/>
      <c r="G75" s="313"/>
      <c r="H75" s="313"/>
      <c r="I75" s="313"/>
      <c r="J75" s="313"/>
      <c r="K75" s="313"/>
      <c r="L75" s="313"/>
      <c r="M75" s="313"/>
      <c r="N75" s="298">
        <f t="shared" si="3"/>
        <v>0</v>
      </c>
      <c r="O75" s="313"/>
      <c r="P75" s="303"/>
      <c r="Q75" s="313"/>
      <c r="R75" s="297">
        <f t="shared" si="4"/>
        <v>0</v>
      </c>
    </row>
    <row r="76" spans="1:20" ht="19.95" customHeight="1" x14ac:dyDescent="0.25">
      <c r="A76" s="300" t="s">
        <v>147</v>
      </c>
      <c r="B76" s="294">
        <v>2364</v>
      </c>
      <c r="C76" s="295" t="s">
        <v>500</v>
      </c>
      <c r="D76" s="301" t="s">
        <v>87</v>
      </c>
      <c r="E76" s="303">
        <v>4035.17</v>
      </c>
      <c r="F76" s="303"/>
      <c r="G76" s="303"/>
      <c r="H76" s="303"/>
      <c r="I76" s="303"/>
      <c r="J76" s="303"/>
      <c r="K76" s="303"/>
      <c r="L76" s="303"/>
      <c r="M76" s="303"/>
      <c r="N76" s="298">
        <f t="shared" si="3"/>
        <v>0</v>
      </c>
      <c r="O76" s="303"/>
      <c r="P76" s="303"/>
      <c r="Q76" s="303"/>
      <c r="R76" s="297">
        <f t="shared" si="4"/>
        <v>4035.17</v>
      </c>
    </row>
    <row r="77" spans="1:20" ht="19.95" customHeight="1" x14ac:dyDescent="0.25">
      <c r="A77" s="294" t="s">
        <v>149</v>
      </c>
      <c r="B77" s="294">
        <v>2381</v>
      </c>
      <c r="C77" s="295" t="s">
        <v>500</v>
      </c>
      <c r="D77" s="301" t="s">
        <v>93</v>
      </c>
      <c r="E77" s="303"/>
      <c r="F77" s="303"/>
      <c r="G77" s="303"/>
      <c r="H77" s="303"/>
      <c r="I77" s="303"/>
      <c r="J77" s="303"/>
      <c r="K77" s="303"/>
      <c r="L77" s="303"/>
      <c r="M77" s="303"/>
      <c r="N77" s="298">
        <f t="shared" si="3"/>
        <v>0</v>
      </c>
      <c r="O77" s="303"/>
      <c r="P77" s="303"/>
      <c r="Q77" s="303"/>
      <c r="R77" s="297">
        <f t="shared" si="4"/>
        <v>0</v>
      </c>
    </row>
    <row r="78" spans="1:20" ht="19.95" customHeight="1" x14ac:dyDescent="0.25">
      <c r="A78" s="294" t="s">
        <v>151</v>
      </c>
      <c r="B78" s="294">
        <v>307</v>
      </c>
      <c r="C78" s="295" t="s">
        <v>500</v>
      </c>
      <c r="D78" s="295"/>
      <c r="E78" s="303"/>
      <c r="F78" s="303"/>
      <c r="G78" s="303"/>
      <c r="H78" s="303"/>
      <c r="I78" s="303"/>
      <c r="J78" s="303"/>
      <c r="K78" s="303"/>
      <c r="L78" s="303"/>
      <c r="M78" s="303"/>
      <c r="N78" s="298">
        <f t="shared" si="3"/>
        <v>0</v>
      </c>
      <c r="O78" s="303"/>
      <c r="P78" s="303"/>
      <c r="Q78" s="303"/>
      <c r="R78" s="297">
        <f t="shared" si="4"/>
        <v>0</v>
      </c>
    </row>
    <row r="79" spans="1:20" ht="19.95" customHeight="1" x14ac:dyDescent="0.25">
      <c r="A79" s="300" t="s">
        <v>152</v>
      </c>
      <c r="B79" s="294">
        <v>1092</v>
      </c>
      <c r="C79" s="295" t="s">
        <v>500</v>
      </c>
      <c r="D79" s="301" t="s">
        <v>87</v>
      </c>
      <c r="E79" s="303"/>
      <c r="F79" s="303"/>
      <c r="G79" s="303"/>
      <c r="H79" s="303"/>
      <c r="I79" s="303"/>
      <c r="J79" s="303"/>
      <c r="K79" s="303"/>
      <c r="L79" s="303"/>
      <c r="M79" s="303"/>
      <c r="N79" s="298">
        <f t="shared" si="3"/>
        <v>0</v>
      </c>
      <c r="O79" s="303"/>
      <c r="P79" s="303"/>
      <c r="Q79" s="303"/>
      <c r="R79" s="297">
        <f t="shared" si="4"/>
        <v>0</v>
      </c>
    </row>
    <row r="80" spans="1:20" ht="19.95" customHeight="1" x14ac:dyDescent="0.25">
      <c r="A80" s="294" t="s">
        <v>153</v>
      </c>
      <c r="B80" s="294">
        <v>622</v>
      </c>
      <c r="C80" s="295" t="s">
        <v>500</v>
      </c>
      <c r="D80" s="295" t="s">
        <v>112</v>
      </c>
      <c r="E80" s="303"/>
      <c r="F80" s="303"/>
      <c r="G80" s="303"/>
      <c r="H80" s="303"/>
      <c r="I80" s="303"/>
      <c r="J80" s="303"/>
      <c r="K80" s="303"/>
      <c r="L80" s="303"/>
      <c r="M80" s="303"/>
      <c r="N80" s="298">
        <f t="shared" si="3"/>
        <v>0</v>
      </c>
      <c r="O80" s="303"/>
      <c r="P80" s="303"/>
      <c r="Q80" s="303"/>
      <c r="R80" s="297">
        <f t="shared" si="4"/>
        <v>0</v>
      </c>
    </row>
    <row r="81" spans="1:18" ht="19.95" customHeight="1" x14ac:dyDescent="0.25">
      <c r="A81" s="300" t="s">
        <v>154</v>
      </c>
      <c r="B81" s="294">
        <v>2455</v>
      </c>
      <c r="C81" s="295" t="s">
        <v>500</v>
      </c>
      <c r="D81" s="295" t="s">
        <v>103</v>
      </c>
      <c r="E81" s="303">
        <v>8128.59</v>
      </c>
      <c r="F81" s="303"/>
      <c r="G81" s="303"/>
      <c r="H81" s="303"/>
      <c r="I81" s="303"/>
      <c r="J81" s="303"/>
      <c r="K81" s="303"/>
      <c r="L81" s="303"/>
      <c r="M81" s="303"/>
      <c r="N81" s="298">
        <f t="shared" si="3"/>
        <v>0</v>
      </c>
      <c r="O81" s="303"/>
      <c r="P81" s="303"/>
      <c r="Q81" s="303"/>
      <c r="R81" s="297">
        <f t="shared" si="4"/>
        <v>8128.59</v>
      </c>
    </row>
    <row r="82" spans="1:18" ht="19.95" customHeight="1" x14ac:dyDescent="0.25">
      <c r="A82" s="294" t="s">
        <v>155</v>
      </c>
      <c r="B82" s="294">
        <v>126</v>
      </c>
      <c r="C82" s="295" t="s">
        <v>500</v>
      </c>
      <c r="D82" s="295" t="s">
        <v>352</v>
      </c>
      <c r="E82" s="303">
        <v>12094.69</v>
      </c>
      <c r="F82" s="303"/>
      <c r="G82" s="303"/>
      <c r="H82" s="303"/>
      <c r="I82" s="303"/>
      <c r="J82" s="303"/>
      <c r="K82" s="303"/>
      <c r="L82" s="303"/>
      <c r="M82" s="303"/>
      <c r="N82" s="298">
        <f t="shared" si="3"/>
        <v>0</v>
      </c>
      <c r="O82" s="303"/>
      <c r="P82" s="303"/>
      <c r="Q82" s="303">
        <v>16666.669999999998</v>
      </c>
      <c r="R82" s="297">
        <f t="shared" si="4"/>
        <v>28761.360000000001</v>
      </c>
    </row>
    <row r="83" spans="1:18" ht="19.95" customHeight="1" x14ac:dyDescent="0.25">
      <c r="A83" s="294" t="s">
        <v>156</v>
      </c>
      <c r="B83" s="294">
        <v>2497</v>
      </c>
      <c r="C83" s="295" t="s">
        <v>500</v>
      </c>
      <c r="D83" s="295"/>
      <c r="E83" s="303"/>
      <c r="F83" s="303"/>
      <c r="G83" s="303"/>
      <c r="H83" s="303"/>
      <c r="I83" s="303"/>
      <c r="J83" s="303"/>
      <c r="K83" s="303"/>
      <c r="L83" s="303"/>
      <c r="M83" s="303"/>
      <c r="N83" s="298">
        <f t="shared" si="3"/>
        <v>0</v>
      </c>
      <c r="O83" s="303"/>
      <c r="P83" s="303"/>
      <c r="Q83" s="303"/>
      <c r="R83" s="297">
        <f t="shared" si="4"/>
        <v>0</v>
      </c>
    </row>
    <row r="84" spans="1:18" ht="19.95" customHeight="1" x14ac:dyDescent="0.25">
      <c r="A84" s="294" t="s">
        <v>466</v>
      </c>
      <c r="B84" s="294">
        <v>321</v>
      </c>
      <c r="C84" s="295" t="s">
        <v>500</v>
      </c>
      <c r="D84" s="295"/>
      <c r="E84" s="303"/>
      <c r="F84" s="303"/>
      <c r="G84" s="303"/>
      <c r="H84" s="303"/>
      <c r="I84" s="303"/>
      <c r="J84" s="303"/>
      <c r="K84" s="303"/>
      <c r="L84" s="303"/>
      <c r="M84" s="303"/>
      <c r="N84" s="298">
        <f>SUM(G84:M84)</f>
        <v>0</v>
      </c>
      <c r="O84" s="303"/>
      <c r="P84" s="303"/>
      <c r="Q84" s="303"/>
      <c r="R84" s="297">
        <f t="shared" si="4"/>
        <v>0</v>
      </c>
    </row>
    <row r="85" spans="1:18" ht="19.95" customHeight="1" x14ac:dyDescent="0.25">
      <c r="A85" s="300" t="s">
        <v>157</v>
      </c>
      <c r="B85" s="294">
        <v>127</v>
      </c>
      <c r="C85" s="295" t="s">
        <v>500</v>
      </c>
      <c r="D85" s="301" t="s">
        <v>112</v>
      </c>
      <c r="E85" s="303">
        <v>2000.63</v>
      </c>
      <c r="F85" s="303">
        <v>72.75</v>
      </c>
      <c r="G85" s="303"/>
      <c r="H85" s="303"/>
      <c r="I85" s="303"/>
      <c r="J85" s="303"/>
      <c r="K85" s="303"/>
      <c r="L85" s="303"/>
      <c r="M85" s="303"/>
      <c r="N85" s="298">
        <f t="shared" si="3"/>
        <v>0</v>
      </c>
      <c r="O85" s="303"/>
      <c r="P85" s="303"/>
      <c r="Q85" s="303"/>
      <c r="R85" s="297">
        <f t="shared" si="4"/>
        <v>2073.38</v>
      </c>
    </row>
    <row r="86" spans="1:18" ht="19.95" customHeight="1" x14ac:dyDescent="0.25">
      <c r="A86" s="300" t="s">
        <v>364</v>
      </c>
      <c r="B86" s="294">
        <v>51</v>
      </c>
      <c r="C86" s="295" t="s">
        <v>500</v>
      </c>
      <c r="D86" s="301" t="s">
        <v>95</v>
      </c>
      <c r="E86" s="303">
        <v>4728.75</v>
      </c>
      <c r="F86" s="303"/>
      <c r="G86" s="303"/>
      <c r="H86" s="303"/>
      <c r="I86" s="303"/>
      <c r="J86" s="303"/>
      <c r="K86" s="303"/>
      <c r="L86" s="303"/>
      <c r="M86" s="303"/>
      <c r="N86" s="298">
        <f t="shared" si="3"/>
        <v>0</v>
      </c>
      <c r="O86" s="303"/>
      <c r="P86" s="303"/>
      <c r="Q86" s="303"/>
      <c r="R86" s="297">
        <f t="shared" si="4"/>
        <v>4728.75</v>
      </c>
    </row>
    <row r="87" spans="1:18" ht="19.95" customHeight="1" x14ac:dyDescent="0.25">
      <c r="A87" s="294" t="s">
        <v>467</v>
      </c>
      <c r="B87" s="294">
        <v>128</v>
      </c>
      <c r="C87" s="295" t="s">
        <v>500</v>
      </c>
      <c r="D87" s="301" t="s">
        <v>112</v>
      </c>
      <c r="E87" s="303">
        <v>4971.25</v>
      </c>
      <c r="F87" s="303">
        <v>24.25</v>
      </c>
      <c r="G87" s="303"/>
      <c r="H87" s="303"/>
      <c r="I87" s="303"/>
      <c r="J87" s="303"/>
      <c r="K87" s="303"/>
      <c r="L87" s="303"/>
      <c r="M87" s="303"/>
      <c r="N87" s="298">
        <f t="shared" si="3"/>
        <v>0</v>
      </c>
      <c r="O87" s="303"/>
      <c r="P87" s="303"/>
      <c r="Q87" s="303"/>
      <c r="R87" s="297">
        <f t="shared" si="4"/>
        <v>4995.5</v>
      </c>
    </row>
    <row r="88" spans="1:18" ht="19.95" customHeight="1" x14ac:dyDescent="0.25">
      <c r="A88" s="294" t="s">
        <v>468</v>
      </c>
      <c r="B88" s="294">
        <v>1537</v>
      </c>
      <c r="C88" s="295" t="s">
        <v>500</v>
      </c>
      <c r="D88" s="301" t="s">
        <v>93</v>
      </c>
      <c r="E88" s="303">
        <v>6305</v>
      </c>
      <c r="F88" s="303"/>
      <c r="G88" s="303"/>
      <c r="H88" s="303"/>
      <c r="I88" s="303"/>
      <c r="J88" s="303"/>
      <c r="K88" s="303"/>
      <c r="L88" s="303"/>
      <c r="M88" s="303"/>
      <c r="N88" s="298">
        <f t="shared" si="3"/>
        <v>0</v>
      </c>
      <c r="O88" s="303"/>
      <c r="P88" s="303"/>
      <c r="Q88" s="303"/>
      <c r="R88" s="297">
        <f t="shared" si="4"/>
        <v>6305</v>
      </c>
    </row>
    <row r="89" spans="1:18" ht="19.95" customHeight="1" x14ac:dyDescent="0.25">
      <c r="A89" s="312" t="s">
        <v>365</v>
      </c>
      <c r="B89" s="294">
        <v>234</v>
      </c>
      <c r="C89" s="295" t="s">
        <v>500</v>
      </c>
      <c r="D89" s="301"/>
      <c r="E89" s="313"/>
      <c r="F89" s="313"/>
      <c r="G89" s="313"/>
      <c r="H89" s="313"/>
      <c r="I89" s="313"/>
      <c r="J89" s="313"/>
      <c r="K89" s="313"/>
      <c r="L89" s="313"/>
      <c r="M89" s="313"/>
      <c r="N89" s="298">
        <f t="shared" si="3"/>
        <v>0</v>
      </c>
      <c r="O89" s="313"/>
      <c r="P89" s="303"/>
      <c r="Q89" s="313"/>
      <c r="R89" s="297">
        <f t="shared" si="4"/>
        <v>0</v>
      </c>
    </row>
    <row r="90" spans="1:18" ht="19.95" customHeight="1" x14ac:dyDescent="0.25">
      <c r="A90" s="300" t="s">
        <v>161</v>
      </c>
      <c r="B90" s="294">
        <v>2154</v>
      </c>
      <c r="C90" s="295" t="s">
        <v>500</v>
      </c>
      <c r="D90" s="301" t="s">
        <v>87</v>
      </c>
      <c r="E90" s="303">
        <v>4623.6499999999996</v>
      </c>
      <c r="F90" s="303"/>
      <c r="G90" s="303"/>
      <c r="H90" s="303"/>
      <c r="I90" s="303"/>
      <c r="J90" s="303"/>
      <c r="K90" s="303"/>
      <c r="L90" s="303"/>
      <c r="M90" s="303"/>
      <c r="N90" s="298">
        <f t="shared" si="3"/>
        <v>0</v>
      </c>
      <c r="O90" s="303"/>
      <c r="P90" s="303"/>
      <c r="Q90" s="303"/>
      <c r="R90" s="297">
        <f t="shared" si="4"/>
        <v>4623.6499999999996</v>
      </c>
    </row>
    <row r="91" spans="1:18" ht="19.95" customHeight="1" x14ac:dyDescent="0.25">
      <c r="A91" s="300" t="s">
        <v>534</v>
      </c>
      <c r="B91" s="294">
        <v>579</v>
      </c>
      <c r="C91" s="295" t="s">
        <v>500</v>
      </c>
      <c r="D91" s="301"/>
      <c r="E91" s="303"/>
      <c r="F91" s="303"/>
      <c r="G91" s="303"/>
      <c r="H91" s="303"/>
      <c r="I91" s="303"/>
      <c r="J91" s="303"/>
      <c r="K91" s="303"/>
      <c r="L91" s="303"/>
      <c r="M91" s="303"/>
      <c r="N91" s="298">
        <f t="shared" si="3"/>
        <v>0</v>
      </c>
      <c r="O91" s="303"/>
      <c r="P91" s="303"/>
      <c r="Q91" s="303"/>
      <c r="R91" s="297">
        <f t="shared" si="4"/>
        <v>0</v>
      </c>
    </row>
    <row r="92" spans="1:18" ht="19.95" customHeight="1" x14ac:dyDescent="0.25">
      <c r="A92" s="294" t="s">
        <v>163</v>
      </c>
      <c r="B92" s="294">
        <v>331</v>
      </c>
      <c r="C92" s="295" t="s">
        <v>500</v>
      </c>
      <c r="D92" s="295"/>
      <c r="E92" s="303"/>
      <c r="F92" s="303"/>
      <c r="G92" s="303"/>
      <c r="H92" s="303"/>
      <c r="I92" s="303"/>
      <c r="J92" s="303"/>
      <c r="K92" s="303"/>
      <c r="L92" s="303"/>
      <c r="M92" s="303"/>
      <c r="N92" s="298">
        <f>SUM(G92:M92)</f>
        <v>0</v>
      </c>
      <c r="O92" s="303"/>
      <c r="P92" s="303"/>
      <c r="Q92" s="303"/>
      <c r="R92" s="297">
        <f t="shared" si="4"/>
        <v>0</v>
      </c>
    </row>
    <row r="93" spans="1:18" ht="19.95" customHeight="1" x14ac:dyDescent="0.25">
      <c r="A93" s="294" t="s">
        <v>164</v>
      </c>
      <c r="B93" s="294">
        <v>58</v>
      </c>
      <c r="C93" s="295" t="s">
        <v>500</v>
      </c>
      <c r="D93" s="295" t="s">
        <v>95</v>
      </c>
      <c r="E93" s="303">
        <v>8070.4</v>
      </c>
      <c r="F93" s="303"/>
      <c r="G93" s="303"/>
      <c r="H93" s="303"/>
      <c r="I93" s="303"/>
      <c r="J93" s="303"/>
      <c r="K93" s="303"/>
      <c r="L93" s="303"/>
      <c r="M93" s="303"/>
      <c r="N93" s="298">
        <f t="shared" si="3"/>
        <v>0</v>
      </c>
      <c r="O93" s="303"/>
      <c r="P93" s="303"/>
      <c r="Q93" s="303"/>
      <c r="R93" s="297">
        <f t="shared" si="4"/>
        <v>8070.4</v>
      </c>
    </row>
    <row r="94" spans="1:18" ht="19.95" customHeight="1" x14ac:dyDescent="0.25">
      <c r="A94" s="294" t="s">
        <v>166</v>
      </c>
      <c r="B94" s="294">
        <v>131</v>
      </c>
      <c r="C94" s="295" t="s">
        <v>500</v>
      </c>
      <c r="D94" s="301" t="s">
        <v>87</v>
      </c>
      <c r="E94" s="303">
        <v>16829.5</v>
      </c>
      <c r="F94" s="303">
        <v>242.5</v>
      </c>
      <c r="G94" s="303"/>
      <c r="H94" s="303"/>
      <c r="I94" s="303"/>
      <c r="J94" s="303"/>
      <c r="K94" s="303"/>
      <c r="L94" s="303"/>
      <c r="M94" s="303"/>
      <c r="N94" s="298">
        <f t="shared" si="3"/>
        <v>0</v>
      </c>
      <c r="O94" s="303"/>
      <c r="P94" s="303"/>
      <c r="Q94" s="303"/>
      <c r="R94" s="297">
        <f t="shared" si="4"/>
        <v>17072</v>
      </c>
    </row>
    <row r="95" spans="1:18" ht="19.95" customHeight="1" x14ac:dyDescent="0.25">
      <c r="A95" s="300" t="s">
        <v>167</v>
      </c>
      <c r="B95" s="294">
        <v>59</v>
      </c>
      <c r="C95" s="295" t="s">
        <v>500</v>
      </c>
      <c r="D95" s="301" t="s">
        <v>95</v>
      </c>
      <c r="E95" s="303">
        <v>14123.2</v>
      </c>
      <c r="F95" s="303"/>
      <c r="G95" s="303"/>
      <c r="H95" s="303"/>
      <c r="I95" s="303"/>
      <c r="J95" s="303"/>
      <c r="K95" s="303"/>
      <c r="L95" s="303"/>
      <c r="M95" s="303"/>
      <c r="N95" s="298">
        <f t="shared" si="3"/>
        <v>0</v>
      </c>
      <c r="O95" s="303"/>
      <c r="P95" s="303"/>
      <c r="Q95" s="303"/>
      <c r="R95" s="297">
        <f t="shared" si="4"/>
        <v>14123.2</v>
      </c>
    </row>
    <row r="96" spans="1:18" ht="19.95" customHeight="1" x14ac:dyDescent="0.25">
      <c r="A96" s="294" t="s">
        <v>168</v>
      </c>
      <c r="B96" s="294">
        <v>345</v>
      </c>
      <c r="C96" s="295" t="s">
        <v>500</v>
      </c>
      <c r="D96" s="295" t="s">
        <v>91</v>
      </c>
      <c r="E96" s="303">
        <v>7275</v>
      </c>
      <c r="F96" s="303"/>
      <c r="G96" s="303"/>
      <c r="H96" s="303"/>
      <c r="I96" s="303"/>
      <c r="J96" s="303"/>
      <c r="K96" s="303"/>
      <c r="L96" s="303"/>
      <c r="M96" s="303"/>
      <c r="N96" s="298">
        <f t="shared" si="3"/>
        <v>0</v>
      </c>
      <c r="O96" s="303"/>
      <c r="P96" s="303"/>
      <c r="Q96" s="303"/>
      <c r="R96" s="297">
        <f t="shared" si="4"/>
        <v>7275</v>
      </c>
    </row>
    <row r="97" spans="1:18" ht="19.95" customHeight="1" x14ac:dyDescent="0.25">
      <c r="A97" s="294" t="s">
        <v>169</v>
      </c>
      <c r="B97" s="294">
        <v>355</v>
      </c>
      <c r="C97" s="295" t="s">
        <v>500</v>
      </c>
      <c r="D97" s="301" t="s">
        <v>93</v>
      </c>
      <c r="E97" s="303">
        <v>4171</v>
      </c>
      <c r="F97" s="303"/>
      <c r="G97" s="303"/>
      <c r="H97" s="303"/>
      <c r="I97" s="303"/>
      <c r="J97" s="303"/>
      <c r="K97" s="303"/>
      <c r="L97" s="303"/>
      <c r="M97" s="303"/>
      <c r="N97" s="298">
        <f t="shared" si="3"/>
        <v>0</v>
      </c>
      <c r="O97" s="303"/>
      <c r="P97" s="303"/>
      <c r="Q97" s="303"/>
      <c r="R97" s="297">
        <f t="shared" si="4"/>
        <v>4171</v>
      </c>
    </row>
    <row r="98" spans="1:18" ht="19.95" customHeight="1" x14ac:dyDescent="0.25">
      <c r="A98" s="294" t="s">
        <v>171</v>
      </c>
      <c r="B98" s="294">
        <v>357</v>
      </c>
      <c r="C98" s="295" t="s">
        <v>500</v>
      </c>
      <c r="D98" s="295"/>
      <c r="E98" s="303"/>
      <c r="F98" s="303"/>
      <c r="G98" s="303"/>
      <c r="H98" s="303"/>
      <c r="I98" s="303"/>
      <c r="J98" s="303"/>
      <c r="K98" s="303"/>
      <c r="L98" s="303"/>
      <c r="M98" s="303"/>
      <c r="N98" s="298">
        <f t="shared" si="3"/>
        <v>0</v>
      </c>
      <c r="O98" s="303"/>
      <c r="P98" s="303"/>
      <c r="Q98" s="303"/>
      <c r="R98" s="297">
        <f t="shared" si="4"/>
        <v>0</v>
      </c>
    </row>
    <row r="99" spans="1:18" ht="19.95" customHeight="1" x14ac:dyDescent="0.25">
      <c r="A99" s="294" t="s">
        <v>535</v>
      </c>
      <c r="B99" s="294">
        <v>134</v>
      </c>
      <c r="C99" s="295" t="s">
        <v>500</v>
      </c>
      <c r="D99" s="295"/>
      <c r="E99" s="303"/>
      <c r="F99" s="303"/>
      <c r="G99" s="303">
        <v>1625.03</v>
      </c>
      <c r="H99" s="303"/>
      <c r="I99" s="303"/>
      <c r="J99" s="303"/>
      <c r="K99" s="303"/>
      <c r="L99" s="303"/>
      <c r="M99" s="303"/>
      <c r="N99" s="298">
        <f t="shared" si="3"/>
        <v>1625.03</v>
      </c>
      <c r="O99" s="303"/>
      <c r="P99" s="303"/>
      <c r="Q99" s="303"/>
      <c r="R99" s="297">
        <f t="shared" si="4"/>
        <v>1625.03</v>
      </c>
    </row>
    <row r="100" spans="1:18" ht="19.95" customHeight="1" x14ac:dyDescent="0.25">
      <c r="A100" s="294" t="s">
        <v>172</v>
      </c>
      <c r="B100" s="294">
        <v>60</v>
      </c>
      <c r="C100" s="295" t="s">
        <v>500</v>
      </c>
      <c r="D100" s="301" t="s">
        <v>95</v>
      </c>
      <c r="E100" s="303">
        <v>4345.6000000000004</v>
      </c>
      <c r="F100" s="303"/>
      <c r="G100" s="303"/>
      <c r="H100" s="303"/>
      <c r="I100" s="303"/>
      <c r="J100" s="303"/>
      <c r="K100" s="303"/>
      <c r="L100" s="303"/>
      <c r="M100" s="303"/>
      <c r="N100" s="298">
        <f t="shared" si="3"/>
        <v>0</v>
      </c>
      <c r="O100" s="303"/>
      <c r="P100" s="303"/>
      <c r="Q100" s="303"/>
      <c r="R100" s="297">
        <f t="shared" si="4"/>
        <v>4345.6000000000004</v>
      </c>
    </row>
    <row r="101" spans="1:18" ht="19.95" customHeight="1" x14ac:dyDescent="0.25">
      <c r="A101" s="294" t="s">
        <v>173</v>
      </c>
      <c r="B101" s="294">
        <v>137</v>
      </c>
      <c r="C101" s="295" t="s">
        <v>500</v>
      </c>
      <c r="D101" s="301" t="s">
        <v>87</v>
      </c>
      <c r="E101" s="303">
        <v>5335</v>
      </c>
      <c r="F101" s="303">
        <v>485</v>
      </c>
      <c r="G101" s="303"/>
      <c r="H101" s="303"/>
      <c r="I101" s="303"/>
      <c r="J101" s="303"/>
      <c r="K101" s="303"/>
      <c r="L101" s="303"/>
      <c r="M101" s="303"/>
      <c r="N101" s="298">
        <f t="shared" si="3"/>
        <v>0</v>
      </c>
      <c r="O101" s="303"/>
      <c r="P101" s="303"/>
      <c r="Q101" s="303"/>
      <c r="R101" s="297">
        <f t="shared" si="4"/>
        <v>5820</v>
      </c>
    </row>
    <row r="102" spans="1:18" ht="19.95" customHeight="1" x14ac:dyDescent="0.25">
      <c r="A102" s="312" t="s">
        <v>464</v>
      </c>
      <c r="B102" s="294">
        <v>365</v>
      </c>
      <c r="C102" s="295" t="s">
        <v>500</v>
      </c>
      <c r="D102" s="301"/>
      <c r="E102" s="313"/>
      <c r="F102" s="313"/>
      <c r="G102" s="313"/>
      <c r="H102" s="313"/>
      <c r="I102" s="313"/>
      <c r="J102" s="313"/>
      <c r="K102" s="313"/>
      <c r="L102" s="313"/>
      <c r="M102" s="313"/>
      <c r="N102" s="298">
        <f t="shared" si="3"/>
        <v>0</v>
      </c>
      <c r="O102" s="313"/>
      <c r="P102" s="303"/>
      <c r="Q102" s="313"/>
      <c r="R102" s="297">
        <f t="shared" si="4"/>
        <v>0</v>
      </c>
    </row>
    <row r="103" spans="1:18" ht="19.95" customHeight="1" x14ac:dyDescent="0.25">
      <c r="A103" s="314" t="s">
        <v>175</v>
      </c>
      <c r="B103" s="294">
        <v>366</v>
      </c>
      <c r="C103" s="295" t="s">
        <v>500</v>
      </c>
      <c r="D103" s="301"/>
      <c r="E103" s="313"/>
      <c r="F103" s="313"/>
      <c r="G103" s="313"/>
      <c r="H103" s="313"/>
      <c r="I103" s="313"/>
      <c r="J103" s="313"/>
      <c r="K103" s="313"/>
      <c r="L103" s="313"/>
      <c r="M103" s="313">
        <v>441.35</v>
      </c>
      <c r="N103" s="298">
        <f t="shared" si="3"/>
        <v>441.35</v>
      </c>
      <c r="O103" s="313"/>
      <c r="P103" s="303"/>
      <c r="Q103" s="313"/>
      <c r="R103" s="297">
        <f t="shared" si="4"/>
        <v>441.35</v>
      </c>
    </row>
    <row r="104" spans="1:18" ht="19.95" customHeight="1" x14ac:dyDescent="0.25">
      <c r="A104" s="300" t="s">
        <v>366</v>
      </c>
      <c r="B104" s="294">
        <v>1569</v>
      </c>
      <c r="C104" s="295" t="s">
        <v>500</v>
      </c>
      <c r="D104" s="295" t="s">
        <v>91</v>
      </c>
      <c r="E104" s="303">
        <v>7275</v>
      </c>
      <c r="F104" s="303"/>
      <c r="G104" s="303"/>
      <c r="H104" s="303"/>
      <c r="I104" s="303"/>
      <c r="J104" s="303"/>
      <c r="K104" s="303"/>
      <c r="L104" s="303"/>
      <c r="M104" s="303"/>
      <c r="N104" s="298">
        <f t="shared" si="3"/>
        <v>0</v>
      </c>
      <c r="O104" s="303"/>
      <c r="P104" s="303"/>
      <c r="Q104" s="303"/>
      <c r="R104" s="297">
        <f t="shared" si="4"/>
        <v>7275</v>
      </c>
    </row>
    <row r="105" spans="1:18" ht="19.95" customHeight="1" x14ac:dyDescent="0.25">
      <c r="A105" s="300" t="s">
        <v>178</v>
      </c>
      <c r="B105" s="294">
        <v>427</v>
      </c>
      <c r="C105" s="295" t="s">
        <v>500</v>
      </c>
      <c r="D105" s="295"/>
      <c r="E105" s="303"/>
      <c r="F105" s="303"/>
      <c r="G105" s="303"/>
      <c r="H105" s="303"/>
      <c r="I105" s="303"/>
      <c r="J105" s="303"/>
      <c r="K105" s="303"/>
      <c r="L105" s="303"/>
      <c r="M105" s="303"/>
      <c r="N105" s="298">
        <f t="shared" si="3"/>
        <v>0</v>
      </c>
      <c r="O105" s="303"/>
      <c r="P105" s="303"/>
      <c r="Q105" s="303"/>
      <c r="R105" s="297">
        <f t="shared" si="4"/>
        <v>0</v>
      </c>
    </row>
    <row r="106" spans="1:18" ht="19.95" customHeight="1" x14ac:dyDescent="0.25">
      <c r="A106" s="294" t="s">
        <v>180</v>
      </c>
      <c r="B106" s="294">
        <v>433</v>
      </c>
      <c r="C106" s="295" t="s">
        <v>500</v>
      </c>
      <c r="D106" s="295"/>
      <c r="E106" s="303"/>
      <c r="F106" s="303"/>
      <c r="G106" s="303"/>
      <c r="H106" s="303"/>
      <c r="I106" s="303"/>
      <c r="J106" s="303"/>
      <c r="K106" s="303"/>
      <c r="L106" s="303"/>
      <c r="M106" s="303"/>
      <c r="N106" s="298">
        <f t="shared" si="3"/>
        <v>0</v>
      </c>
      <c r="O106" s="303"/>
      <c r="P106" s="303"/>
      <c r="Q106" s="303"/>
      <c r="R106" s="297">
        <f t="shared" si="4"/>
        <v>0</v>
      </c>
    </row>
    <row r="107" spans="1:18" ht="19.95" customHeight="1" x14ac:dyDescent="0.25">
      <c r="A107" s="294" t="s">
        <v>181</v>
      </c>
      <c r="B107" s="294">
        <v>110</v>
      </c>
      <c r="C107" s="295" t="s">
        <v>500</v>
      </c>
      <c r="D107" s="295" t="s">
        <v>95</v>
      </c>
      <c r="E107" s="303">
        <v>6911.25</v>
      </c>
      <c r="F107" s="303"/>
      <c r="G107" s="303"/>
      <c r="H107" s="303"/>
      <c r="I107" s="303"/>
      <c r="J107" s="303"/>
      <c r="K107" s="303"/>
      <c r="L107" s="303"/>
      <c r="M107" s="303"/>
      <c r="N107" s="298">
        <f t="shared" si="3"/>
        <v>0</v>
      </c>
      <c r="O107" s="303"/>
      <c r="P107" s="303"/>
      <c r="Q107" s="303"/>
      <c r="R107" s="297">
        <f t="shared" si="4"/>
        <v>6911.25</v>
      </c>
    </row>
    <row r="108" spans="1:18" ht="19.95" customHeight="1" x14ac:dyDescent="0.25">
      <c r="A108" s="300" t="s">
        <v>182</v>
      </c>
      <c r="B108" s="294">
        <v>2189</v>
      </c>
      <c r="C108" s="295" t="s">
        <v>500</v>
      </c>
      <c r="D108" s="301" t="s">
        <v>93</v>
      </c>
      <c r="E108" s="303">
        <v>3783</v>
      </c>
      <c r="F108" s="303"/>
      <c r="G108" s="303"/>
      <c r="H108" s="303"/>
      <c r="I108" s="303"/>
      <c r="J108" s="303"/>
      <c r="K108" s="303"/>
      <c r="L108" s="303"/>
      <c r="M108" s="303"/>
      <c r="N108" s="298">
        <f t="shared" si="3"/>
        <v>0</v>
      </c>
      <c r="O108" s="313"/>
      <c r="P108" s="303"/>
      <c r="Q108" s="303"/>
      <c r="R108" s="297">
        <f t="shared" si="4"/>
        <v>3783</v>
      </c>
    </row>
    <row r="109" spans="1:18" ht="19.95" customHeight="1" x14ac:dyDescent="0.25">
      <c r="A109" s="294" t="s">
        <v>457</v>
      </c>
      <c r="B109" s="294">
        <v>457</v>
      </c>
      <c r="C109" s="295" t="s">
        <v>500</v>
      </c>
      <c r="D109" s="295"/>
      <c r="E109" s="303"/>
      <c r="F109" s="303"/>
      <c r="G109" s="303"/>
      <c r="H109" s="303"/>
      <c r="I109" s="303"/>
      <c r="J109" s="303"/>
      <c r="K109" s="303"/>
      <c r="L109" s="303"/>
      <c r="M109" s="303"/>
      <c r="N109" s="298">
        <f t="shared" si="3"/>
        <v>0</v>
      </c>
      <c r="O109" s="303"/>
      <c r="P109" s="303"/>
      <c r="Q109" s="303"/>
      <c r="R109" s="297">
        <f t="shared" si="4"/>
        <v>0</v>
      </c>
    </row>
    <row r="110" spans="1:18" ht="19.95" customHeight="1" x14ac:dyDescent="0.25">
      <c r="A110" s="294" t="s">
        <v>183</v>
      </c>
      <c r="B110" s="294">
        <v>143</v>
      </c>
      <c r="C110" s="295" t="s">
        <v>500</v>
      </c>
      <c r="D110" s="295" t="s">
        <v>352</v>
      </c>
      <c r="E110" s="303">
        <v>7093.13</v>
      </c>
      <c r="F110" s="303"/>
      <c r="G110" s="303"/>
      <c r="H110" s="303"/>
      <c r="I110" s="303"/>
      <c r="J110" s="303"/>
      <c r="K110" s="303"/>
      <c r="L110" s="303"/>
      <c r="M110" s="303"/>
      <c r="N110" s="298">
        <f t="shared" si="3"/>
        <v>0</v>
      </c>
      <c r="O110" s="303"/>
      <c r="P110" s="303"/>
      <c r="Q110" s="303"/>
      <c r="R110" s="297">
        <f t="shared" si="4"/>
        <v>7093.13</v>
      </c>
    </row>
    <row r="111" spans="1:18" ht="19.95" customHeight="1" x14ac:dyDescent="0.25">
      <c r="A111" s="294" t="s">
        <v>185</v>
      </c>
      <c r="B111" s="294">
        <v>1025</v>
      </c>
      <c r="C111" s="295" t="s">
        <v>500</v>
      </c>
      <c r="D111" s="295" t="s">
        <v>91</v>
      </c>
      <c r="E111" s="303"/>
      <c r="F111" s="303"/>
      <c r="G111" s="303"/>
      <c r="H111" s="303"/>
      <c r="I111" s="303"/>
      <c r="J111" s="303"/>
      <c r="K111" s="303"/>
      <c r="L111" s="303"/>
      <c r="M111" s="303"/>
      <c r="N111" s="298">
        <f t="shared" si="3"/>
        <v>0</v>
      </c>
      <c r="O111" s="303"/>
      <c r="P111" s="303"/>
      <c r="Q111" s="303"/>
      <c r="R111" s="297">
        <f t="shared" si="4"/>
        <v>0</v>
      </c>
    </row>
    <row r="112" spans="1:18" ht="19.95" customHeight="1" x14ac:dyDescent="0.25">
      <c r="A112" s="294" t="s">
        <v>536</v>
      </c>
      <c r="B112" s="294">
        <v>492</v>
      </c>
      <c r="C112" s="295" t="s">
        <v>500</v>
      </c>
      <c r="D112" s="295"/>
      <c r="E112" s="303"/>
      <c r="F112" s="303"/>
      <c r="G112" s="303"/>
      <c r="H112" s="303"/>
      <c r="I112" s="303"/>
      <c r="J112" s="303"/>
      <c r="K112" s="303"/>
      <c r="L112" s="303"/>
      <c r="M112" s="303"/>
      <c r="N112" s="298">
        <f t="shared" si="3"/>
        <v>0</v>
      </c>
      <c r="O112" s="303"/>
      <c r="P112" s="303"/>
      <c r="Q112" s="303"/>
      <c r="R112" s="297">
        <f t="shared" si="4"/>
        <v>0</v>
      </c>
    </row>
    <row r="113" spans="1:18" ht="19.95" customHeight="1" x14ac:dyDescent="0.25">
      <c r="A113" s="300" t="s">
        <v>186</v>
      </c>
      <c r="B113" s="294">
        <v>1715</v>
      </c>
      <c r="C113" s="295" t="s">
        <v>500</v>
      </c>
      <c r="D113" s="301" t="s">
        <v>112</v>
      </c>
      <c r="E113" s="303">
        <v>8487.5</v>
      </c>
      <c r="F113" s="303">
        <v>3467.75</v>
      </c>
      <c r="G113" s="303"/>
      <c r="H113" s="303"/>
      <c r="I113" s="303"/>
      <c r="J113" s="303"/>
      <c r="K113" s="303"/>
      <c r="L113" s="303"/>
      <c r="M113" s="303"/>
      <c r="N113" s="298">
        <f t="shared" si="3"/>
        <v>0</v>
      </c>
      <c r="O113" s="303"/>
      <c r="P113" s="303"/>
      <c r="Q113" s="303"/>
      <c r="R113" s="297">
        <f t="shared" si="4"/>
        <v>11955.25</v>
      </c>
    </row>
    <row r="114" spans="1:18" ht="19.95" customHeight="1" x14ac:dyDescent="0.25">
      <c r="A114" s="294" t="s">
        <v>187</v>
      </c>
      <c r="B114" s="294">
        <v>67</v>
      </c>
      <c r="C114" s="295" t="s">
        <v>500</v>
      </c>
      <c r="D114" s="301" t="s">
        <v>95</v>
      </c>
      <c r="E114" s="303">
        <v>16140.8</v>
      </c>
      <c r="F114" s="303"/>
      <c r="G114" s="303"/>
      <c r="H114" s="303"/>
      <c r="I114" s="303"/>
      <c r="J114" s="303"/>
      <c r="K114" s="303"/>
      <c r="L114" s="303"/>
      <c r="M114" s="303"/>
      <c r="N114" s="298">
        <f t="shared" si="3"/>
        <v>0</v>
      </c>
      <c r="O114" s="303"/>
      <c r="P114" s="303"/>
      <c r="Q114" s="303"/>
      <c r="R114" s="297">
        <f t="shared" si="4"/>
        <v>16140.8</v>
      </c>
    </row>
    <row r="115" spans="1:18" ht="19.95" customHeight="1" x14ac:dyDescent="0.25">
      <c r="A115" s="300" t="s">
        <v>188</v>
      </c>
      <c r="B115" s="294">
        <v>264</v>
      </c>
      <c r="C115" s="295" t="s">
        <v>500</v>
      </c>
      <c r="D115" s="301" t="s">
        <v>105</v>
      </c>
      <c r="E115" s="303">
        <v>3265.4</v>
      </c>
      <c r="F115" s="303"/>
      <c r="G115" s="303"/>
      <c r="H115" s="303"/>
      <c r="I115" s="303"/>
      <c r="J115" s="303"/>
      <c r="K115" s="303"/>
      <c r="L115" s="303"/>
      <c r="M115" s="303"/>
      <c r="N115" s="298">
        <f t="shared" si="3"/>
        <v>0</v>
      </c>
      <c r="O115" s="303"/>
      <c r="P115" s="303"/>
      <c r="Q115" s="303"/>
      <c r="R115" s="297">
        <f t="shared" si="4"/>
        <v>3265.4</v>
      </c>
    </row>
    <row r="116" spans="1:18" ht="19.95" customHeight="1" x14ac:dyDescent="0.25">
      <c r="A116" s="294" t="s">
        <v>591</v>
      </c>
      <c r="B116" s="294">
        <v>266</v>
      </c>
      <c r="C116" s="295" t="s">
        <v>500</v>
      </c>
      <c r="D116" s="301" t="s">
        <v>93</v>
      </c>
      <c r="E116" s="303">
        <v>13580</v>
      </c>
      <c r="F116" s="303"/>
      <c r="G116" s="303"/>
      <c r="H116" s="303"/>
      <c r="I116" s="303"/>
      <c r="J116" s="303"/>
      <c r="K116" s="303"/>
      <c r="L116" s="303"/>
      <c r="M116" s="303"/>
      <c r="N116" s="298">
        <f t="shared" si="3"/>
        <v>0</v>
      </c>
      <c r="O116" s="303"/>
      <c r="P116" s="303"/>
      <c r="Q116" s="303"/>
      <c r="R116" s="297">
        <f t="shared" si="4"/>
        <v>13580</v>
      </c>
    </row>
    <row r="117" spans="1:18" ht="19.95" customHeight="1" x14ac:dyDescent="0.25">
      <c r="A117" s="294" t="s">
        <v>190</v>
      </c>
      <c r="B117" s="294">
        <v>270</v>
      </c>
      <c r="C117" s="295" t="s">
        <v>500</v>
      </c>
      <c r="D117" s="301"/>
      <c r="E117" s="303"/>
      <c r="F117" s="303"/>
      <c r="G117" s="303"/>
      <c r="H117" s="303"/>
      <c r="I117" s="303"/>
      <c r="J117" s="303"/>
      <c r="K117" s="303"/>
      <c r="L117" s="303">
        <v>90</v>
      </c>
      <c r="M117" s="303"/>
      <c r="N117" s="298">
        <f t="shared" si="3"/>
        <v>90</v>
      </c>
      <c r="O117" s="303"/>
      <c r="P117" s="303"/>
      <c r="Q117" s="303"/>
      <c r="R117" s="297">
        <f t="shared" si="4"/>
        <v>90</v>
      </c>
    </row>
    <row r="118" spans="1:18" ht="19.95" customHeight="1" x14ac:dyDescent="0.25">
      <c r="A118" s="300" t="s">
        <v>191</v>
      </c>
      <c r="B118" s="294">
        <v>148</v>
      </c>
      <c r="C118" s="295" t="s">
        <v>500</v>
      </c>
      <c r="D118" s="301"/>
      <c r="E118" s="303"/>
      <c r="F118" s="303"/>
      <c r="G118" s="303"/>
      <c r="H118" s="303"/>
      <c r="I118" s="303"/>
      <c r="J118" s="303"/>
      <c r="K118" s="303"/>
      <c r="L118" s="303"/>
      <c r="M118" s="303">
        <v>441.35</v>
      </c>
      <c r="N118" s="298">
        <f t="shared" si="3"/>
        <v>441.35</v>
      </c>
      <c r="O118" s="303"/>
      <c r="P118" s="303"/>
      <c r="Q118" s="303"/>
      <c r="R118" s="297">
        <f t="shared" si="4"/>
        <v>441.35</v>
      </c>
    </row>
    <row r="119" spans="1:18" ht="19.95" customHeight="1" x14ac:dyDescent="0.25">
      <c r="A119" s="294" t="s">
        <v>195</v>
      </c>
      <c r="B119" s="294">
        <v>151</v>
      </c>
      <c r="C119" s="295" t="s">
        <v>500</v>
      </c>
      <c r="D119" s="295" t="s">
        <v>352</v>
      </c>
      <c r="E119" s="303">
        <v>19824.38</v>
      </c>
      <c r="F119" s="303"/>
      <c r="G119" s="303"/>
      <c r="H119" s="303"/>
      <c r="I119" s="303"/>
      <c r="J119" s="303"/>
      <c r="K119" s="303"/>
      <c r="L119" s="303"/>
      <c r="M119" s="303"/>
      <c r="N119" s="298">
        <f t="shared" si="3"/>
        <v>0</v>
      </c>
      <c r="O119" s="303"/>
      <c r="P119" s="303"/>
      <c r="Q119" s="303">
        <v>4166.67</v>
      </c>
      <c r="R119" s="297">
        <f t="shared" si="4"/>
        <v>23991.050000000003</v>
      </c>
    </row>
    <row r="120" spans="1:18" ht="19.95" customHeight="1" x14ac:dyDescent="0.25">
      <c r="A120" s="294" t="s">
        <v>196</v>
      </c>
      <c r="B120" s="294">
        <v>157</v>
      </c>
      <c r="C120" s="295" t="s">
        <v>500</v>
      </c>
      <c r="D120" s="301" t="s">
        <v>87</v>
      </c>
      <c r="E120" s="303">
        <v>2315.06</v>
      </c>
      <c r="F120" s="303"/>
      <c r="G120" s="303"/>
      <c r="H120" s="303"/>
      <c r="I120" s="303"/>
      <c r="J120" s="303"/>
      <c r="K120" s="303"/>
      <c r="L120" s="303"/>
      <c r="M120" s="303"/>
      <c r="N120" s="298">
        <f t="shared" si="3"/>
        <v>0</v>
      </c>
      <c r="O120" s="303"/>
      <c r="P120" s="303"/>
      <c r="Q120" s="303"/>
      <c r="R120" s="297">
        <f t="shared" si="4"/>
        <v>2315.06</v>
      </c>
    </row>
    <row r="121" spans="1:18" ht="19.95" customHeight="1" x14ac:dyDescent="0.25">
      <c r="A121" s="294" t="s">
        <v>197</v>
      </c>
      <c r="B121" s="294">
        <v>152</v>
      </c>
      <c r="C121" s="295" t="s">
        <v>500</v>
      </c>
      <c r="D121" s="295" t="s">
        <v>103</v>
      </c>
      <c r="E121" s="303">
        <v>1940</v>
      </c>
      <c r="F121" s="303"/>
      <c r="G121" s="303"/>
      <c r="H121" s="303"/>
      <c r="I121" s="303"/>
      <c r="J121" s="303"/>
      <c r="K121" s="303"/>
      <c r="L121" s="303"/>
      <c r="M121" s="303"/>
      <c r="N121" s="298">
        <f t="shared" si="3"/>
        <v>0</v>
      </c>
      <c r="O121" s="303"/>
      <c r="P121" s="303"/>
      <c r="Q121" s="303"/>
      <c r="R121" s="297">
        <f t="shared" si="4"/>
        <v>1940</v>
      </c>
    </row>
    <row r="122" spans="1:18" ht="19.95" customHeight="1" x14ac:dyDescent="0.25">
      <c r="A122" s="294" t="s">
        <v>537</v>
      </c>
      <c r="B122" s="294">
        <v>158</v>
      </c>
      <c r="C122" s="295" t="s">
        <v>500</v>
      </c>
      <c r="D122" s="295"/>
      <c r="E122" s="303"/>
      <c r="F122" s="303"/>
      <c r="G122" s="303"/>
      <c r="H122" s="303"/>
      <c r="I122" s="303"/>
      <c r="J122" s="303"/>
      <c r="K122" s="303"/>
      <c r="L122" s="303"/>
      <c r="M122" s="303"/>
      <c r="N122" s="298">
        <f t="shared" si="3"/>
        <v>0</v>
      </c>
      <c r="O122" s="303"/>
      <c r="P122" s="303"/>
      <c r="Q122" s="303"/>
      <c r="R122" s="297">
        <f t="shared" si="4"/>
        <v>0</v>
      </c>
    </row>
    <row r="123" spans="1:18" ht="19.95" customHeight="1" x14ac:dyDescent="0.25">
      <c r="A123" s="300" t="s">
        <v>200</v>
      </c>
      <c r="B123" s="294">
        <v>161</v>
      </c>
      <c r="C123" s="295" t="s">
        <v>500</v>
      </c>
      <c r="D123" s="295" t="s">
        <v>103</v>
      </c>
      <c r="E123" s="303">
        <v>3783</v>
      </c>
      <c r="F123" s="303"/>
      <c r="G123" s="303"/>
      <c r="H123" s="303"/>
      <c r="I123" s="303"/>
      <c r="J123" s="303"/>
      <c r="K123" s="303"/>
      <c r="L123" s="303"/>
      <c r="M123" s="303"/>
      <c r="N123" s="298">
        <f t="shared" si="3"/>
        <v>0</v>
      </c>
      <c r="O123" s="303"/>
      <c r="P123" s="303"/>
      <c r="Q123" s="303"/>
      <c r="R123" s="297">
        <f t="shared" si="4"/>
        <v>3783</v>
      </c>
    </row>
    <row r="124" spans="1:18" ht="19.95" customHeight="1" x14ac:dyDescent="0.25">
      <c r="A124" s="300" t="s">
        <v>201</v>
      </c>
      <c r="B124" s="294">
        <v>162</v>
      </c>
      <c r="C124" s="295" t="s">
        <v>500</v>
      </c>
      <c r="D124" s="301" t="s">
        <v>105</v>
      </c>
      <c r="E124" s="303">
        <v>3706.75</v>
      </c>
      <c r="F124" s="303"/>
      <c r="G124" s="303"/>
      <c r="H124" s="303"/>
      <c r="I124" s="303"/>
      <c r="J124" s="303"/>
      <c r="K124" s="303"/>
      <c r="L124" s="303"/>
      <c r="M124" s="303"/>
      <c r="N124" s="298">
        <f t="shared" si="3"/>
        <v>0</v>
      </c>
      <c r="O124" s="303"/>
      <c r="P124" s="303"/>
      <c r="Q124" s="303"/>
      <c r="R124" s="297">
        <f t="shared" si="4"/>
        <v>3706.75</v>
      </c>
    </row>
    <row r="125" spans="1:18" ht="19.95" customHeight="1" x14ac:dyDescent="0.25">
      <c r="A125" s="294" t="s">
        <v>203</v>
      </c>
      <c r="B125" s="294">
        <v>72</v>
      </c>
      <c r="C125" s="295" t="s">
        <v>500</v>
      </c>
      <c r="D125" s="301" t="s">
        <v>95</v>
      </c>
      <c r="E125" s="303">
        <v>22540.38</v>
      </c>
      <c r="F125" s="303"/>
      <c r="G125" s="303"/>
      <c r="H125" s="303"/>
      <c r="I125" s="303"/>
      <c r="J125" s="303"/>
      <c r="K125" s="303"/>
      <c r="L125" s="303"/>
      <c r="M125" s="303"/>
      <c r="N125" s="298">
        <f t="shared" si="3"/>
        <v>0</v>
      </c>
      <c r="O125" s="303"/>
      <c r="P125" s="303"/>
      <c r="Q125" s="303"/>
      <c r="R125" s="297">
        <f t="shared" si="4"/>
        <v>22540.38</v>
      </c>
    </row>
    <row r="126" spans="1:18" ht="19.95" customHeight="1" x14ac:dyDescent="0.25">
      <c r="A126" s="300" t="s">
        <v>204</v>
      </c>
      <c r="B126" s="294">
        <v>79</v>
      </c>
      <c r="C126" s="295" t="s">
        <v>500</v>
      </c>
      <c r="D126" s="301" t="s">
        <v>95</v>
      </c>
      <c r="E126" s="303"/>
      <c r="F126" s="303"/>
      <c r="G126" s="303"/>
      <c r="H126" s="303"/>
      <c r="I126" s="303"/>
      <c r="J126" s="303"/>
      <c r="K126" s="303"/>
      <c r="L126" s="303"/>
      <c r="M126" s="303"/>
      <c r="N126" s="298">
        <f t="shared" si="3"/>
        <v>0</v>
      </c>
      <c r="O126" s="303"/>
      <c r="P126" s="303"/>
      <c r="Q126" s="303"/>
      <c r="R126" s="297">
        <f t="shared" si="4"/>
        <v>0</v>
      </c>
    </row>
    <row r="127" spans="1:18" ht="19.95" customHeight="1" x14ac:dyDescent="0.25">
      <c r="A127" s="294" t="s">
        <v>205</v>
      </c>
      <c r="B127" s="294">
        <v>80</v>
      </c>
      <c r="C127" s="295" t="s">
        <v>500</v>
      </c>
      <c r="D127" s="301" t="s">
        <v>95</v>
      </c>
      <c r="E127" s="303">
        <v>11202.29</v>
      </c>
      <c r="F127" s="303"/>
      <c r="G127" s="303"/>
      <c r="H127" s="303"/>
      <c r="I127" s="303"/>
      <c r="J127" s="303"/>
      <c r="K127" s="303"/>
      <c r="L127" s="303"/>
      <c r="M127" s="303"/>
      <c r="N127" s="298">
        <f t="shared" si="3"/>
        <v>0</v>
      </c>
      <c r="O127" s="303"/>
      <c r="P127" s="303"/>
      <c r="Q127" s="303"/>
      <c r="R127" s="297">
        <f t="shared" si="4"/>
        <v>11202.29</v>
      </c>
    </row>
    <row r="128" spans="1:18" ht="19.95" customHeight="1" x14ac:dyDescent="0.25">
      <c r="A128" s="294" t="s">
        <v>206</v>
      </c>
      <c r="B128" s="294">
        <v>83</v>
      </c>
      <c r="C128" s="295" t="s">
        <v>500</v>
      </c>
      <c r="D128" s="295"/>
      <c r="E128" s="303"/>
      <c r="F128" s="303"/>
      <c r="G128" s="303"/>
      <c r="H128" s="303"/>
      <c r="I128" s="303"/>
      <c r="J128" s="303"/>
      <c r="K128" s="303"/>
      <c r="L128" s="303"/>
      <c r="M128" s="303"/>
      <c r="N128" s="298">
        <f t="shared" si="3"/>
        <v>0</v>
      </c>
      <c r="O128" s="303"/>
      <c r="P128" s="303"/>
      <c r="Q128" s="303">
        <v>12500</v>
      </c>
      <c r="R128" s="297">
        <f t="shared" si="4"/>
        <v>12500</v>
      </c>
    </row>
    <row r="129" spans="1:18" ht="19.95" customHeight="1" x14ac:dyDescent="0.25">
      <c r="A129" s="294" t="s">
        <v>368</v>
      </c>
      <c r="B129" s="294">
        <v>82</v>
      </c>
      <c r="C129" s="295" t="s">
        <v>500</v>
      </c>
      <c r="D129" s="295" t="s">
        <v>95</v>
      </c>
      <c r="E129" s="303">
        <v>4345.6000000000004</v>
      </c>
      <c r="F129" s="303"/>
      <c r="G129" s="303"/>
      <c r="H129" s="303"/>
      <c r="I129" s="303"/>
      <c r="J129" s="303"/>
      <c r="K129" s="303"/>
      <c r="L129" s="303"/>
      <c r="M129" s="303"/>
      <c r="N129" s="298">
        <f t="shared" si="3"/>
        <v>0</v>
      </c>
      <c r="O129" s="303"/>
      <c r="P129" s="303"/>
      <c r="Q129" s="303"/>
      <c r="R129" s="297">
        <f t="shared" si="4"/>
        <v>4345.6000000000004</v>
      </c>
    </row>
    <row r="130" spans="1:18" ht="19.95" customHeight="1" x14ac:dyDescent="0.25">
      <c r="A130" s="300" t="s">
        <v>208</v>
      </c>
      <c r="B130" s="294">
        <v>160</v>
      </c>
      <c r="C130" s="295" t="s">
        <v>500</v>
      </c>
      <c r="D130" s="301" t="s">
        <v>112</v>
      </c>
      <c r="E130" s="303"/>
      <c r="F130" s="303"/>
      <c r="G130" s="303"/>
      <c r="H130" s="303"/>
      <c r="I130" s="303"/>
      <c r="J130" s="303"/>
      <c r="K130" s="303"/>
      <c r="L130" s="303"/>
      <c r="M130" s="303"/>
      <c r="N130" s="298">
        <f t="shared" si="3"/>
        <v>0</v>
      </c>
      <c r="O130" s="303"/>
      <c r="P130" s="303"/>
      <c r="Q130" s="303"/>
      <c r="R130" s="297">
        <f t="shared" si="4"/>
        <v>0</v>
      </c>
    </row>
    <row r="131" spans="1:18" ht="19.95" customHeight="1" x14ac:dyDescent="0.25">
      <c r="A131" s="300" t="s">
        <v>209</v>
      </c>
      <c r="B131" s="294">
        <v>2518</v>
      </c>
      <c r="C131" s="295" t="s">
        <v>500</v>
      </c>
      <c r="D131" s="301" t="s">
        <v>91</v>
      </c>
      <c r="E131" s="303"/>
      <c r="F131" s="303"/>
      <c r="G131" s="303"/>
      <c r="H131" s="303"/>
      <c r="I131" s="303"/>
      <c r="J131" s="303"/>
      <c r="K131" s="303"/>
      <c r="L131" s="303"/>
      <c r="M131" s="303"/>
      <c r="N131" s="298">
        <f t="shared" si="3"/>
        <v>0</v>
      </c>
      <c r="O131" s="303"/>
      <c r="P131" s="303"/>
      <c r="Q131" s="303">
        <v>15000</v>
      </c>
      <c r="R131" s="297">
        <f t="shared" si="4"/>
        <v>15000</v>
      </c>
    </row>
    <row r="132" spans="1:18" ht="19.95" customHeight="1" x14ac:dyDescent="0.25">
      <c r="A132" s="300" t="s">
        <v>538</v>
      </c>
      <c r="B132" s="294">
        <v>351</v>
      </c>
      <c r="C132" s="295" t="s">
        <v>500</v>
      </c>
      <c r="D132" s="301" t="s">
        <v>110</v>
      </c>
      <c r="E132" s="303">
        <v>4539.6000000000004</v>
      </c>
      <c r="F132" s="303"/>
      <c r="G132" s="303"/>
      <c r="H132" s="303"/>
      <c r="I132" s="303"/>
      <c r="J132" s="303"/>
      <c r="K132" s="303"/>
      <c r="L132" s="303"/>
      <c r="M132" s="303"/>
      <c r="N132" s="298">
        <f t="shared" si="3"/>
        <v>0</v>
      </c>
      <c r="O132" s="303"/>
      <c r="P132" s="303"/>
      <c r="Q132" s="303"/>
      <c r="R132" s="297">
        <f t="shared" si="4"/>
        <v>4539.6000000000004</v>
      </c>
    </row>
    <row r="133" spans="1:18" ht="19.95" customHeight="1" x14ac:dyDescent="0.25">
      <c r="A133" s="300" t="s">
        <v>213</v>
      </c>
      <c r="B133" s="294">
        <v>600</v>
      </c>
      <c r="C133" s="295" t="s">
        <v>500</v>
      </c>
      <c r="D133" s="301" t="s">
        <v>93</v>
      </c>
      <c r="E133" s="303"/>
      <c r="F133" s="303"/>
      <c r="G133" s="303"/>
      <c r="H133" s="303"/>
      <c r="I133" s="303"/>
      <c r="J133" s="303"/>
      <c r="K133" s="303"/>
      <c r="L133" s="303"/>
      <c r="M133" s="303"/>
      <c r="N133" s="298">
        <f t="shared" si="3"/>
        <v>0</v>
      </c>
      <c r="O133" s="303"/>
      <c r="P133" s="303"/>
      <c r="Q133" s="303"/>
      <c r="R133" s="297">
        <f t="shared" si="4"/>
        <v>0</v>
      </c>
    </row>
    <row r="134" spans="1:18" ht="19.95" customHeight="1" x14ac:dyDescent="0.25">
      <c r="A134" s="294" t="s">
        <v>369</v>
      </c>
      <c r="B134" s="294">
        <v>398</v>
      </c>
      <c r="C134" s="295" t="s">
        <v>500</v>
      </c>
      <c r="D134" s="295"/>
      <c r="E134" s="303"/>
      <c r="F134" s="303"/>
      <c r="G134" s="303"/>
      <c r="H134" s="303"/>
      <c r="I134" s="303"/>
      <c r="J134" s="303"/>
      <c r="K134" s="303"/>
      <c r="L134" s="303"/>
      <c r="M134" s="303"/>
      <c r="N134" s="298">
        <f t="shared" si="3"/>
        <v>0</v>
      </c>
      <c r="O134" s="303"/>
      <c r="P134" s="303"/>
      <c r="Q134" s="303"/>
      <c r="R134" s="297">
        <f t="shared" si="4"/>
        <v>0</v>
      </c>
    </row>
    <row r="135" spans="1:18" ht="19.95" customHeight="1" x14ac:dyDescent="0.25">
      <c r="A135" s="300" t="s">
        <v>214</v>
      </c>
      <c r="B135" s="294">
        <v>422</v>
      </c>
      <c r="C135" s="295" t="s">
        <v>500</v>
      </c>
      <c r="D135" s="301" t="s">
        <v>105</v>
      </c>
      <c r="E135" s="303">
        <v>4148.1000000000004</v>
      </c>
      <c r="F135" s="303"/>
      <c r="G135" s="303"/>
      <c r="H135" s="303"/>
      <c r="I135" s="303"/>
      <c r="J135" s="303"/>
      <c r="K135" s="303"/>
      <c r="L135" s="303"/>
      <c r="M135" s="303"/>
      <c r="N135" s="298">
        <f t="shared" si="3"/>
        <v>0</v>
      </c>
      <c r="O135" s="303"/>
      <c r="P135" s="303"/>
      <c r="Q135" s="303"/>
      <c r="R135" s="297">
        <f t="shared" si="4"/>
        <v>4148.1000000000004</v>
      </c>
    </row>
    <row r="136" spans="1:18" ht="19.95" customHeight="1" x14ac:dyDescent="0.25">
      <c r="A136" s="300" t="s">
        <v>216</v>
      </c>
      <c r="B136" s="294">
        <v>453</v>
      </c>
      <c r="C136" s="295" t="s">
        <v>500</v>
      </c>
      <c r="D136" s="301" t="s">
        <v>93</v>
      </c>
      <c r="E136" s="303">
        <v>5335</v>
      </c>
      <c r="F136" s="303"/>
      <c r="G136" s="303"/>
      <c r="H136" s="303"/>
      <c r="I136" s="303"/>
      <c r="J136" s="303">
        <v>3229.43</v>
      </c>
      <c r="K136" s="303"/>
      <c r="L136" s="303">
        <v>2814.28</v>
      </c>
      <c r="M136" s="303"/>
      <c r="N136" s="298">
        <f t="shared" ref="N136:N167" si="5">SUM(G136:M136)</f>
        <v>6043.71</v>
      </c>
      <c r="O136" s="303"/>
      <c r="P136" s="303"/>
      <c r="Q136" s="303"/>
      <c r="R136" s="297">
        <f t="shared" si="4"/>
        <v>11378.71</v>
      </c>
    </row>
    <row r="137" spans="1:18" ht="19.95" customHeight="1" x14ac:dyDescent="0.25">
      <c r="A137" s="300" t="s">
        <v>539</v>
      </c>
      <c r="B137" s="294">
        <v>456</v>
      </c>
      <c r="C137" s="295" t="s">
        <v>500</v>
      </c>
      <c r="D137" s="301"/>
      <c r="E137" s="303"/>
      <c r="F137" s="303"/>
      <c r="G137" s="303"/>
      <c r="H137" s="303"/>
      <c r="I137" s="303"/>
      <c r="J137" s="303"/>
      <c r="K137" s="303"/>
      <c r="L137" s="303"/>
      <c r="M137" s="303"/>
      <c r="N137" s="298">
        <f t="shared" si="5"/>
        <v>0</v>
      </c>
      <c r="O137" s="303"/>
      <c r="P137" s="303"/>
      <c r="Q137" s="303"/>
      <c r="R137" s="297">
        <f t="shared" si="4"/>
        <v>0</v>
      </c>
    </row>
    <row r="138" spans="1:18" ht="19.95" customHeight="1" x14ac:dyDescent="0.25">
      <c r="A138" s="294" t="s">
        <v>217</v>
      </c>
      <c r="B138" s="294">
        <v>171</v>
      </c>
      <c r="C138" s="295" t="s">
        <v>500</v>
      </c>
      <c r="D138" s="301" t="s">
        <v>105</v>
      </c>
      <c r="E138" s="303">
        <v>2206.75</v>
      </c>
      <c r="F138" s="303"/>
      <c r="G138" s="303"/>
      <c r="H138" s="303"/>
      <c r="I138" s="303"/>
      <c r="J138" s="303"/>
      <c r="K138" s="303"/>
      <c r="L138" s="303"/>
      <c r="M138" s="303"/>
      <c r="N138" s="298">
        <f t="shared" si="5"/>
        <v>0</v>
      </c>
      <c r="O138" s="303"/>
      <c r="P138" s="303"/>
      <c r="Q138" s="303"/>
      <c r="R138" s="297">
        <f t="shared" ref="R138:R167" si="6">E138+F138+N138+O138+P138+Q138</f>
        <v>2206.75</v>
      </c>
    </row>
    <row r="139" spans="1:18" ht="19.95" customHeight="1" x14ac:dyDescent="0.25">
      <c r="A139" s="294" t="s">
        <v>219</v>
      </c>
      <c r="B139" s="294">
        <v>2695</v>
      </c>
      <c r="C139" s="295" t="s">
        <v>500</v>
      </c>
      <c r="D139" s="301"/>
      <c r="E139" s="303"/>
      <c r="F139" s="303"/>
      <c r="G139" s="303"/>
      <c r="H139" s="303"/>
      <c r="I139" s="303"/>
      <c r="J139" s="303"/>
      <c r="K139" s="303"/>
      <c r="L139" s="303">
        <v>990</v>
      </c>
      <c r="M139" s="303"/>
      <c r="N139" s="298">
        <f t="shared" si="5"/>
        <v>990</v>
      </c>
      <c r="O139" s="303"/>
      <c r="P139" s="303"/>
      <c r="Q139" s="303"/>
      <c r="R139" s="297">
        <f t="shared" si="6"/>
        <v>990</v>
      </c>
    </row>
    <row r="140" spans="1:18" ht="19.95" customHeight="1" x14ac:dyDescent="0.25">
      <c r="A140" s="294" t="s">
        <v>220</v>
      </c>
      <c r="B140" s="294">
        <v>720</v>
      </c>
      <c r="C140" s="295" t="s">
        <v>500</v>
      </c>
      <c r="D140" s="295" t="s">
        <v>93</v>
      </c>
      <c r="E140" s="303"/>
      <c r="F140" s="303"/>
      <c r="G140" s="303"/>
      <c r="H140" s="303"/>
      <c r="I140" s="303"/>
      <c r="J140" s="303"/>
      <c r="K140" s="303"/>
      <c r="L140" s="303"/>
      <c r="M140" s="303"/>
      <c r="N140" s="298">
        <f>SUM(G140:M140)</f>
        <v>0</v>
      </c>
      <c r="O140" s="303"/>
      <c r="P140" s="303"/>
      <c r="Q140" s="303"/>
      <c r="R140" s="297">
        <f t="shared" si="6"/>
        <v>0</v>
      </c>
    </row>
    <row r="141" spans="1:18" ht="19.95" customHeight="1" x14ac:dyDescent="0.25">
      <c r="A141" s="294" t="s">
        <v>540</v>
      </c>
      <c r="B141" s="294">
        <v>593</v>
      </c>
      <c r="C141" s="295" t="s">
        <v>500</v>
      </c>
      <c r="D141" s="295"/>
      <c r="E141" s="303"/>
      <c r="F141" s="303"/>
      <c r="G141" s="303"/>
      <c r="H141" s="303"/>
      <c r="I141" s="303"/>
      <c r="J141" s="303"/>
      <c r="K141" s="303"/>
      <c r="L141" s="303"/>
      <c r="M141" s="303"/>
      <c r="N141" s="298">
        <f t="shared" si="5"/>
        <v>0</v>
      </c>
      <c r="O141" s="303"/>
      <c r="P141" s="303"/>
      <c r="Q141" s="303"/>
      <c r="R141" s="297">
        <f t="shared" si="6"/>
        <v>0</v>
      </c>
    </row>
    <row r="142" spans="1:18" ht="19.95" customHeight="1" x14ac:dyDescent="0.25">
      <c r="A142" s="294" t="s">
        <v>221</v>
      </c>
      <c r="B142" s="294">
        <v>208</v>
      </c>
      <c r="C142" s="295" t="s">
        <v>500</v>
      </c>
      <c r="D142" s="301" t="s">
        <v>95</v>
      </c>
      <c r="E142" s="303">
        <v>6130.4</v>
      </c>
      <c r="F142" s="303"/>
      <c r="G142" s="303"/>
      <c r="H142" s="303"/>
      <c r="I142" s="303"/>
      <c r="J142" s="303"/>
      <c r="K142" s="303"/>
      <c r="L142" s="303"/>
      <c r="M142" s="303"/>
      <c r="N142" s="298">
        <f t="shared" si="5"/>
        <v>0</v>
      </c>
      <c r="O142" s="303"/>
      <c r="P142" s="303"/>
      <c r="Q142" s="303"/>
      <c r="R142" s="297">
        <f t="shared" si="6"/>
        <v>6130.4</v>
      </c>
    </row>
    <row r="143" spans="1:18" ht="19.95" customHeight="1" x14ac:dyDescent="0.25">
      <c r="A143" s="294" t="s">
        <v>370</v>
      </c>
      <c r="B143" s="294">
        <v>223</v>
      </c>
      <c r="C143" s="295" t="s">
        <v>500</v>
      </c>
      <c r="D143" s="295"/>
      <c r="E143" s="303"/>
      <c r="F143" s="303"/>
      <c r="G143" s="303"/>
      <c r="H143" s="303"/>
      <c r="I143" s="303"/>
      <c r="J143" s="303"/>
      <c r="K143" s="303"/>
      <c r="L143" s="303"/>
      <c r="M143" s="303"/>
      <c r="N143" s="298">
        <f t="shared" si="5"/>
        <v>0</v>
      </c>
      <c r="O143" s="303"/>
      <c r="P143" s="303"/>
      <c r="Q143" s="303"/>
      <c r="R143" s="297">
        <f t="shared" si="6"/>
        <v>0</v>
      </c>
    </row>
    <row r="144" spans="1:18" ht="19.95" customHeight="1" x14ac:dyDescent="0.25">
      <c r="A144" s="294" t="s">
        <v>222</v>
      </c>
      <c r="B144" s="294">
        <v>86</v>
      </c>
      <c r="C144" s="295" t="s">
        <v>500</v>
      </c>
      <c r="D144" s="295"/>
      <c r="E144" s="303"/>
      <c r="F144" s="303"/>
      <c r="G144" s="303"/>
      <c r="H144" s="303"/>
      <c r="I144" s="303"/>
      <c r="J144" s="303"/>
      <c r="K144" s="303"/>
      <c r="L144" s="303"/>
      <c r="M144" s="303">
        <v>2342.5500000000002</v>
      </c>
      <c r="N144" s="298">
        <f t="shared" si="5"/>
        <v>2342.5500000000002</v>
      </c>
      <c r="O144" s="303"/>
      <c r="P144" s="303"/>
      <c r="Q144" s="303"/>
      <c r="R144" s="297">
        <f t="shared" si="6"/>
        <v>2342.5500000000002</v>
      </c>
    </row>
    <row r="145" spans="1:18" ht="19.95" customHeight="1" x14ac:dyDescent="0.25">
      <c r="A145" s="294" t="s">
        <v>223</v>
      </c>
      <c r="B145" s="294">
        <v>2481</v>
      </c>
      <c r="C145" s="295" t="s">
        <v>500</v>
      </c>
      <c r="D145" s="301" t="s">
        <v>87</v>
      </c>
      <c r="E145" s="303">
        <v>1940</v>
      </c>
      <c r="F145" s="303">
        <v>727.5</v>
      </c>
      <c r="G145" s="303"/>
      <c r="H145" s="303"/>
      <c r="I145" s="303"/>
      <c r="J145" s="303"/>
      <c r="K145" s="303"/>
      <c r="L145" s="303"/>
      <c r="M145" s="303"/>
      <c r="N145" s="298">
        <f t="shared" si="5"/>
        <v>0</v>
      </c>
      <c r="O145" s="303"/>
      <c r="P145" s="303"/>
      <c r="Q145" s="303"/>
      <c r="R145" s="297">
        <f t="shared" si="6"/>
        <v>2667.5</v>
      </c>
    </row>
    <row r="146" spans="1:18" ht="19.95" customHeight="1" x14ac:dyDescent="0.25">
      <c r="A146" s="300" t="s">
        <v>224</v>
      </c>
      <c r="B146" s="294">
        <v>960</v>
      </c>
      <c r="C146" s="295" t="s">
        <v>500</v>
      </c>
      <c r="D146" s="296"/>
      <c r="E146" s="303"/>
      <c r="F146" s="303"/>
      <c r="G146" s="303"/>
      <c r="H146" s="303"/>
      <c r="I146" s="303"/>
      <c r="J146" s="303"/>
      <c r="K146" s="303"/>
      <c r="L146" s="303"/>
      <c r="M146" s="303"/>
      <c r="N146" s="298">
        <f t="shared" si="5"/>
        <v>0</v>
      </c>
      <c r="O146" s="303"/>
      <c r="P146" s="303"/>
      <c r="Q146" s="303"/>
      <c r="R146" s="297">
        <f t="shared" si="6"/>
        <v>0</v>
      </c>
    </row>
    <row r="147" spans="1:18" ht="19.95" customHeight="1" x14ac:dyDescent="0.25">
      <c r="A147" s="294" t="s">
        <v>371</v>
      </c>
      <c r="B147" s="294">
        <v>221</v>
      </c>
      <c r="C147" s="295" t="s">
        <v>500</v>
      </c>
      <c r="D147" s="295"/>
      <c r="E147" s="303"/>
      <c r="F147" s="303"/>
      <c r="G147" s="303"/>
      <c r="H147" s="303"/>
      <c r="I147" s="303"/>
      <c r="J147" s="303"/>
      <c r="K147" s="303"/>
      <c r="L147" s="303"/>
      <c r="M147" s="303"/>
      <c r="N147" s="298">
        <f t="shared" si="5"/>
        <v>0</v>
      </c>
      <c r="O147" s="303"/>
      <c r="P147" s="303"/>
      <c r="Q147" s="303"/>
      <c r="R147" s="297">
        <f t="shared" si="6"/>
        <v>0</v>
      </c>
    </row>
    <row r="148" spans="1:18" ht="19.95" customHeight="1" x14ac:dyDescent="0.25">
      <c r="A148" s="294" t="s">
        <v>225</v>
      </c>
      <c r="B148" s="294">
        <v>640</v>
      </c>
      <c r="C148" s="295" t="s">
        <v>500</v>
      </c>
      <c r="D148" s="295" t="s">
        <v>103</v>
      </c>
      <c r="E148" s="303">
        <v>9499.5300000000007</v>
      </c>
      <c r="F148" s="303"/>
      <c r="G148" s="303"/>
      <c r="H148" s="303"/>
      <c r="I148" s="303"/>
      <c r="J148" s="303"/>
      <c r="K148" s="303"/>
      <c r="L148" s="303"/>
      <c r="M148" s="303"/>
      <c r="N148" s="298">
        <f t="shared" si="5"/>
        <v>0</v>
      </c>
      <c r="O148" s="303"/>
      <c r="P148" s="303"/>
      <c r="Q148" s="303"/>
      <c r="R148" s="297">
        <f t="shared" si="6"/>
        <v>9499.5300000000007</v>
      </c>
    </row>
    <row r="149" spans="1:18" ht="19.95" customHeight="1" x14ac:dyDescent="0.25">
      <c r="A149" s="312" t="s">
        <v>226</v>
      </c>
      <c r="B149" s="294">
        <v>88</v>
      </c>
      <c r="C149" s="295" t="s">
        <v>500</v>
      </c>
      <c r="D149" s="301"/>
      <c r="E149" s="303"/>
      <c r="F149" s="303"/>
      <c r="G149" s="303"/>
      <c r="H149" s="303"/>
      <c r="I149" s="303"/>
      <c r="J149" s="303"/>
      <c r="K149" s="303"/>
      <c r="L149" s="303"/>
      <c r="M149" s="303"/>
      <c r="N149" s="298">
        <f t="shared" si="5"/>
        <v>0</v>
      </c>
      <c r="O149" s="303"/>
      <c r="P149" s="303"/>
      <c r="Q149" s="303">
        <v>12500</v>
      </c>
      <c r="R149" s="297">
        <f t="shared" si="6"/>
        <v>12500</v>
      </c>
    </row>
    <row r="150" spans="1:18" ht="19.95" customHeight="1" x14ac:dyDescent="0.25">
      <c r="A150" s="300" t="s">
        <v>227</v>
      </c>
      <c r="B150" s="294">
        <v>168</v>
      </c>
      <c r="C150" s="295" t="s">
        <v>500</v>
      </c>
      <c r="D150" s="295" t="s">
        <v>352</v>
      </c>
      <c r="E150" s="303">
        <v>20642.810000000001</v>
      </c>
      <c r="F150" s="303"/>
      <c r="G150" s="303"/>
      <c r="H150" s="303"/>
      <c r="I150" s="303"/>
      <c r="J150" s="303"/>
      <c r="K150" s="303"/>
      <c r="L150" s="303"/>
      <c r="M150" s="303"/>
      <c r="N150" s="298">
        <f t="shared" si="5"/>
        <v>0</v>
      </c>
      <c r="O150" s="313"/>
      <c r="P150" s="303"/>
      <c r="Q150" s="303"/>
      <c r="R150" s="297">
        <f t="shared" si="6"/>
        <v>20642.810000000001</v>
      </c>
    </row>
    <row r="151" spans="1:18" ht="19.95" customHeight="1" x14ac:dyDescent="0.25">
      <c r="A151" s="300" t="s">
        <v>228</v>
      </c>
      <c r="B151" s="294">
        <v>495</v>
      </c>
      <c r="C151" s="295" t="s">
        <v>500</v>
      </c>
      <c r="D151" s="295"/>
      <c r="E151" s="303"/>
      <c r="F151" s="303"/>
      <c r="G151" s="303"/>
      <c r="H151" s="303"/>
      <c r="I151" s="303"/>
      <c r="J151" s="303"/>
      <c r="K151" s="303"/>
      <c r="L151" s="303"/>
      <c r="M151" s="303"/>
      <c r="N151" s="298">
        <f t="shared" si="5"/>
        <v>0</v>
      </c>
      <c r="O151" s="313"/>
      <c r="P151" s="303"/>
      <c r="Q151" s="303"/>
      <c r="R151" s="297">
        <f t="shared" si="6"/>
        <v>0</v>
      </c>
    </row>
    <row r="152" spans="1:18" ht="19.95" customHeight="1" x14ac:dyDescent="0.25">
      <c r="A152" s="294" t="s">
        <v>229</v>
      </c>
      <c r="B152" s="294">
        <v>167</v>
      </c>
      <c r="C152" s="295" t="s">
        <v>500</v>
      </c>
      <c r="D152" s="301" t="s">
        <v>112</v>
      </c>
      <c r="E152" s="303">
        <v>3395</v>
      </c>
      <c r="F152" s="303"/>
      <c r="G152" s="303"/>
      <c r="H152" s="303"/>
      <c r="I152" s="303"/>
      <c r="J152" s="303"/>
      <c r="K152" s="303"/>
      <c r="L152" s="303"/>
      <c r="M152" s="303"/>
      <c r="N152" s="298">
        <f t="shared" si="5"/>
        <v>0</v>
      </c>
      <c r="O152" s="303"/>
      <c r="P152" s="303"/>
      <c r="Q152" s="303"/>
      <c r="R152" s="297">
        <f t="shared" si="6"/>
        <v>3395</v>
      </c>
    </row>
    <row r="153" spans="1:18" ht="19.95" customHeight="1" x14ac:dyDescent="0.25">
      <c r="A153" s="300" t="s">
        <v>231</v>
      </c>
      <c r="B153" s="294">
        <v>509</v>
      </c>
      <c r="C153" s="295" t="s">
        <v>500</v>
      </c>
      <c r="D153" s="301" t="s">
        <v>91</v>
      </c>
      <c r="E153" s="303">
        <v>9093.75</v>
      </c>
      <c r="F153" s="303"/>
      <c r="G153" s="303"/>
      <c r="H153" s="303"/>
      <c r="I153" s="303"/>
      <c r="J153" s="303"/>
      <c r="K153" s="303"/>
      <c r="L153" s="303"/>
      <c r="M153" s="303">
        <v>441.35</v>
      </c>
      <c r="N153" s="298">
        <f t="shared" si="5"/>
        <v>441.35</v>
      </c>
      <c r="O153" s="303"/>
      <c r="P153" s="303"/>
      <c r="Q153" s="303"/>
      <c r="R153" s="297">
        <f t="shared" si="6"/>
        <v>9535.1</v>
      </c>
    </row>
    <row r="154" spans="1:18" ht="19.95" customHeight="1" x14ac:dyDescent="0.25">
      <c r="A154" s="300" t="s">
        <v>232</v>
      </c>
      <c r="B154" s="294">
        <v>173</v>
      </c>
      <c r="C154" s="295" t="s">
        <v>500</v>
      </c>
      <c r="D154" s="301" t="s">
        <v>112</v>
      </c>
      <c r="E154" s="313">
        <v>2425</v>
      </c>
      <c r="F154" s="303">
        <v>1358</v>
      </c>
      <c r="G154" s="303"/>
      <c r="H154" s="303"/>
      <c r="I154" s="303"/>
      <c r="J154" s="303"/>
      <c r="K154" s="303"/>
      <c r="L154" s="303"/>
      <c r="M154" s="303"/>
      <c r="N154" s="298">
        <f t="shared" si="5"/>
        <v>0</v>
      </c>
      <c r="O154" s="313"/>
      <c r="P154" s="303"/>
      <c r="Q154" s="303">
        <v>15000</v>
      </c>
      <c r="R154" s="297">
        <f t="shared" si="6"/>
        <v>18783</v>
      </c>
    </row>
    <row r="155" spans="1:18" ht="19.95" customHeight="1" x14ac:dyDescent="0.25">
      <c r="A155" s="294" t="s">
        <v>233</v>
      </c>
      <c r="B155" s="294">
        <v>175</v>
      </c>
      <c r="C155" s="295" t="s">
        <v>500</v>
      </c>
      <c r="D155" s="301" t="s">
        <v>112</v>
      </c>
      <c r="E155" s="303">
        <v>11033.75</v>
      </c>
      <c r="F155" s="303">
        <v>31.53</v>
      </c>
      <c r="G155" s="303"/>
      <c r="H155" s="303"/>
      <c r="I155" s="303"/>
      <c r="J155" s="303"/>
      <c r="K155" s="303"/>
      <c r="L155" s="303"/>
      <c r="M155" s="303"/>
      <c r="N155" s="298">
        <f t="shared" si="5"/>
        <v>0</v>
      </c>
      <c r="O155" s="303"/>
      <c r="P155" s="303"/>
      <c r="Q155" s="303"/>
      <c r="R155" s="297">
        <f t="shared" si="6"/>
        <v>11065.28</v>
      </c>
    </row>
    <row r="156" spans="1:18" ht="19.95" customHeight="1" x14ac:dyDescent="0.25">
      <c r="A156" s="300" t="s">
        <v>234</v>
      </c>
      <c r="B156" s="294">
        <v>1546</v>
      </c>
      <c r="C156" s="295" t="s">
        <v>500</v>
      </c>
      <c r="D156" s="301" t="s">
        <v>103</v>
      </c>
      <c r="E156" s="303"/>
      <c r="F156" s="303"/>
      <c r="G156" s="303"/>
      <c r="H156" s="303"/>
      <c r="I156" s="303"/>
      <c r="J156" s="303"/>
      <c r="K156" s="303"/>
      <c r="L156" s="303"/>
      <c r="M156" s="303"/>
      <c r="N156" s="298">
        <f t="shared" si="5"/>
        <v>0</v>
      </c>
      <c r="O156" s="313"/>
      <c r="P156" s="303"/>
      <c r="Q156" s="303"/>
      <c r="R156" s="297">
        <f t="shared" si="6"/>
        <v>0</v>
      </c>
    </row>
    <row r="157" spans="1:18" ht="19.95" customHeight="1" x14ac:dyDescent="0.25">
      <c r="A157" s="294" t="s">
        <v>235</v>
      </c>
      <c r="B157" s="294">
        <v>111</v>
      </c>
      <c r="C157" s="295" t="s">
        <v>500</v>
      </c>
      <c r="D157" s="301" t="s">
        <v>95</v>
      </c>
      <c r="E157" s="303">
        <v>16761.599999999999</v>
      </c>
      <c r="F157" s="303"/>
      <c r="G157" s="303"/>
      <c r="H157" s="303"/>
      <c r="I157" s="303"/>
      <c r="J157" s="303"/>
      <c r="K157" s="303"/>
      <c r="L157" s="303"/>
      <c r="M157" s="303"/>
      <c r="N157" s="298">
        <f t="shared" si="5"/>
        <v>0</v>
      </c>
      <c r="O157" s="303"/>
      <c r="P157" s="303"/>
      <c r="Q157" s="303"/>
      <c r="R157" s="297">
        <f t="shared" si="6"/>
        <v>16761.599999999999</v>
      </c>
    </row>
    <row r="158" spans="1:18" ht="19.95" customHeight="1" x14ac:dyDescent="0.25">
      <c r="A158" s="294" t="s">
        <v>237</v>
      </c>
      <c r="B158" s="294">
        <v>112</v>
      </c>
      <c r="C158" s="295" t="s">
        <v>500</v>
      </c>
      <c r="D158" s="295" t="s">
        <v>95</v>
      </c>
      <c r="E158" s="303">
        <v>7682.4</v>
      </c>
      <c r="F158" s="303"/>
      <c r="G158" s="303"/>
      <c r="H158" s="303"/>
      <c r="I158" s="303"/>
      <c r="J158" s="303"/>
      <c r="K158" s="303"/>
      <c r="L158" s="303"/>
      <c r="M158" s="303"/>
      <c r="N158" s="298">
        <f t="shared" si="5"/>
        <v>0</v>
      </c>
      <c r="O158" s="303"/>
      <c r="P158" s="303"/>
      <c r="Q158" s="303"/>
      <c r="R158" s="297">
        <f t="shared" si="6"/>
        <v>7682.4</v>
      </c>
    </row>
    <row r="159" spans="1:18" ht="19.95" customHeight="1" x14ac:dyDescent="0.25">
      <c r="A159" s="294" t="s">
        <v>238</v>
      </c>
      <c r="B159" s="294">
        <v>113</v>
      </c>
      <c r="C159" s="295" t="s">
        <v>500</v>
      </c>
      <c r="D159" s="301" t="s">
        <v>95</v>
      </c>
      <c r="E159" s="303">
        <v>25763.200000000001</v>
      </c>
      <c r="F159" s="303">
        <v>388</v>
      </c>
      <c r="G159" s="303"/>
      <c r="H159" s="303"/>
      <c r="I159" s="303"/>
      <c r="J159" s="303"/>
      <c r="K159" s="303"/>
      <c r="L159" s="303"/>
      <c r="M159" s="303"/>
      <c r="N159" s="298">
        <f t="shared" si="5"/>
        <v>0</v>
      </c>
      <c r="O159" s="303"/>
      <c r="P159" s="303"/>
      <c r="Q159" s="303"/>
      <c r="R159" s="297">
        <f t="shared" si="6"/>
        <v>26151.200000000001</v>
      </c>
    </row>
    <row r="160" spans="1:18" ht="19.95" customHeight="1" x14ac:dyDescent="0.25">
      <c r="A160" s="300" t="s">
        <v>239</v>
      </c>
      <c r="B160" s="294">
        <v>176</v>
      </c>
      <c r="C160" s="295" t="s">
        <v>500</v>
      </c>
      <c r="D160" s="301" t="s">
        <v>87</v>
      </c>
      <c r="E160" s="303">
        <v>1600.5</v>
      </c>
      <c r="F160" s="303"/>
      <c r="G160" s="303"/>
      <c r="H160" s="303"/>
      <c r="I160" s="303"/>
      <c r="J160" s="303"/>
      <c r="K160" s="303"/>
      <c r="L160" s="303"/>
      <c r="M160" s="303"/>
      <c r="N160" s="298">
        <f t="shared" si="5"/>
        <v>0</v>
      </c>
      <c r="O160" s="303"/>
      <c r="P160" s="303"/>
      <c r="Q160" s="303"/>
      <c r="R160" s="297">
        <f t="shared" si="6"/>
        <v>1600.5</v>
      </c>
    </row>
    <row r="161" spans="1:18" ht="19.95" customHeight="1" x14ac:dyDescent="0.25">
      <c r="A161" s="294" t="s">
        <v>372</v>
      </c>
      <c r="B161" s="294">
        <v>524</v>
      </c>
      <c r="C161" s="295" t="s">
        <v>500</v>
      </c>
      <c r="D161" s="295"/>
      <c r="E161" s="303"/>
      <c r="F161" s="303"/>
      <c r="G161" s="303"/>
      <c r="H161" s="303"/>
      <c r="I161" s="303"/>
      <c r="J161" s="303"/>
      <c r="K161" s="303"/>
      <c r="L161" s="303"/>
      <c r="M161" s="303"/>
      <c r="N161" s="298">
        <f t="shared" si="5"/>
        <v>0</v>
      </c>
      <c r="O161" s="303"/>
      <c r="P161" s="303"/>
      <c r="Q161" s="303"/>
      <c r="R161" s="297">
        <f t="shared" si="6"/>
        <v>0</v>
      </c>
    </row>
    <row r="162" spans="1:18" ht="19.95" customHeight="1" x14ac:dyDescent="0.25">
      <c r="A162" s="294" t="s">
        <v>240</v>
      </c>
      <c r="B162" s="294">
        <v>1725</v>
      </c>
      <c r="C162" s="295" t="s">
        <v>500</v>
      </c>
      <c r="D162" s="295"/>
      <c r="E162" s="303"/>
      <c r="F162" s="303"/>
      <c r="G162" s="303"/>
      <c r="H162" s="303"/>
      <c r="I162" s="303"/>
      <c r="J162" s="303"/>
      <c r="K162" s="303"/>
      <c r="L162" s="303"/>
      <c r="M162" s="303"/>
      <c r="N162" s="298">
        <f t="shared" si="5"/>
        <v>0</v>
      </c>
      <c r="O162" s="303"/>
      <c r="P162" s="303"/>
      <c r="Q162" s="303"/>
      <c r="R162" s="297">
        <f t="shared" si="6"/>
        <v>0</v>
      </c>
    </row>
    <row r="163" spans="1:18" ht="19.95" customHeight="1" x14ac:dyDescent="0.25">
      <c r="A163" s="294" t="s">
        <v>241</v>
      </c>
      <c r="B163" s="294">
        <v>116</v>
      </c>
      <c r="C163" s="295" t="s">
        <v>500</v>
      </c>
      <c r="D163" s="301" t="s">
        <v>95</v>
      </c>
      <c r="E163" s="303">
        <v>18195</v>
      </c>
      <c r="F163" s="303"/>
      <c r="G163" s="303"/>
      <c r="H163" s="303"/>
      <c r="I163" s="303"/>
      <c r="J163" s="303">
        <v>471.79</v>
      </c>
      <c r="K163" s="303"/>
      <c r="L163" s="303"/>
      <c r="M163" s="303"/>
      <c r="N163" s="298">
        <f t="shared" si="5"/>
        <v>471.79</v>
      </c>
      <c r="O163" s="303"/>
      <c r="P163" s="303"/>
      <c r="Q163" s="303">
        <v>12500</v>
      </c>
      <c r="R163" s="297">
        <f t="shared" si="6"/>
        <v>31166.79</v>
      </c>
    </row>
    <row r="164" spans="1:18" ht="19.95" customHeight="1" x14ac:dyDescent="0.25">
      <c r="A164" s="294" t="s">
        <v>541</v>
      </c>
      <c r="B164" s="294">
        <v>2255</v>
      </c>
      <c r="C164" s="295" t="s">
        <v>500</v>
      </c>
      <c r="D164" s="301"/>
      <c r="E164" s="303"/>
      <c r="F164" s="303"/>
      <c r="G164" s="303"/>
      <c r="H164" s="303"/>
      <c r="I164" s="303"/>
      <c r="J164" s="303"/>
      <c r="K164" s="303"/>
      <c r="L164" s="303"/>
      <c r="M164" s="303"/>
      <c r="N164" s="298">
        <f t="shared" si="5"/>
        <v>0</v>
      </c>
      <c r="O164" s="303"/>
      <c r="P164" s="303"/>
      <c r="Q164" s="303"/>
      <c r="R164" s="297">
        <f t="shared" si="6"/>
        <v>0</v>
      </c>
    </row>
    <row r="165" spans="1:18" ht="19.95" customHeight="1" x14ac:dyDescent="0.25">
      <c r="A165" s="294" t="s">
        <v>497</v>
      </c>
      <c r="B165" s="294">
        <v>540</v>
      </c>
      <c r="C165" s="295" t="s">
        <v>500</v>
      </c>
      <c r="D165" s="301"/>
      <c r="E165" s="303"/>
      <c r="F165" s="303"/>
      <c r="G165" s="303"/>
      <c r="H165" s="303"/>
      <c r="I165" s="303"/>
      <c r="J165" s="303"/>
      <c r="K165" s="303"/>
      <c r="L165" s="303">
        <v>7707.5</v>
      </c>
      <c r="M165" s="303"/>
      <c r="N165" s="298">
        <f t="shared" si="5"/>
        <v>7707.5</v>
      </c>
      <c r="O165" s="303"/>
      <c r="P165" s="303"/>
      <c r="Q165" s="303"/>
      <c r="R165" s="297">
        <f t="shared" si="6"/>
        <v>7707.5</v>
      </c>
    </row>
    <row r="166" spans="1:18" ht="19.95" customHeight="1" x14ac:dyDescent="0.25">
      <c r="A166" s="294" t="s">
        <v>243</v>
      </c>
      <c r="B166" s="294">
        <v>181</v>
      </c>
      <c r="C166" s="295" t="s">
        <v>500</v>
      </c>
      <c r="D166" s="295"/>
      <c r="E166" s="303"/>
      <c r="F166" s="303"/>
      <c r="G166" s="303"/>
      <c r="H166" s="303"/>
      <c r="I166" s="303"/>
      <c r="J166" s="303"/>
      <c r="K166" s="303"/>
      <c r="L166" s="303"/>
      <c r="M166" s="303"/>
      <c r="N166" s="298">
        <f t="shared" si="5"/>
        <v>0</v>
      </c>
      <c r="O166" s="303"/>
      <c r="P166" s="303"/>
      <c r="Q166" s="303"/>
      <c r="R166" s="297">
        <f t="shared" si="6"/>
        <v>0</v>
      </c>
    </row>
    <row r="167" spans="1:18" ht="19.95" customHeight="1" x14ac:dyDescent="0.25">
      <c r="A167" s="294" t="s">
        <v>244</v>
      </c>
      <c r="B167" s="294">
        <v>508</v>
      </c>
      <c r="C167" s="295" t="s">
        <v>500</v>
      </c>
      <c r="D167" s="295" t="s">
        <v>93</v>
      </c>
      <c r="E167" s="303">
        <v>6111</v>
      </c>
      <c r="F167" s="303"/>
      <c r="G167" s="303"/>
      <c r="H167" s="303"/>
      <c r="I167" s="303"/>
      <c r="J167" s="303"/>
      <c r="K167" s="303"/>
      <c r="L167" s="303"/>
      <c r="M167" s="303"/>
      <c r="N167" s="298">
        <f t="shared" si="5"/>
        <v>0</v>
      </c>
      <c r="O167" s="303"/>
      <c r="P167" s="303"/>
      <c r="Q167" s="303"/>
      <c r="R167" s="297">
        <f t="shared" si="6"/>
        <v>6111</v>
      </c>
    </row>
    <row r="168" spans="1:18" ht="19.95" customHeight="1" x14ac:dyDescent="0.25">
      <c r="A168" s="305" t="s">
        <v>85</v>
      </c>
      <c r="B168" s="306"/>
      <c r="C168" s="306"/>
      <c r="D168" s="306"/>
      <c r="E168" s="307">
        <f>SUM(E68:E167)</f>
        <v>420225.61</v>
      </c>
      <c r="F168" s="307">
        <f t="shared" ref="F168:M168" si="7">SUM(F68:F167)</f>
        <v>7238.63</v>
      </c>
      <c r="G168" s="307">
        <f t="shared" si="7"/>
        <v>1625.03</v>
      </c>
      <c r="H168" s="307">
        <f t="shared" si="7"/>
        <v>0</v>
      </c>
      <c r="I168" s="307">
        <f t="shared" si="7"/>
        <v>0</v>
      </c>
      <c r="J168" s="307">
        <f t="shared" si="7"/>
        <v>3701.22</v>
      </c>
      <c r="K168" s="307">
        <f t="shared" si="7"/>
        <v>0</v>
      </c>
      <c r="L168" s="307">
        <f t="shared" si="7"/>
        <v>33432.69</v>
      </c>
      <c r="M168" s="307">
        <f t="shared" si="7"/>
        <v>3666.6</v>
      </c>
      <c r="N168" s="307">
        <f>SUM(N68:N167)</f>
        <v>42425.539999999994</v>
      </c>
      <c r="O168" s="307">
        <f>SUM(O68:O167)</f>
        <v>0</v>
      </c>
      <c r="P168" s="307">
        <f>SUM(P68:P167)</f>
        <v>0</v>
      </c>
      <c r="Q168" s="307">
        <f>SUM(Q68:Q167)</f>
        <v>103333.34</v>
      </c>
      <c r="R168" s="307">
        <f>SUM(R68:R167)</f>
        <v>573223.12</v>
      </c>
    </row>
    <row r="169" spans="1:18" ht="19.95" customHeight="1" x14ac:dyDescent="0.25">
      <c r="A169" s="293" t="s">
        <v>389</v>
      </c>
      <c r="B169" s="294"/>
      <c r="C169" s="295" t="s">
        <v>501</v>
      </c>
      <c r="D169" s="315" t="s">
        <v>110</v>
      </c>
      <c r="E169" s="316"/>
      <c r="F169" s="316"/>
      <c r="G169" s="316"/>
      <c r="H169" s="316"/>
      <c r="I169" s="316"/>
      <c r="J169" s="316"/>
      <c r="K169" s="316"/>
      <c r="L169" s="316">
        <v>20424.36</v>
      </c>
      <c r="M169" s="316"/>
      <c r="N169" s="298">
        <f>SUM(G169:M169)</f>
        <v>20424.36</v>
      </c>
      <c r="O169" s="316">
        <v>2001.11</v>
      </c>
      <c r="P169" s="316"/>
      <c r="Q169" s="316"/>
      <c r="R169" s="297">
        <f>SUM(E169+F169+N169+O169+P169+Q169)</f>
        <v>22425.47</v>
      </c>
    </row>
    <row r="170" spans="1:18" ht="19.95" customHeight="1" x14ac:dyDescent="0.25">
      <c r="A170" s="317" t="s">
        <v>390</v>
      </c>
      <c r="B170" s="294"/>
      <c r="C170" s="295" t="s">
        <v>501</v>
      </c>
      <c r="D170" s="315"/>
      <c r="E170" s="316">
        <v>7500</v>
      </c>
      <c r="F170" s="316"/>
      <c r="G170" s="316"/>
      <c r="H170" s="316"/>
      <c r="I170" s="316"/>
      <c r="J170" s="316"/>
      <c r="K170" s="316"/>
      <c r="L170" s="316">
        <v>2111.6999999999998</v>
      </c>
      <c r="M170" s="316"/>
      <c r="N170" s="298">
        <f t="shared" ref="N170:N233" si="8">SUM(G170:M170)</f>
        <v>2111.6999999999998</v>
      </c>
      <c r="O170" s="316"/>
      <c r="P170" s="318"/>
      <c r="Q170" s="316">
        <v>5000</v>
      </c>
      <c r="R170" s="297">
        <f t="shared" ref="R170:R233" si="9">SUM(E170+F170+N170+O170+P170+Q170)</f>
        <v>14611.7</v>
      </c>
    </row>
    <row r="171" spans="1:18" ht="19.95" customHeight="1" x14ac:dyDescent="0.25">
      <c r="A171" s="317" t="s">
        <v>391</v>
      </c>
      <c r="B171" s="294"/>
      <c r="C171" s="295" t="s">
        <v>501</v>
      </c>
      <c r="D171" s="319" t="s">
        <v>250</v>
      </c>
      <c r="E171" s="316">
        <v>1324.05</v>
      </c>
      <c r="F171" s="316"/>
      <c r="G171" s="316"/>
      <c r="H171" s="316"/>
      <c r="I171" s="316"/>
      <c r="J171" s="316"/>
      <c r="K171" s="316"/>
      <c r="L171" s="316">
        <v>2592.1</v>
      </c>
      <c r="M171" s="316"/>
      <c r="N171" s="298">
        <f t="shared" si="8"/>
        <v>2592.1</v>
      </c>
      <c r="O171" s="320"/>
      <c r="P171" s="321"/>
      <c r="Q171" s="322"/>
      <c r="R171" s="297">
        <f t="shared" si="9"/>
        <v>3916.1499999999996</v>
      </c>
    </row>
    <row r="172" spans="1:18" ht="19.95" customHeight="1" x14ac:dyDescent="0.25">
      <c r="A172" s="317" t="s">
        <v>392</v>
      </c>
      <c r="B172" s="294"/>
      <c r="C172" s="295" t="s">
        <v>501</v>
      </c>
      <c r="D172" s="315"/>
      <c r="E172" s="316"/>
      <c r="F172" s="316"/>
      <c r="G172" s="316"/>
      <c r="H172" s="316"/>
      <c r="I172" s="316"/>
      <c r="J172" s="316"/>
      <c r="K172" s="316"/>
      <c r="L172" s="316">
        <v>13094.49</v>
      </c>
      <c r="M172" s="316"/>
      <c r="N172" s="298">
        <f t="shared" si="8"/>
        <v>13094.49</v>
      </c>
      <c r="O172" s="320">
        <v>630</v>
      </c>
      <c r="P172" s="321"/>
      <c r="Q172" s="322"/>
      <c r="R172" s="297">
        <f t="shared" si="9"/>
        <v>13724.49</v>
      </c>
    </row>
    <row r="173" spans="1:18" ht="19.95" customHeight="1" x14ac:dyDescent="0.25">
      <c r="A173" s="317" t="s">
        <v>592</v>
      </c>
      <c r="B173" s="294"/>
      <c r="C173" s="295" t="s">
        <v>501</v>
      </c>
      <c r="D173" s="319" t="s">
        <v>250</v>
      </c>
      <c r="E173" s="316">
        <v>5530.8</v>
      </c>
      <c r="F173" s="316"/>
      <c r="G173" s="316"/>
      <c r="H173" s="316"/>
      <c r="I173" s="316"/>
      <c r="J173" s="316"/>
      <c r="K173" s="316"/>
      <c r="L173" s="316">
        <v>2740.22</v>
      </c>
      <c r="M173" s="316"/>
      <c r="N173" s="298">
        <f t="shared" si="8"/>
        <v>2740.22</v>
      </c>
      <c r="O173" s="320"/>
      <c r="P173" s="321"/>
      <c r="Q173" s="322"/>
      <c r="R173" s="297">
        <f t="shared" si="9"/>
        <v>8271.02</v>
      </c>
    </row>
    <row r="174" spans="1:18" ht="19.95" customHeight="1" x14ac:dyDescent="0.25">
      <c r="A174" s="317" t="s">
        <v>593</v>
      </c>
      <c r="B174" s="294"/>
      <c r="C174" s="295" t="s">
        <v>501</v>
      </c>
      <c r="D174" s="315"/>
      <c r="E174" s="316"/>
      <c r="F174" s="316"/>
      <c r="G174" s="316"/>
      <c r="H174" s="316"/>
      <c r="I174" s="316"/>
      <c r="J174" s="316"/>
      <c r="K174" s="316"/>
      <c r="L174" s="316">
        <v>9371.4699999999993</v>
      </c>
      <c r="M174" s="316">
        <v>882.7</v>
      </c>
      <c r="N174" s="298">
        <f t="shared" si="8"/>
        <v>10254.17</v>
      </c>
      <c r="O174" s="316">
        <v>285</v>
      </c>
      <c r="P174" s="323"/>
      <c r="Q174" s="316"/>
      <c r="R174" s="297">
        <f t="shared" si="9"/>
        <v>10539.17</v>
      </c>
    </row>
    <row r="175" spans="1:18" ht="19.95" customHeight="1" x14ac:dyDescent="0.25">
      <c r="A175" s="287" t="s">
        <v>395</v>
      </c>
      <c r="B175" s="294">
        <v>2610</v>
      </c>
      <c r="C175" s="295" t="s">
        <v>501</v>
      </c>
      <c r="D175" s="315" t="s">
        <v>93</v>
      </c>
      <c r="E175" s="316">
        <v>2522</v>
      </c>
      <c r="F175" s="316"/>
      <c r="G175" s="316"/>
      <c r="H175" s="316"/>
      <c r="I175" s="316"/>
      <c r="J175" s="316"/>
      <c r="K175" s="316"/>
      <c r="L175" s="316">
        <v>188.98</v>
      </c>
      <c r="M175" s="316"/>
      <c r="N175" s="298">
        <f t="shared" si="8"/>
        <v>188.98</v>
      </c>
      <c r="O175" s="316"/>
      <c r="P175" s="316"/>
      <c r="Q175" s="316"/>
      <c r="R175" s="297">
        <f t="shared" si="9"/>
        <v>2710.98</v>
      </c>
    </row>
    <row r="176" spans="1:18" ht="19.95" customHeight="1" x14ac:dyDescent="0.25">
      <c r="A176" s="287" t="s">
        <v>268</v>
      </c>
      <c r="B176" s="294">
        <v>1946</v>
      </c>
      <c r="C176" s="295" t="s">
        <v>501</v>
      </c>
      <c r="D176" s="315" t="s">
        <v>352</v>
      </c>
      <c r="E176" s="316">
        <v>7093.13</v>
      </c>
      <c r="F176" s="316"/>
      <c r="G176" s="316"/>
      <c r="H176" s="316"/>
      <c r="I176" s="316"/>
      <c r="J176" s="316"/>
      <c r="K176" s="316"/>
      <c r="L176" s="316">
        <v>22.59</v>
      </c>
      <c r="M176" s="316"/>
      <c r="N176" s="298">
        <f t="shared" si="8"/>
        <v>22.59</v>
      </c>
      <c r="O176" s="316">
        <v>390</v>
      </c>
      <c r="P176" s="316"/>
      <c r="Q176" s="316"/>
      <c r="R176" s="297">
        <f t="shared" si="9"/>
        <v>7505.72</v>
      </c>
    </row>
    <row r="177" spans="1:18" ht="19.95" customHeight="1" x14ac:dyDescent="0.25">
      <c r="A177" s="287" t="s">
        <v>269</v>
      </c>
      <c r="B177" s="294">
        <v>2417</v>
      </c>
      <c r="C177" s="295" t="s">
        <v>501</v>
      </c>
      <c r="D177" s="315" t="s">
        <v>112</v>
      </c>
      <c r="E177" s="316">
        <v>14792.5</v>
      </c>
      <c r="F177" s="316"/>
      <c r="G177" s="316"/>
      <c r="H177" s="316"/>
      <c r="I177" s="316"/>
      <c r="J177" s="316"/>
      <c r="K177" s="316"/>
      <c r="L177" s="316"/>
      <c r="M177" s="316"/>
      <c r="N177" s="298">
        <f t="shared" si="8"/>
        <v>0</v>
      </c>
      <c r="O177" s="316">
        <v>260</v>
      </c>
      <c r="P177" s="316"/>
      <c r="Q177" s="316"/>
      <c r="R177" s="297">
        <f t="shared" si="9"/>
        <v>15052.5</v>
      </c>
    </row>
    <row r="178" spans="1:18" ht="19.95" customHeight="1" x14ac:dyDescent="0.25">
      <c r="A178" s="287" t="s">
        <v>267</v>
      </c>
      <c r="B178" s="294">
        <v>1152</v>
      </c>
      <c r="C178" s="295" t="s">
        <v>501</v>
      </c>
      <c r="D178" s="315" t="s">
        <v>91</v>
      </c>
      <c r="E178" s="316">
        <v>22734.38</v>
      </c>
      <c r="F178" s="316"/>
      <c r="G178" s="316"/>
      <c r="H178" s="316"/>
      <c r="I178" s="316"/>
      <c r="J178" s="316"/>
      <c r="K178" s="316"/>
      <c r="L178" s="316"/>
      <c r="M178" s="316"/>
      <c r="N178" s="298">
        <f t="shared" si="8"/>
        <v>0</v>
      </c>
      <c r="O178" s="316"/>
      <c r="P178" s="316"/>
      <c r="Q178" s="316"/>
      <c r="R178" s="297">
        <f t="shared" si="9"/>
        <v>22734.38</v>
      </c>
    </row>
    <row r="179" spans="1:18" ht="19.95" customHeight="1" x14ac:dyDescent="0.25">
      <c r="A179" s="287" t="s">
        <v>396</v>
      </c>
      <c r="B179" s="294">
        <v>2659</v>
      </c>
      <c r="C179" s="295" t="s">
        <v>501</v>
      </c>
      <c r="D179" s="315"/>
      <c r="E179" s="324"/>
      <c r="F179" s="324"/>
      <c r="G179" s="324"/>
      <c r="H179" s="324"/>
      <c r="I179" s="324"/>
      <c r="J179" s="324"/>
      <c r="K179" s="324"/>
      <c r="L179" s="324">
        <v>3974.62</v>
      </c>
      <c r="M179" s="324"/>
      <c r="N179" s="298">
        <f t="shared" si="8"/>
        <v>3974.62</v>
      </c>
      <c r="O179" s="324"/>
      <c r="P179" s="324"/>
      <c r="Q179" s="324"/>
      <c r="R179" s="297">
        <f t="shared" si="9"/>
        <v>3974.62</v>
      </c>
    </row>
    <row r="180" spans="1:18" ht="19.95" customHeight="1" x14ac:dyDescent="0.25">
      <c r="A180" s="287" t="s">
        <v>594</v>
      </c>
      <c r="B180" s="294">
        <v>2256</v>
      </c>
      <c r="C180" s="295" t="s">
        <v>501</v>
      </c>
      <c r="D180" s="315"/>
      <c r="E180" s="324">
        <v>2364.38</v>
      </c>
      <c r="F180" s="324"/>
      <c r="G180" s="324"/>
      <c r="H180" s="324"/>
      <c r="I180" s="324"/>
      <c r="J180" s="324"/>
      <c r="K180" s="324"/>
      <c r="L180" s="324"/>
      <c r="M180" s="324"/>
      <c r="N180" s="298">
        <f t="shared" si="8"/>
        <v>0</v>
      </c>
      <c r="O180" s="324">
        <v>300</v>
      </c>
      <c r="P180" s="324"/>
      <c r="Q180" s="324"/>
      <c r="R180" s="297">
        <f t="shared" si="9"/>
        <v>2664.38</v>
      </c>
    </row>
    <row r="181" spans="1:18" ht="19.95" customHeight="1" x14ac:dyDescent="0.25">
      <c r="A181" s="287" t="s">
        <v>397</v>
      </c>
      <c r="B181" s="294">
        <v>2147</v>
      </c>
      <c r="C181" s="295" t="s">
        <v>501</v>
      </c>
      <c r="D181" s="319" t="s">
        <v>93</v>
      </c>
      <c r="E181" s="324"/>
      <c r="F181" s="324"/>
      <c r="G181" s="324"/>
      <c r="H181" s="324"/>
      <c r="I181" s="324"/>
      <c r="J181" s="324"/>
      <c r="K181" s="324"/>
      <c r="L181" s="324"/>
      <c r="M181" s="324"/>
      <c r="N181" s="298">
        <f t="shared" si="8"/>
        <v>0</v>
      </c>
      <c r="O181" s="324"/>
      <c r="P181" s="324"/>
      <c r="Q181" s="324"/>
      <c r="R181" s="297">
        <f t="shared" si="9"/>
        <v>0</v>
      </c>
    </row>
    <row r="182" spans="1:18" ht="19.95" customHeight="1" x14ac:dyDescent="0.25">
      <c r="A182" s="287" t="s">
        <v>398</v>
      </c>
      <c r="B182" s="294">
        <v>2377</v>
      </c>
      <c r="C182" s="295" t="s">
        <v>501</v>
      </c>
      <c r="D182" s="319" t="s">
        <v>95</v>
      </c>
      <c r="E182" s="324">
        <v>5519.3</v>
      </c>
      <c r="F182" s="324"/>
      <c r="G182" s="324"/>
      <c r="H182" s="324"/>
      <c r="I182" s="324"/>
      <c r="J182" s="324"/>
      <c r="K182" s="324"/>
      <c r="L182" s="324"/>
      <c r="M182" s="324"/>
      <c r="N182" s="298">
        <f t="shared" si="8"/>
        <v>0</v>
      </c>
      <c r="O182" s="324"/>
      <c r="P182" s="324"/>
      <c r="Q182" s="324"/>
      <c r="R182" s="297">
        <f t="shared" si="9"/>
        <v>5519.3</v>
      </c>
    </row>
    <row r="183" spans="1:18" ht="19.95" customHeight="1" x14ac:dyDescent="0.25">
      <c r="A183" s="287" t="s">
        <v>271</v>
      </c>
      <c r="B183" s="294">
        <v>828</v>
      </c>
      <c r="C183" s="295" t="s">
        <v>501</v>
      </c>
      <c r="D183" s="319"/>
      <c r="E183" s="324"/>
      <c r="F183" s="324"/>
      <c r="G183" s="324"/>
      <c r="H183" s="324"/>
      <c r="I183" s="324"/>
      <c r="J183" s="324"/>
      <c r="K183" s="324"/>
      <c r="L183" s="324">
        <v>203.85</v>
      </c>
      <c r="M183" s="324"/>
      <c r="N183" s="298">
        <f t="shared" si="8"/>
        <v>203.85</v>
      </c>
      <c r="O183" s="324">
        <v>1200</v>
      </c>
      <c r="P183" s="324"/>
      <c r="Q183" s="324"/>
      <c r="R183" s="297">
        <f t="shared" si="9"/>
        <v>1403.85</v>
      </c>
    </row>
    <row r="184" spans="1:18" ht="19.95" customHeight="1" x14ac:dyDescent="0.25">
      <c r="A184" s="287" t="s">
        <v>550</v>
      </c>
      <c r="B184" s="294">
        <v>1815</v>
      </c>
      <c r="C184" s="295" t="s">
        <v>501</v>
      </c>
      <c r="D184" s="319"/>
      <c r="E184" s="324"/>
      <c r="F184" s="324"/>
      <c r="G184" s="324"/>
      <c r="H184" s="324"/>
      <c r="I184" s="324"/>
      <c r="J184" s="324"/>
      <c r="K184" s="324"/>
      <c r="L184" s="324"/>
      <c r="M184" s="324"/>
      <c r="N184" s="298">
        <f t="shared" si="8"/>
        <v>0</v>
      </c>
      <c r="O184" s="324"/>
      <c r="P184" s="324"/>
      <c r="Q184" s="324"/>
      <c r="R184" s="297">
        <f t="shared" si="9"/>
        <v>0</v>
      </c>
    </row>
    <row r="185" spans="1:18" ht="19.95" customHeight="1" x14ac:dyDescent="0.25">
      <c r="A185" s="287" t="s">
        <v>272</v>
      </c>
      <c r="B185" s="294">
        <v>2478</v>
      </c>
      <c r="C185" s="295" t="s">
        <v>501</v>
      </c>
      <c r="D185" s="315" t="s">
        <v>112</v>
      </c>
      <c r="E185" s="324">
        <v>7311.38</v>
      </c>
      <c r="F185" s="324"/>
      <c r="G185" s="324"/>
      <c r="H185" s="324"/>
      <c r="I185" s="324"/>
      <c r="J185" s="324"/>
      <c r="K185" s="324"/>
      <c r="L185" s="324"/>
      <c r="M185" s="324"/>
      <c r="N185" s="298">
        <f t="shared" si="8"/>
        <v>0</v>
      </c>
      <c r="O185" s="324">
        <v>260</v>
      </c>
      <c r="P185" s="324"/>
      <c r="Q185" s="324"/>
      <c r="R185" s="297">
        <f t="shared" si="9"/>
        <v>7571.38</v>
      </c>
    </row>
    <row r="186" spans="1:18" ht="19.95" customHeight="1" x14ac:dyDescent="0.25">
      <c r="A186" s="287" t="s">
        <v>399</v>
      </c>
      <c r="B186" s="294">
        <v>2210</v>
      </c>
      <c r="C186" s="295" t="s">
        <v>501</v>
      </c>
      <c r="D186" s="319" t="s">
        <v>95</v>
      </c>
      <c r="E186" s="324">
        <v>2328</v>
      </c>
      <c r="F186" s="324"/>
      <c r="G186" s="324"/>
      <c r="H186" s="324"/>
      <c r="I186" s="324"/>
      <c r="J186" s="324"/>
      <c r="K186" s="324"/>
      <c r="L186" s="324"/>
      <c r="M186" s="324"/>
      <c r="N186" s="298">
        <f t="shared" si="8"/>
        <v>0</v>
      </c>
      <c r="O186" s="324"/>
      <c r="P186" s="324"/>
      <c r="Q186" s="324"/>
      <c r="R186" s="297">
        <f t="shared" si="9"/>
        <v>2328</v>
      </c>
    </row>
    <row r="187" spans="1:18" ht="19.95" customHeight="1" x14ac:dyDescent="0.25">
      <c r="A187" s="287" t="s">
        <v>400</v>
      </c>
      <c r="B187" s="294">
        <v>2540</v>
      </c>
      <c r="C187" s="295" t="s">
        <v>501</v>
      </c>
      <c r="D187" s="319" t="s">
        <v>93</v>
      </c>
      <c r="E187" s="324"/>
      <c r="F187" s="324"/>
      <c r="G187" s="324"/>
      <c r="H187" s="324"/>
      <c r="I187" s="324"/>
      <c r="J187" s="324"/>
      <c r="K187" s="324"/>
      <c r="L187" s="324"/>
      <c r="M187" s="324"/>
      <c r="N187" s="298">
        <f t="shared" si="8"/>
        <v>0</v>
      </c>
      <c r="O187" s="324"/>
      <c r="P187" s="324"/>
      <c r="Q187" s="324"/>
      <c r="R187" s="297">
        <f t="shared" si="9"/>
        <v>0</v>
      </c>
    </row>
    <row r="188" spans="1:18" ht="19.95" customHeight="1" x14ac:dyDescent="0.25">
      <c r="A188" s="287" t="s">
        <v>274</v>
      </c>
      <c r="B188" s="294">
        <v>2188</v>
      </c>
      <c r="C188" s="295" t="s">
        <v>501</v>
      </c>
      <c r="D188" s="319"/>
      <c r="E188" s="324"/>
      <c r="F188" s="324"/>
      <c r="G188" s="324"/>
      <c r="H188" s="324"/>
      <c r="I188" s="324"/>
      <c r="J188" s="324"/>
      <c r="K188" s="324"/>
      <c r="L188" s="324">
        <v>203.95</v>
      </c>
      <c r="M188" s="324"/>
      <c r="N188" s="298">
        <f t="shared" si="8"/>
        <v>203.95</v>
      </c>
      <c r="O188" s="324"/>
      <c r="P188" s="324"/>
      <c r="Q188" s="324"/>
      <c r="R188" s="297">
        <f t="shared" si="9"/>
        <v>203.95</v>
      </c>
    </row>
    <row r="189" spans="1:18" ht="19.95" customHeight="1" x14ac:dyDescent="0.25">
      <c r="A189" s="287" t="s">
        <v>275</v>
      </c>
      <c r="B189" s="294">
        <v>2757</v>
      </c>
      <c r="C189" s="295" t="s">
        <v>501</v>
      </c>
      <c r="D189" s="319" t="s">
        <v>112</v>
      </c>
      <c r="E189" s="324"/>
      <c r="F189" s="324"/>
      <c r="G189" s="324"/>
      <c r="H189" s="324"/>
      <c r="I189" s="324"/>
      <c r="J189" s="324"/>
      <c r="K189" s="324"/>
      <c r="L189" s="324"/>
      <c r="M189" s="324"/>
      <c r="N189" s="298">
        <f t="shared" si="8"/>
        <v>0</v>
      </c>
      <c r="O189" s="324"/>
      <c r="P189" s="324"/>
      <c r="Q189" s="324"/>
      <c r="R189" s="297">
        <f t="shared" si="9"/>
        <v>0</v>
      </c>
    </row>
    <row r="190" spans="1:18" ht="19.95" customHeight="1" x14ac:dyDescent="0.25">
      <c r="A190" s="287" t="s">
        <v>276</v>
      </c>
      <c r="B190" s="294">
        <v>2163</v>
      </c>
      <c r="C190" s="295" t="s">
        <v>501</v>
      </c>
      <c r="D190" s="315" t="s">
        <v>103</v>
      </c>
      <c r="E190" s="324">
        <v>17350.060000000001</v>
      </c>
      <c r="F190" s="324"/>
      <c r="G190" s="324">
        <v>217.66</v>
      </c>
      <c r="H190" s="324"/>
      <c r="I190" s="324"/>
      <c r="J190" s="324"/>
      <c r="K190" s="324"/>
      <c r="L190" s="324">
        <v>10526.17</v>
      </c>
      <c r="M190" s="324"/>
      <c r="N190" s="298">
        <f t="shared" si="8"/>
        <v>10743.83</v>
      </c>
      <c r="O190" s="324"/>
      <c r="P190" s="324"/>
      <c r="Q190" s="324"/>
      <c r="R190" s="297">
        <f t="shared" si="9"/>
        <v>28093.89</v>
      </c>
    </row>
    <row r="191" spans="1:18" ht="19.95" customHeight="1" x14ac:dyDescent="0.25">
      <c r="A191" s="287" t="s">
        <v>277</v>
      </c>
      <c r="B191" s="294">
        <v>1704</v>
      </c>
      <c r="C191" s="295" t="s">
        <v>501</v>
      </c>
      <c r="D191" s="319"/>
      <c r="E191" s="324"/>
      <c r="F191" s="324"/>
      <c r="G191" s="324"/>
      <c r="H191" s="324"/>
      <c r="I191" s="324"/>
      <c r="J191" s="324"/>
      <c r="K191" s="324"/>
      <c r="L191" s="324">
        <v>3587.76</v>
      </c>
      <c r="M191" s="324"/>
      <c r="N191" s="298">
        <f t="shared" si="8"/>
        <v>3587.76</v>
      </c>
      <c r="O191" s="324">
        <v>1800</v>
      </c>
      <c r="P191" s="324"/>
      <c r="Q191" s="324"/>
      <c r="R191" s="297">
        <f t="shared" si="9"/>
        <v>5387.76</v>
      </c>
    </row>
    <row r="192" spans="1:18" ht="19.95" customHeight="1" x14ac:dyDescent="0.25">
      <c r="A192" s="287" t="s">
        <v>547</v>
      </c>
      <c r="B192" s="294">
        <v>2466</v>
      </c>
      <c r="C192" s="295" t="s">
        <v>501</v>
      </c>
      <c r="D192" s="319" t="s">
        <v>103</v>
      </c>
      <c r="E192" s="324"/>
      <c r="F192" s="324"/>
      <c r="G192" s="324"/>
      <c r="H192" s="324"/>
      <c r="I192" s="324"/>
      <c r="J192" s="324"/>
      <c r="K192" s="324"/>
      <c r="L192" s="324"/>
      <c r="M192" s="324"/>
      <c r="N192" s="298">
        <f t="shared" si="8"/>
        <v>0</v>
      </c>
      <c r="O192" s="324"/>
      <c r="P192" s="324"/>
      <c r="Q192" s="324"/>
      <c r="R192" s="297">
        <f t="shared" si="9"/>
        <v>0</v>
      </c>
    </row>
    <row r="193" spans="1:18" ht="19.95" customHeight="1" x14ac:dyDescent="0.25">
      <c r="A193" s="325" t="s">
        <v>278</v>
      </c>
      <c r="B193" s="294">
        <v>1151</v>
      </c>
      <c r="C193" s="295" t="s">
        <v>501</v>
      </c>
      <c r="D193" s="315" t="s">
        <v>91</v>
      </c>
      <c r="E193" s="326">
        <v>12731.25</v>
      </c>
      <c r="F193" s="324"/>
      <c r="G193" s="324"/>
      <c r="H193" s="324"/>
      <c r="I193" s="324"/>
      <c r="J193" s="324"/>
      <c r="K193" s="324"/>
      <c r="L193" s="324">
        <v>2687.2</v>
      </c>
      <c r="M193" s="324"/>
      <c r="N193" s="298">
        <f t="shared" si="8"/>
        <v>2687.2</v>
      </c>
      <c r="O193" s="326"/>
      <c r="P193" s="324"/>
      <c r="Q193" s="324"/>
      <c r="R193" s="297">
        <f t="shared" si="9"/>
        <v>15418.45</v>
      </c>
    </row>
    <row r="194" spans="1:18" ht="19.95" customHeight="1" x14ac:dyDescent="0.25">
      <c r="A194" s="325" t="s">
        <v>402</v>
      </c>
      <c r="B194" s="294">
        <v>2663</v>
      </c>
      <c r="C194" s="295" t="s">
        <v>501</v>
      </c>
      <c r="D194" s="315" t="s">
        <v>112</v>
      </c>
      <c r="E194" s="326">
        <v>6305</v>
      </c>
      <c r="F194" s="324"/>
      <c r="G194" s="324"/>
      <c r="H194" s="324"/>
      <c r="I194" s="324"/>
      <c r="J194" s="324"/>
      <c r="K194" s="324"/>
      <c r="L194" s="324"/>
      <c r="M194" s="324"/>
      <c r="N194" s="298">
        <f t="shared" si="8"/>
        <v>0</v>
      </c>
      <c r="O194" s="326">
        <v>520</v>
      </c>
      <c r="P194" s="324"/>
      <c r="Q194" s="324"/>
      <c r="R194" s="297">
        <f t="shared" si="9"/>
        <v>6825</v>
      </c>
    </row>
    <row r="195" spans="1:18" ht="19.95" customHeight="1" x14ac:dyDescent="0.25">
      <c r="A195" s="325" t="s">
        <v>280</v>
      </c>
      <c r="B195" s="294">
        <v>1194</v>
      </c>
      <c r="C195" s="295" t="s">
        <v>501</v>
      </c>
      <c r="D195" s="315" t="s">
        <v>93</v>
      </c>
      <c r="E195" s="326">
        <v>970</v>
      </c>
      <c r="F195" s="324"/>
      <c r="G195" s="324"/>
      <c r="H195" s="324"/>
      <c r="I195" s="324"/>
      <c r="J195" s="324">
        <v>565.66999999999996</v>
      </c>
      <c r="K195" s="324"/>
      <c r="L195" s="324">
        <v>775.32</v>
      </c>
      <c r="M195" s="324"/>
      <c r="N195" s="298">
        <f t="shared" si="8"/>
        <v>1340.99</v>
      </c>
      <c r="O195" s="326"/>
      <c r="P195" s="324"/>
      <c r="Q195" s="324"/>
      <c r="R195" s="297">
        <f t="shared" si="9"/>
        <v>2310.9899999999998</v>
      </c>
    </row>
    <row r="196" spans="1:18" ht="19.95" customHeight="1" x14ac:dyDescent="0.25">
      <c r="A196" s="325" t="s">
        <v>403</v>
      </c>
      <c r="B196" s="294">
        <v>2633</v>
      </c>
      <c r="C196" s="295" t="s">
        <v>501</v>
      </c>
      <c r="D196" s="319" t="s">
        <v>93</v>
      </c>
      <c r="E196" s="326">
        <v>2522</v>
      </c>
      <c r="F196" s="324"/>
      <c r="G196" s="324"/>
      <c r="H196" s="324"/>
      <c r="I196" s="324"/>
      <c r="J196" s="324"/>
      <c r="K196" s="324"/>
      <c r="L196" s="324">
        <v>762.91</v>
      </c>
      <c r="M196" s="324"/>
      <c r="N196" s="298">
        <f t="shared" si="8"/>
        <v>762.91</v>
      </c>
      <c r="O196" s="326">
        <v>260</v>
      </c>
      <c r="P196" s="324"/>
      <c r="Q196" s="324"/>
      <c r="R196" s="297">
        <f t="shared" si="9"/>
        <v>3544.91</v>
      </c>
    </row>
    <row r="197" spans="1:18" ht="19.95" customHeight="1" x14ac:dyDescent="0.25">
      <c r="A197" s="325" t="s">
        <v>282</v>
      </c>
      <c r="B197" s="294">
        <v>2595</v>
      </c>
      <c r="C197" s="295" t="s">
        <v>501</v>
      </c>
      <c r="D197" s="315"/>
      <c r="E197" s="326">
        <v>672.53</v>
      </c>
      <c r="F197" s="324"/>
      <c r="G197" s="324"/>
      <c r="H197" s="324"/>
      <c r="I197" s="324"/>
      <c r="J197" s="324"/>
      <c r="K197" s="324"/>
      <c r="L197" s="324">
        <v>2883.95</v>
      </c>
      <c r="M197" s="324"/>
      <c r="N197" s="298">
        <f t="shared" si="8"/>
        <v>2883.95</v>
      </c>
      <c r="O197" s="326"/>
      <c r="P197" s="324"/>
      <c r="Q197" s="324"/>
      <c r="R197" s="297">
        <f t="shared" si="9"/>
        <v>3556.4799999999996</v>
      </c>
    </row>
    <row r="198" spans="1:18" ht="19.95" customHeight="1" x14ac:dyDescent="0.25">
      <c r="A198" s="325" t="s">
        <v>283</v>
      </c>
      <c r="B198" s="294">
        <v>2514</v>
      </c>
      <c r="C198" s="295" t="s">
        <v>501</v>
      </c>
      <c r="D198" s="319" t="s">
        <v>87</v>
      </c>
      <c r="E198" s="326"/>
      <c r="F198" s="324"/>
      <c r="G198" s="324"/>
      <c r="H198" s="324"/>
      <c r="I198" s="324"/>
      <c r="J198" s="324"/>
      <c r="K198" s="324"/>
      <c r="L198" s="324"/>
      <c r="M198" s="324"/>
      <c r="N198" s="298">
        <f t="shared" si="8"/>
        <v>0</v>
      </c>
      <c r="O198" s="326"/>
      <c r="P198" s="324"/>
      <c r="Q198" s="324"/>
      <c r="R198" s="297">
        <f t="shared" si="9"/>
        <v>0</v>
      </c>
    </row>
    <row r="199" spans="1:18" ht="19.95" customHeight="1" x14ac:dyDescent="0.25">
      <c r="A199" s="325" t="s">
        <v>595</v>
      </c>
      <c r="B199" s="294">
        <v>2812</v>
      </c>
      <c r="C199" s="295" t="s">
        <v>501</v>
      </c>
      <c r="D199" s="319" t="s">
        <v>112</v>
      </c>
      <c r="E199" s="326">
        <v>788.13</v>
      </c>
      <c r="F199" s="324"/>
      <c r="G199" s="324"/>
      <c r="H199" s="324"/>
      <c r="I199" s="324"/>
      <c r="J199" s="324"/>
      <c r="K199" s="324"/>
      <c r="L199" s="324"/>
      <c r="M199" s="324"/>
      <c r="N199" s="298">
        <f t="shared" si="8"/>
        <v>0</v>
      </c>
      <c r="O199" s="326">
        <v>260</v>
      </c>
      <c r="P199" s="324"/>
      <c r="Q199" s="324"/>
      <c r="R199" s="297">
        <f t="shared" si="9"/>
        <v>1048.1300000000001</v>
      </c>
    </row>
    <row r="200" spans="1:18" ht="19.95" customHeight="1" x14ac:dyDescent="0.25">
      <c r="A200" s="325" t="s">
        <v>284</v>
      </c>
      <c r="B200" s="294">
        <v>2820</v>
      </c>
      <c r="C200" s="295" t="s">
        <v>501</v>
      </c>
      <c r="D200" s="301" t="s">
        <v>112</v>
      </c>
      <c r="E200" s="326">
        <v>5516.88</v>
      </c>
      <c r="F200" s="324"/>
      <c r="G200" s="324"/>
      <c r="H200" s="324"/>
      <c r="I200" s="324"/>
      <c r="J200" s="324"/>
      <c r="K200" s="324"/>
      <c r="L200" s="324"/>
      <c r="M200" s="324"/>
      <c r="N200" s="298">
        <f t="shared" si="8"/>
        <v>0</v>
      </c>
      <c r="O200" s="326">
        <v>460</v>
      </c>
      <c r="P200" s="324"/>
      <c r="Q200" s="324"/>
      <c r="R200" s="297">
        <f t="shared" si="9"/>
        <v>5976.88</v>
      </c>
    </row>
    <row r="201" spans="1:18" ht="19.95" customHeight="1" x14ac:dyDescent="0.25">
      <c r="A201" s="325" t="s">
        <v>404</v>
      </c>
      <c r="B201" s="294">
        <v>1524</v>
      </c>
      <c r="C201" s="295" t="s">
        <v>501</v>
      </c>
      <c r="D201" s="315" t="s">
        <v>112</v>
      </c>
      <c r="E201" s="326">
        <v>788.13</v>
      </c>
      <c r="F201" s="324"/>
      <c r="G201" s="324"/>
      <c r="H201" s="324"/>
      <c r="I201" s="324"/>
      <c r="J201" s="324"/>
      <c r="K201" s="324"/>
      <c r="L201" s="324"/>
      <c r="M201" s="324"/>
      <c r="N201" s="298">
        <f t="shared" si="8"/>
        <v>0</v>
      </c>
      <c r="O201" s="326"/>
      <c r="P201" s="324"/>
      <c r="Q201" s="324"/>
      <c r="R201" s="297">
        <f t="shared" si="9"/>
        <v>788.13</v>
      </c>
    </row>
    <row r="202" spans="1:18" ht="19.95" customHeight="1" x14ac:dyDescent="0.25">
      <c r="A202" s="325" t="s">
        <v>551</v>
      </c>
      <c r="B202" s="294">
        <v>2420</v>
      </c>
      <c r="C202" s="295" t="s">
        <v>501</v>
      </c>
      <c r="D202" s="315"/>
      <c r="E202" s="326"/>
      <c r="F202" s="324"/>
      <c r="G202" s="324"/>
      <c r="H202" s="324"/>
      <c r="I202" s="324"/>
      <c r="J202" s="324"/>
      <c r="K202" s="324"/>
      <c r="L202" s="324"/>
      <c r="M202" s="324"/>
      <c r="N202" s="298">
        <f t="shared" si="8"/>
        <v>0</v>
      </c>
      <c r="O202" s="326"/>
      <c r="P202" s="324"/>
      <c r="Q202" s="324"/>
      <c r="R202" s="297">
        <f t="shared" si="9"/>
        <v>0</v>
      </c>
    </row>
    <row r="203" spans="1:18" ht="19.95" customHeight="1" x14ac:dyDescent="0.25">
      <c r="A203" s="325" t="s">
        <v>285</v>
      </c>
      <c r="B203" s="294">
        <v>2389</v>
      </c>
      <c r="C203" s="295" t="s">
        <v>501</v>
      </c>
      <c r="D203" s="301" t="s">
        <v>103</v>
      </c>
      <c r="E203" s="326">
        <v>1933.53</v>
      </c>
      <c r="F203" s="324"/>
      <c r="G203" s="324"/>
      <c r="H203" s="324"/>
      <c r="I203" s="324"/>
      <c r="J203" s="324"/>
      <c r="K203" s="324"/>
      <c r="L203" s="324"/>
      <c r="M203" s="324"/>
      <c r="N203" s="298">
        <f t="shared" si="8"/>
        <v>0</v>
      </c>
      <c r="O203" s="326"/>
      <c r="P203" s="326"/>
      <c r="Q203" s="326"/>
      <c r="R203" s="297">
        <f t="shared" si="9"/>
        <v>1933.53</v>
      </c>
    </row>
    <row r="204" spans="1:18" ht="19.95" customHeight="1" x14ac:dyDescent="0.25">
      <c r="A204" s="325" t="s">
        <v>286</v>
      </c>
      <c r="B204" s="294">
        <v>2443</v>
      </c>
      <c r="C204" s="295" t="s">
        <v>501</v>
      </c>
      <c r="D204" s="319" t="s">
        <v>87</v>
      </c>
      <c r="E204" s="326">
        <v>2041.85</v>
      </c>
      <c r="F204" s="324"/>
      <c r="G204" s="324"/>
      <c r="H204" s="324"/>
      <c r="I204" s="324"/>
      <c r="J204" s="324"/>
      <c r="K204" s="324"/>
      <c r="L204" s="324">
        <v>487.39</v>
      </c>
      <c r="M204" s="324"/>
      <c r="N204" s="298">
        <f t="shared" si="8"/>
        <v>487.39</v>
      </c>
      <c r="O204" s="326"/>
      <c r="P204" s="326"/>
      <c r="Q204" s="326"/>
      <c r="R204" s="297">
        <f t="shared" si="9"/>
        <v>2529.2399999999998</v>
      </c>
    </row>
    <row r="205" spans="1:18" ht="19.95" customHeight="1" x14ac:dyDescent="0.25">
      <c r="A205" s="325" t="s">
        <v>287</v>
      </c>
      <c r="B205" s="294">
        <v>2721</v>
      </c>
      <c r="C205" s="295" t="s">
        <v>501</v>
      </c>
      <c r="D205" s="315" t="s">
        <v>352</v>
      </c>
      <c r="E205" s="326">
        <v>16550.63</v>
      </c>
      <c r="F205" s="324"/>
      <c r="G205" s="324"/>
      <c r="H205" s="324"/>
      <c r="I205" s="324"/>
      <c r="J205" s="324"/>
      <c r="K205" s="324"/>
      <c r="L205" s="324">
        <v>45.18</v>
      </c>
      <c r="M205" s="324"/>
      <c r="N205" s="298">
        <f t="shared" si="8"/>
        <v>45.18</v>
      </c>
      <c r="O205" s="326"/>
      <c r="P205" s="326"/>
      <c r="Q205" s="326"/>
      <c r="R205" s="297">
        <f t="shared" si="9"/>
        <v>16595.810000000001</v>
      </c>
    </row>
    <row r="206" spans="1:18" ht="19.95" customHeight="1" x14ac:dyDescent="0.25">
      <c r="A206" s="325" t="s">
        <v>288</v>
      </c>
      <c r="B206" s="294">
        <v>2826</v>
      </c>
      <c r="C206" s="295" t="s">
        <v>501</v>
      </c>
      <c r="D206" s="315" t="s">
        <v>112</v>
      </c>
      <c r="E206" s="326"/>
      <c r="F206" s="324"/>
      <c r="G206" s="324"/>
      <c r="H206" s="324"/>
      <c r="I206" s="324"/>
      <c r="J206" s="324"/>
      <c r="K206" s="324"/>
      <c r="L206" s="324"/>
      <c r="M206" s="324"/>
      <c r="N206" s="298">
        <f t="shared" si="8"/>
        <v>0</v>
      </c>
      <c r="O206" s="326"/>
      <c r="P206" s="326"/>
      <c r="Q206" s="326"/>
      <c r="R206" s="297">
        <f t="shared" si="9"/>
        <v>0</v>
      </c>
    </row>
    <row r="207" spans="1:18" ht="19.95" customHeight="1" x14ac:dyDescent="0.25">
      <c r="A207" s="325" t="s">
        <v>405</v>
      </c>
      <c r="B207" s="294">
        <v>2818</v>
      </c>
      <c r="C207" s="295" t="s">
        <v>501</v>
      </c>
      <c r="D207" s="319" t="s">
        <v>93</v>
      </c>
      <c r="E207" s="326">
        <v>3783</v>
      </c>
      <c r="F207" s="324"/>
      <c r="G207" s="324"/>
      <c r="H207" s="324"/>
      <c r="I207" s="324"/>
      <c r="J207" s="324"/>
      <c r="K207" s="324"/>
      <c r="L207" s="324">
        <v>850.34</v>
      </c>
      <c r="M207" s="324"/>
      <c r="N207" s="298">
        <f t="shared" si="8"/>
        <v>850.34</v>
      </c>
      <c r="O207" s="326"/>
      <c r="P207" s="326"/>
      <c r="Q207" s="326"/>
      <c r="R207" s="297">
        <f t="shared" si="9"/>
        <v>4633.34</v>
      </c>
    </row>
    <row r="208" spans="1:18" ht="19.95" customHeight="1" x14ac:dyDescent="0.25">
      <c r="A208" s="325" t="s">
        <v>406</v>
      </c>
      <c r="B208" s="294">
        <v>2342</v>
      </c>
      <c r="C208" s="295" t="s">
        <v>501</v>
      </c>
      <c r="D208" s="319" t="s">
        <v>352</v>
      </c>
      <c r="E208" s="326">
        <v>2364.38</v>
      </c>
      <c r="F208" s="324"/>
      <c r="G208" s="324"/>
      <c r="H208" s="324"/>
      <c r="I208" s="324"/>
      <c r="J208" s="324"/>
      <c r="K208" s="324"/>
      <c r="L208" s="324">
        <v>81.540000000000006</v>
      </c>
      <c r="M208" s="324">
        <v>1513.2</v>
      </c>
      <c r="N208" s="298">
        <f t="shared" si="8"/>
        <v>1594.74</v>
      </c>
      <c r="O208" s="326"/>
      <c r="P208" s="326"/>
      <c r="Q208" s="326">
        <v>7500</v>
      </c>
      <c r="R208" s="297">
        <f t="shared" si="9"/>
        <v>11459.119999999999</v>
      </c>
    </row>
    <row r="209" spans="1:18" ht="19.95" customHeight="1" x14ac:dyDescent="0.25">
      <c r="A209" s="325" t="s">
        <v>552</v>
      </c>
      <c r="B209" s="294">
        <v>2741</v>
      </c>
      <c r="C209" s="295" t="s">
        <v>501</v>
      </c>
      <c r="D209" s="319"/>
      <c r="E209" s="326"/>
      <c r="F209" s="324"/>
      <c r="G209" s="324"/>
      <c r="H209" s="324"/>
      <c r="I209" s="324"/>
      <c r="J209" s="324"/>
      <c r="K209" s="324"/>
      <c r="L209" s="324"/>
      <c r="M209" s="324"/>
      <c r="N209" s="298">
        <f t="shared" si="8"/>
        <v>0</v>
      </c>
      <c r="O209" s="326"/>
      <c r="P209" s="326"/>
      <c r="Q209" s="326"/>
      <c r="R209" s="297">
        <f t="shared" si="9"/>
        <v>0</v>
      </c>
    </row>
    <row r="210" spans="1:18" ht="19.95" customHeight="1" x14ac:dyDescent="0.25">
      <c r="A210" s="325" t="s">
        <v>407</v>
      </c>
      <c r="B210" s="294">
        <v>2723</v>
      </c>
      <c r="C210" s="295" t="s">
        <v>501</v>
      </c>
      <c r="D210" s="301"/>
      <c r="E210" s="326"/>
      <c r="F210" s="324"/>
      <c r="G210" s="324"/>
      <c r="H210" s="324"/>
      <c r="I210" s="324"/>
      <c r="J210" s="324"/>
      <c r="K210" s="324"/>
      <c r="L210" s="324"/>
      <c r="M210" s="324"/>
      <c r="N210" s="298">
        <f t="shared" si="8"/>
        <v>0</v>
      </c>
      <c r="O210" s="326"/>
      <c r="P210" s="326"/>
      <c r="Q210" s="326"/>
      <c r="R210" s="297">
        <f t="shared" si="9"/>
        <v>0</v>
      </c>
    </row>
    <row r="211" spans="1:18" ht="19.95" customHeight="1" x14ac:dyDescent="0.25">
      <c r="A211" s="325" t="s">
        <v>289</v>
      </c>
      <c r="B211" s="294">
        <v>2586</v>
      </c>
      <c r="C211" s="295" t="s">
        <v>501</v>
      </c>
      <c r="D211" s="315" t="s">
        <v>93</v>
      </c>
      <c r="E211" s="326">
        <v>5044</v>
      </c>
      <c r="F211" s="324"/>
      <c r="G211" s="324"/>
      <c r="H211" s="324"/>
      <c r="I211" s="324"/>
      <c r="J211" s="324"/>
      <c r="K211" s="324"/>
      <c r="L211" s="324">
        <v>4421.18</v>
      </c>
      <c r="M211" s="324"/>
      <c r="N211" s="298">
        <f t="shared" si="8"/>
        <v>4421.18</v>
      </c>
      <c r="O211" s="326"/>
      <c r="P211" s="326"/>
      <c r="Q211" s="326"/>
      <c r="R211" s="297">
        <f t="shared" si="9"/>
        <v>9465.18</v>
      </c>
    </row>
    <row r="212" spans="1:18" ht="19.95" customHeight="1" x14ac:dyDescent="0.25">
      <c r="A212" s="325" t="s">
        <v>290</v>
      </c>
      <c r="B212" s="294">
        <v>2694</v>
      </c>
      <c r="C212" s="295" t="s">
        <v>501</v>
      </c>
      <c r="D212" s="315" t="s">
        <v>103</v>
      </c>
      <c r="E212" s="326">
        <v>3867.06</v>
      </c>
      <c r="F212" s="324"/>
      <c r="G212" s="324"/>
      <c r="H212" s="324"/>
      <c r="I212" s="324"/>
      <c r="J212" s="324"/>
      <c r="K212" s="324"/>
      <c r="L212" s="324">
        <v>2021.66</v>
      </c>
      <c r="M212" s="324"/>
      <c r="N212" s="298">
        <f t="shared" si="8"/>
        <v>2021.66</v>
      </c>
      <c r="O212" s="326">
        <v>1501.49</v>
      </c>
      <c r="P212" s="326"/>
      <c r="Q212" s="326"/>
      <c r="R212" s="297">
        <f t="shared" si="9"/>
        <v>7390.21</v>
      </c>
    </row>
    <row r="213" spans="1:18" ht="19.95" customHeight="1" x14ac:dyDescent="0.25">
      <c r="A213" s="325" t="s">
        <v>553</v>
      </c>
      <c r="B213" s="294">
        <v>2709</v>
      </c>
      <c r="C213" s="295" t="s">
        <v>501</v>
      </c>
      <c r="D213" s="315"/>
      <c r="E213" s="326"/>
      <c r="F213" s="324"/>
      <c r="G213" s="324"/>
      <c r="H213" s="324"/>
      <c r="I213" s="324"/>
      <c r="J213" s="324"/>
      <c r="K213" s="324"/>
      <c r="L213" s="324">
        <v>197.5</v>
      </c>
      <c r="M213" s="324"/>
      <c r="N213" s="298">
        <f t="shared" si="8"/>
        <v>197.5</v>
      </c>
      <c r="O213" s="326"/>
      <c r="P213" s="326"/>
      <c r="Q213" s="326"/>
      <c r="R213" s="297">
        <f t="shared" si="9"/>
        <v>197.5</v>
      </c>
    </row>
    <row r="214" spans="1:18" ht="19.95" customHeight="1" x14ac:dyDescent="0.25">
      <c r="A214" s="325" t="s">
        <v>408</v>
      </c>
      <c r="B214" s="294">
        <v>2746</v>
      </c>
      <c r="C214" s="295" t="s">
        <v>501</v>
      </c>
      <c r="D214" s="301" t="s">
        <v>112</v>
      </c>
      <c r="E214" s="326"/>
      <c r="F214" s="324"/>
      <c r="G214" s="324"/>
      <c r="H214" s="324"/>
      <c r="I214" s="324"/>
      <c r="J214" s="324"/>
      <c r="K214" s="324"/>
      <c r="L214" s="324"/>
      <c r="M214" s="324"/>
      <c r="N214" s="298">
        <f t="shared" si="8"/>
        <v>0</v>
      </c>
      <c r="O214" s="326"/>
      <c r="P214" s="326"/>
      <c r="Q214" s="326"/>
      <c r="R214" s="297">
        <f t="shared" si="9"/>
        <v>0</v>
      </c>
    </row>
    <row r="215" spans="1:18" ht="19.95" customHeight="1" x14ac:dyDescent="0.25">
      <c r="A215" s="325" t="s">
        <v>596</v>
      </c>
      <c r="B215" s="294">
        <v>2878</v>
      </c>
      <c r="C215" s="295" t="s">
        <v>501</v>
      </c>
      <c r="D215" s="301" t="s">
        <v>103</v>
      </c>
      <c r="E215" s="326">
        <v>1261</v>
      </c>
      <c r="F215" s="324"/>
      <c r="G215" s="324"/>
      <c r="H215" s="324"/>
      <c r="I215" s="324"/>
      <c r="J215" s="324"/>
      <c r="K215" s="324"/>
      <c r="L215" s="324">
        <v>69.86</v>
      </c>
      <c r="M215" s="324"/>
      <c r="N215" s="298">
        <f t="shared" si="8"/>
        <v>69.86</v>
      </c>
      <c r="O215" s="326"/>
      <c r="P215" s="326"/>
      <c r="Q215" s="326"/>
      <c r="R215" s="297">
        <f t="shared" si="9"/>
        <v>1330.86</v>
      </c>
    </row>
    <row r="216" spans="1:18" ht="19.95" customHeight="1" x14ac:dyDescent="0.25">
      <c r="A216" s="325" t="s">
        <v>254</v>
      </c>
      <c r="B216" s="294">
        <v>641</v>
      </c>
      <c r="C216" s="295" t="s">
        <v>501</v>
      </c>
      <c r="D216" s="315" t="s">
        <v>250</v>
      </c>
      <c r="E216" s="326">
        <v>7089.45</v>
      </c>
      <c r="F216" s="324"/>
      <c r="G216" s="324"/>
      <c r="H216" s="324"/>
      <c r="I216" s="324"/>
      <c r="J216" s="324"/>
      <c r="K216" s="324"/>
      <c r="L216" s="324">
        <v>13997.34</v>
      </c>
      <c r="M216" s="324"/>
      <c r="N216" s="298">
        <f t="shared" si="8"/>
        <v>13997.34</v>
      </c>
      <c r="O216" s="326">
        <v>510</v>
      </c>
      <c r="P216" s="326"/>
      <c r="Q216" s="326"/>
      <c r="R216" s="297">
        <f t="shared" si="9"/>
        <v>21596.79</v>
      </c>
    </row>
    <row r="217" spans="1:18" ht="19.95" customHeight="1" x14ac:dyDescent="0.25">
      <c r="A217" s="325" t="s">
        <v>292</v>
      </c>
      <c r="B217" s="294">
        <v>1505</v>
      </c>
      <c r="C217" s="295" t="s">
        <v>501</v>
      </c>
      <c r="D217" s="315" t="s">
        <v>95</v>
      </c>
      <c r="E217" s="326">
        <v>7820.63</v>
      </c>
      <c r="F217" s="324"/>
      <c r="G217" s="324"/>
      <c r="H217" s="324"/>
      <c r="I217" s="324"/>
      <c r="J217" s="324"/>
      <c r="K217" s="324"/>
      <c r="L217" s="324"/>
      <c r="M217" s="324"/>
      <c r="N217" s="298">
        <f t="shared" si="8"/>
        <v>0</v>
      </c>
      <c r="O217" s="326"/>
      <c r="P217" s="326"/>
      <c r="Q217" s="326"/>
      <c r="R217" s="297">
        <f t="shared" si="9"/>
        <v>7820.63</v>
      </c>
    </row>
    <row r="218" spans="1:18" ht="19.95" customHeight="1" x14ac:dyDescent="0.25">
      <c r="A218" s="325" t="s">
        <v>293</v>
      </c>
      <c r="B218" s="294">
        <v>391</v>
      </c>
      <c r="C218" s="295" t="s">
        <v>501</v>
      </c>
      <c r="D218" s="315" t="s">
        <v>93</v>
      </c>
      <c r="E218" s="326">
        <v>2522</v>
      </c>
      <c r="F218" s="324"/>
      <c r="G218" s="324"/>
      <c r="H218" s="324"/>
      <c r="I218" s="324"/>
      <c r="J218" s="324"/>
      <c r="K218" s="324"/>
      <c r="L218" s="324">
        <v>2919.37</v>
      </c>
      <c r="M218" s="324"/>
      <c r="N218" s="298">
        <f t="shared" si="8"/>
        <v>2919.37</v>
      </c>
      <c r="O218" s="326">
        <v>260</v>
      </c>
      <c r="P218" s="326"/>
      <c r="Q218" s="326"/>
      <c r="R218" s="297">
        <f t="shared" si="9"/>
        <v>5701.37</v>
      </c>
    </row>
    <row r="219" spans="1:18" ht="19.95" customHeight="1" x14ac:dyDescent="0.25">
      <c r="A219" s="325" t="s">
        <v>409</v>
      </c>
      <c r="B219" s="294">
        <v>2810</v>
      </c>
      <c r="C219" s="295" t="s">
        <v>501</v>
      </c>
      <c r="D219" s="319" t="s">
        <v>87</v>
      </c>
      <c r="E219" s="326">
        <v>3152.5</v>
      </c>
      <c r="F219" s="324"/>
      <c r="G219" s="324"/>
      <c r="H219" s="324"/>
      <c r="I219" s="324"/>
      <c r="J219" s="324"/>
      <c r="K219" s="324"/>
      <c r="L219" s="324">
        <v>298.98</v>
      </c>
      <c r="M219" s="324"/>
      <c r="N219" s="298">
        <f t="shared" si="8"/>
        <v>298.98</v>
      </c>
      <c r="O219" s="326"/>
      <c r="P219" s="326"/>
      <c r="Q219" s="326"/>
      <c r="R219" s="297">
        <f t="shared" si="9"/>
        <v>3451.48</v>
      </c>
    </row>
    <row r="220" spans="1:18" ht="19.95" customHeight="1" x14ac:dyDescent="0.25">
      <c r="A220" s="325" t="s">
        <v>295</v>
      </c>
      <c r="B220" s="294">
        <v>2183</v>
      </c>
      <c r="C220" s="295" t="s">
        <v>501</v>
      </c>
      <c r="D220" s="301" t="s">
        <v>95</v>
      </c>
      <c r="E220" s="326">
        <v>12183.2</v>
      </c>
      <c r="F220" s="324"/>
      <c r="G220" s="324"/>
      <c r="H220" s="324"/>
      <c r="I220" s="324"/>
      <c r="J220" s="324"/>
      <c r="K220" s="324"/>
      <c r="L220" s="324"/>
      <c r="M220" s="324"/>
      <c r="N220" s="298">
        <f t="shared" si="8"/>
        <v>0</v>
      </c>
      <c r="O220" s="326">
        <v>520</v>
      </c>
      <c r="P220" s="326"/>
      <c r="Q220" s="326"/>
      <c r="R220" s="297">
        <f t="shared" si="9"/>
        <v>12703.2</v>
      </c>
    </row>
    <row r="221" spans="1:18" ht="19.95" customHeight="1" x14ac:dyDescent="0.25">
      <c r="A221" s="325" t="s">
        <v>297</v>
      </c>
      <c r="B221" s="294">
        <v>2700</v>
      </c>
      <c r="C221" s="295" t="s">
        <v>501</v>
      </c>
      <c r="D221" s="301"/>
      <c r="E221" s="326"/>
      <c r="F221" s="324"/>
      <c r="G221" s="324"/>
      <c r="H221" s="324"/>
      <c r="I221" s="324"/>
      <c r="J221" s="324"/>
      <c r="K221" s="324"/>
      <c r="L221" s="324">
        <v>978.48</v>
      </c>
      <c r="M221" s="324"/>
      <c r="N221" s="298">
        <f t="shared" si="8"/>
        <v>978.48</v>
      </c>
      <c r="O221" s="326">
        <v>600</v>
      </c>
      <c r="P221" s="326"/>
      <c r="Q221" s="326"/>
      <c r="R221" s="297">
        <f t="shared" si="9"/>
        <v>1578.48</v>
      </c>
    </row>
    <row r="222" spans="1:18" ht="19.95" customHeight="1" x14ac:dyDescent="0.25">
      <c r="A222" s="325" t="s">
        <v>298</v>
      </c>
      <c r="B222" s="294">
        <v>2605</v>
      </c>
      <c r="C222" s="295" t="s">
        <v>501</v>
      </c>
      <c r="D222" s="301" t="s">
        <v>103</v>
      </c>
      <c r="E222" s="326">
        <v>6098.06</v>
      </c>
      <c r="F222" s="324"/>
      <c r="G222" s="324"/>
      <c r="H222" s="324"/>
      <c r="I222" s="324"/>
      <c r="J222" s="324"/>
      <c r="K222" s="324"/>
      <c r="L222" s="324">
        <v>8344.77</v>
      </c>
      <c r="M222" s="324"/>
      <c r="N222" s="298">
        <f t="shared" si="8"/>
        <v>8344.77</v>
      </c>
      <c r="O222" s="326">
        <v>260</v>
      </c>
      <c r="P222" s="326"/>
      <c r="Q222" s="326"/>
      <c r="R222" s="297">
        <f t="shared" si="9"/>
        <v>14702.830000000002</v>
      </c>
    </row>
    <row r="223" spans="1:18" ht="19.95" customHeight="1" x14ac:dyDescent="0.25">
      <c r="A223" s="325" t="s">
        <v>410</v>
      </c>
      <c r="B223" s="294">
        <v>2692</v>
      </c>
      <c r="C223" s="295" t="s">
        <v>501</v>
      </c>
      <c r="D223" s="301" t="s">
        <v>93</v>
      </c>
      <c r="E223" s="326">
        <v>2522</v>
      </c>
      <c r="F223" s="324"/>
      <c r="G223" s="324"/>
      <c r="H223" s="324"/>
      <c r="I223" s="324"/>
      <c r="J223" s="324"/>
      <c r="K223" s="324"/>
      <c r="L223" s="324">
        <v>354.32</v>
      </c>
      <c r="M223" s="324"/>
      <c r="N223" s="298">
        <f t="shared" si="8"/>
        <v>354.32</v>
      </c>
      <c r="O223" s="326">
        <v>1631.04</v>
      </c>
      <c r="P223" s="326"/>
      <c r="Q223" s="326"/>
      <c r="R223" s="297">
        <f t="shared" si="9"/>
        <v>4507.3600000000006</v>
      </c>
    </row>
    <row r="224" spans="1:18" ht="19.95" customHeight="1" x14ac:dyDescent="0.25">
      <c r="A224" s="325" t="s">
        <v>554</v>
      </c>
      <c r="B224" s="294">
        <v>2498</v>
      </c>
      <c r="C224" s="295" t="s">
        <v>501</v>
      </c>
      <c r="D224" s="301" t="s">
        <v>95</v>
      </c>
      <c r="E224" s="326">
        <v>8613.6</v>
      </c>
      <c r="F224" s="324"/>
      <c r="G224" s="324"/>
      <c r="H224" s="324"/>
      <c r="I224" s="324"/>
      <c r="J224" s="324"/>
      <c r="K224" s="324"/>
      <c r="L224" s="324"/>
      <c r="M224" s="324"/>
      <c r="N224" s="298">
        <f t="shared" si="8"/>
        <v>0</v>
      </c>
      <c r="O224" s="326">
        <v>1040</v>
      </c>
      <c r="P224" s="326"/>
      <c r="Q224" s="326"/>
      <c r="R224" s="297">
        <f t="shared" si="9"/>
        <v>9653.6</v>
      </c>
    </row>
    <row r="225" spans="1:18" ht="19.95" customHeight="1" x14ac:dyDescent="0.25">
      <c r="A225" s="325" t="s">
        <v>411</v>
      </c>
      <c r="B225" s="294">
        <v>2683</v>
      </c>
      <c r="C225" s="295" t="s">
        <v>501</v>
      </c>
      <c r="D225" s="301"/>
      <c r="E225" s="326"/>
      <c r="F225" s="324"/>
      <c r="G225" s="324"/>
      <c r="H225" s="324"/>
      <c r="I225" s="324"/>
      <c r="J225" s="324"/>
      <c r="K225" s="324"/>
      <c r="L225" s="324"/>
      <c r="M225" s="324"/>
      <c r="N225" s="298">
        <f t="shared" si="8"/>
        <v>0</v>
      </c>
      <c r="O225" s="326"/>
      <c r="P225" s="326"/>
      <c r="Q225" s="326"/>
      <c r="R225" s="297">
        <f t="shared" si="9"/>
        <v>0</v>
      </c>
    </row>
    <row r="226" spans="1:18" ht="19.95" customHeight="1" x14ac:dyDescent="0.25">
      <c r="A226" s="325" t="s">
        <v>412</v>
      </c>
      <c r="B226" s="294">
        <v>2778</v>
      </c>
      <c r="C226" s="295" t="s">
        <v>501</v>
      </c>
      <c r="D226" s="301" t="s">
        <v>87</v>
      </c>
      <c r="E226" s="326"/>
      <c r="F226" s="324"/>
      <c r="G226" s="324"/>
      <c r="H226" s="324"/>
      <c r="I226" s="324"/>
      <c r="J226" s="324"/>
      <c r="K226" s="324"/>
      <c r="L226" s="324"/>
      <c r="M226" s="324"/>
      <c r="N226" s="298">
        <f t="shared" si="8"/>
        <v>0</v>
      </c>
      <c r="O226" s="326"/>
      <c r="P226" s="326"/>
      <c r="Q226" s="326"/>
      <c r="R226" s="297">
        <f t="shared" si="9"/>
        <v>0</v>
      </c>
    </row>
    <row r="227" spans="1:18" ht="19.95" customHeight="1" x14ac:dyDescent="0.25">
      <c r="A227" s="325" t="s">
        <v>413</v>
      </c>
      <c r="B227" s="294">
        <v>2594</v>
      </c>
      <c r="C227" s="295" t="s">
        <v>501</v>
      </c>
      <c r="D227" s="315" t="s">
        <v>250</v>
      </c>
      <c r="E227" s="326">
        <v>3765.4</v>
      </c>
      <c r="F227" s="324"/>
      <c r="G227" s="324"/>
      <c r="H227" s="324"/>
      <c r="I227" s="324"/>
      <c r="J227" s="324"/>
      <c r="K227" s="324"/>
      <c r="L227" s="324">
        <v>1703.38</v>
      </c>
      <c r="M227" s="324"/>
      <c r="N227" s="298">
        <f t="shared" si="8"/>
        <v>1703.38</v>
      </c>
      <c r="O227" s="326"/>
      <c r="P227" s="326"/>
      <c r="Q227" s="326"/>
      <c r="R227" s="297">
        <f t="shared" si="9"/>
        <v>5468.7800000000007</v>
      </c>
    </row>
    <row r="228" spans="1:18" ht="19.95" customHeight="1" x14ac:dyDescent="0.25">
      <c r="A228" s="325" t="s">
        <v>414</v>
      </c>
      <c r="B228" s="294">
        <v>2640</v>
      </c>
      <c r="C228" s="295" t="s">
        <v>501</v>
      </c>
      <c r="D228" s="315" t="s">
        <v>87</v>
      </c>
      <c r="E228" s="326"/>
      <c r="F228" s="324"/>
      <c r="G228" s="324"/>
      <c r="H228" s="324"/>
      <c r="I228" s="324"/>
      <c r="J228" s="324"/>
      <c r="K228" s="324"/>
      <c r="L228" s="324"/>
      <c r="M228" s="324"/>
      <c r="N228" s="298">
        <f t="shared" si="8"/>
        <v>0</v>
      </c>
      <c r="O228" s="326"/>
      <c r="P228" s="326"/>
      <c r="Q228" s="326"/>
      <c r="R228" s="297">
        <f t="shared" si="9"/>
        <v>0</v>
      </c>
    </row>
    <row r="229" spans="1:18" ht="19.95" customHeight="1" x14ac:dyDescent="0.25">
      <c r="A229" s="325" t="s">
        <v>415</v>
      </c>
      <c r="B229" s="294">
        <v>2413</v>
      </c>
      <c r="C229" s="295" t="s">
        <v>501</v>
      </c>
      <c r="D229" s="319" t="s">
        <v>95</v>
      </c>
      <c r="E229" s="326"/>
      <c r="F229" s="324"/>
      <c r="G229" s="324"/>
      <c r="H229" s="324"/>
      <c r="I229" s="324"/>
      <c r="J229" s="324"/>
      <c r="K229" s="324"/>
      <c r="L229" s="324"/>
      <c r="M229" s="324"/>
      <c r="N229" s="298">
        <f t="shared" si="8"/>
        <v>0</v>
      </c>
      <c r="O229" s="326"/>
      <c r="P229" s="326"/>
      <c r="Q229" s="326"/>
      <c r="R229" s="297">
        <f t="shared" si="9"/>
        <v>0</v>
      </c>
    </row>
    <row r="230" spans="1:18" ht="19.95" customHeight="1" x14ac:dyDescent="0.25">
      <c r="A230" s="325" t="s">
        <v>416</v>
      </c>
      <c r="B230" s="294">
        <v>2596</v>
      </c>
      <c r="C230" s="295" t="s">
        <v>501</v>
      </c>
      <c r="D230" s="315" t="s">
        <v>103</v>
      </c>
      <c r="E230" s="326">
        <v>6098.06</v>
      </c>
      <c r="F230" s="324"/>
      <c r="G230" s="324"/>
      <c r="H230" s="324"/>
      <c r="I230" s="324"/>
      <c r="J230" s="324"/>
      <c r="K230" s="324"/>
      <c r="L230" s="324">
        <v>1855.23</v>
      </c>
      <c r="M230" s="324"/>
      <c r="N230" s="298">
        <f t="shared" si="8"/>
        <v>1855.23</v>
      </c>
      <c r="O230" s="326"/>
      <c r="P230" s="326"/>
      <c r="Q230" s="326"/>
      <c r="R230" s="297">
        <f t="shared" si="9"/>
        <v>7953.2900000000009</v>
      </c>
    </row>
    <row r="231" spans="1:18" ht="19.95" customHeight="1" x14ac:dyDescent="0.25">
      <c r="A231" s="325" t="s">
        <v>417</v>
      </c>
      <c r="B231" s="294">
        <v>1202</v>
      </c>
      <c r="C231" s="295" t="s">
        <v>501</v>
      </c>
      <c r="D231" s="315" t="s">
        <v>95</v>
      </c>
      <c r="E231" s="326">
        <v>19642.5</v>
      </c>
      <c r="F231" s="324"/>
      <c r="G231" s="324"/>
      <c r="H231" s="324"/>
      <c r="I231" s="324"/>
      <c r="J231" s="324"/>
      <c r="K231" s="324"/>
      <c r="L231" s="324"/>
      <c r="M231" s="324"/>
      <c r="N231" s="298">
        <f t="shared" si="8"/>
        <v>0</v>
      </c>
      <c r="O231" s="326">
        <v>500</v>
      </c>
      <c r="P231" s="326"/>
      <c r="Q231" s="326"/>
      <c r="R231" s="297">
        <f t="shared" si="9"/>
        <v>20142.5</v>
      </c>
    </row>
    <row r="232" spans="1:18" ht="19.95" customHeight="1" x14ac:dyDescent="0.25">
      <c r="A232" s="325" t="s">
        <v>418</v>
      </c>
      <c r="B232" s="294">
        <v>2660</v>
      </c>
      <c r="C232" s="295" t="s">
        <v>501</v>
      </c>
      <c r="D232" s="315" t="s">
        <v>103</v>
      </c>
      <c r="E232" s="326"/>
      <c r="F232" s="324"/>
      <c r="G232" s="324"/>
      <c r="H232" s="324"/>
      <c r="I232" s="324"/>
      <c r="J232" s="324"/>
      <c r="K232" s="324"/>
      <c r="L232" s="324">
        <v>1661.56</v>
      </c>
      <c r="M232" s="324"/>
      <c r="N232" s="298">
        <f t="shared" si="8"/>
        <v>1661.56</v>
      </c>
      <c r="O232" s="326"/>
      <c r="P232" s="326"/>
      <c r="Q232" s="326"/>
      <c r="R232" s="297">
        <f t="shared" si="9"/>
        <v>1661.56</v>
      </c>
    </row>
    <row r="233" spans="1:18" ht="19.95" customHeight="1" x14ac:dyDescent="0.25">
      <c r="A233" s="325" t="s">
        <v>303</v>
      </c>
      <c r="B233" s="294">
        <v>963</v>
      </c>
      <c r="C233" s="295" t="s">
        <v>501</v>
      </c>
      <c r="D233" s="319"/>
      <c r="E233" s="326"/>
      <c r="F233" s="324"/>
      <c r="G233" s="324"/>
      <c r="H233" s="324"/>
      <c r="I233" s="324"/>
      <c r="J233" s="324"/>
      <c r="K233" s="324"/>
      <c r="L233" s="324">
        <v>1221.76</v>
      </c>
      <c r="M233" s="324"/>
      <c r="N233" s="298">
        <f t="shared" si="8"/>
        <v>1221.76</v>
      </c>
      <c r="O233" s="326"/>
      <c r="P233" s="326"/>
      <c r="Q233" s="326"/>
      <c r="R233" s="297">
        <f t="shared" si="9"/>
        <v>1221.76</v>
      </c>
    </row>
    <row r="234" spans="1:18" ht="19.95" customHeight="1" x14ac:dyDescent="0.25">
      <c r="A234" s="325" t="s">
        <v>555</v>
      </c>
      <c r="B234" s="294">
        <v>2532</v>
      </c>
      <c r="C234" s="295" t="s">
        <v>501</v>
      </c>
      <c r="D234" s="319" t="s">
        <v>112</v>
      </c>
      <c r="E234" s="326">
        <v>1576.25</v>
      </c>
      <c r="F234" s="324"/>
      <c r="G234" s="324"/>
      <c r="H234" s="324"/>
      <c r="I234" s="324"/>
      <c r="J234" s="324"/>
      <c r="K234" s="324"/>
      <c r="L234" s="324"/>
      <c r="M234" s="324"/>
      <c r="N234" s="298">
        <f t="shared" ref="N234:N297" si="10">SUM(G234:M234)</f>
        <v>0</v>
      </c>
      <c r="O234" s="326"/>
      <c r="P234" s="326"/>
      <c r="Q234" s="326"/>
      <c r="R234" s="297">
        <f t="shared" ref="R234:R297" si="11">SUM(E234+F234+N234+O234+P234+Q234)</f>
        <v>1576.25</v>
      </c>
    </row>
    <row r="235" spans="1:18" ht="19.95" customHeight="1" x14ac:dyDescent="0.25">
      <c r="A235" s="325" t="s">
        <v>306</v>
      </c>
      <c r="B235" s="294">
        <v>439</v>
      </c>
      <c r="C235" s="295" t="s">
        <v>501</v>
      </c>
      <c r="D235" s="301"/>
      <c r="E235" s="326"/>
      <c r="F235" s="324"/>
      <c r="G235" s="324"/>
      <c r="H235" s="324"/>
      <c r="I235" s="324"/>
      <c r="J235" s="324"/>
      <c r="K235" s="324"/>
      <c r="L235" s="324"/>
      <c r="M235" s="324"/>
      <c r="N235" s="298">
        <f t="shared" si="10"/>
        <v>0</v>
      </c>
      <c r="O235" s="326"/>
      <c r="P235" s="326"/>
      <c r="Q235" s="326"/>
      <c r="R235" s="297">
        <f t="shared" si="11"/>
        <v>0</v>
      </c>
    </row>
    <row r="236" spans="1:18" ht="19.95" customHeight="1" x14ac:dyDescent="0.25">
      <c r="A236" s="325" t="s">
        <v>307</v>
      </c>
      <c r="B236" s="294">
        <v>1555</v>
      </c>
      <c r="C236" s="295" t="s">
        <v>501</v>
      </c>
      <c r="D236" s="301"/>
      <c r="E236" s="326"/>
      <c r="F236" s="324"/>
      <c r="G236" s="324"/>
      <c r="H236" s="324"/>
      <c r="I236" s="324"/>
      <c r="J236" s="324"/>
      <c r="K236" s="324"/>
      <c r="L236" s="324"/>
      <c r="M236" s="324"/>
      <c r="N236" s="298">
        <f t="shared" si="10"/>
        <v>0</v>
      </c>
      <c r="O236" s="326"/>
      <c r="P236" s="326"/>
      <c r="Q236" s="326"/>
      <c r="R236" s="297">
        <f t="shared" si="11"/>
        <v>0</v>
      </c>
    </row>
    <row r="237" spans="1:18" ht="19.95" customHeight="1" x14ac:dyDescent="0.25">
      <c r="A237" s="325" t="s">
        <v>420</v>
      </c>
      <c r="B237" s="294">
        <v>2842</v>
      </c>
      <c r="C237" s="295" t="s">
        <v>501</v>
      </c>
      <c r="D237" s="301" t="s">
        <v>93</v>
      </c>
      <c r="E237" s="326">
        <v>11834</v>
      </c>
      <c r="F237" s="324"/>
      <c r="G237" s="324"/>
      <c r="H237" s="324"/>
      <c r="I237" s="324"/>
      <c r="J237" s="324"/>
      <c r="K237" s="324"/>
      <c r="L237" s="324">
        <v>4517.3900000000003</v>
      </c>
      <c r="M237" s="324"/>
      <c r="N237" s="298">
        <f t="shared" si="10"/>
        <v>4517.3900000000003</v>
      </c>
      <c r="O237" s="326">
        <v>4261.3500000000004</v>
      </c>
      <c r="P237" s="326"/>
      <c r="Q237" s="326"/>
      <c r="R237" s="297">
        <f t="shared" si="11"/>
        <v>20612.739999999998</v>
      </c>
    </row>
    <row r="238" spans="1:18" ht="19.95" customHeight="1" x14ac:dyDescent="0.25">
      <c r="A238" s="325" t="s">
        <v>597</v>
      </c>
      <c r="B238" s="294">
        <v>2847</v>
      </c>
      <c r="C238" s="295" t="s">
        <v>501</v>
      </c>
      <c r="D238" s="315" t="s">
        <v>112</v>
      </c>
      <c r="E238" s="326"/>
      <c r="F238" s="324"/>
      <c r="G238" s="324"/>
      <c r="H238" s="324"/>
      <c r="I238" s="324"/>
      <c r="J238" s="324"/>
      <c r="K238" s="324"/>
      <c r="L238" s="324"/>
      <c r="M238" s="324"/>
      <c r="N238" s="298">
        <f t="shared" si="10"/>
        <v>0</v>
      </c>
      <c r="O238" s="326"/>
      <c r="P238" s="326"/>
      <c r="Q238" s="326"/>
      <c r="R238" s="297">
        <f t="shared" si="11"/>
        <v>0</v>
      </c>
    </row>
    <row r="239" spans="1:18" ht="19.95" customHeight="1" x14ac:dyDescent="0.25">
      <c r="A239" s="325" t="s">
        <v>422</v>
      </c>
      <c r="B239" s="294">
        <v>1901</v>
      </c>
      <c r="C239" s="295" t="s">
        <v>501</v>
      </c>
      <c r="D239" s="301"/>
      <c r="E239" s="326"/>
      <c r="F239" s="324"/>
      <c r="G239" s="324"/>
      <c r="H239" s="324"/>
      <c r="I239" s="324"/>
      <c r="J239" s="324"/>
      <c r="K239" s="324"/>
      <c r="L239" s="324">
        <v>1045.42</v>
      </c>
      <c r="M239" s="324"/>
      <c r="N239" s="298">
        <f t="shared" si="10"/>
        <v>1045.42</v>
      </c>
      <c r="O239" s="326"/>
      <c r="P239" s="326"/>
      <c r="Q239" s="326"/>
      <c r="R239" s="297">
        <f t="shared" si="11"/>
        <v>1045.42</v>
      </c>
    </row>
    <row r="240" spans="1:18" ht="19.95" customHeight="1" x14ac:dyDescent="0.25">
      <c r="A240" s="325" t="s">
        <v>556</v>
      </c>
      <c r="B240" s="294">
        <v>2708</v>
      </c>
      <c r="C240" s="295" t="s">
        <v>501</v>
      </c>
      <c r="D240" s="301" t="s">
        <v>93</v>
      </c>
      <c r="E240" s="326">
        <v>1261</v>
      </c>
      <c r="F240" s="324"/>
      <c r="G240" s="324"/>
      <c r="H240" s="324"/>
      <c r="I240" s="324"/>
      <c r="J240" s="324"/>
      <c r="K240" s="324"/>
      <c r="L240" s="324">
        <v>2623.86</v>
      </c>
      <c r="M240" s="324"/>
      <c r="N240" s="298">
        <f t="shared" si="10"/>
        <v>2623.86</v>
      </c>
      <c r="O240" s="326"/>
      <c r="P240" s="326"/>
      <c r="Q240" s="326"/>
      <c r="R240" s="297">
        <f t="shared" si="11"/>
        <v>3884.86</v>
      </c>
    </row>
    <row r="241" spans="1:18" ht="19.95" customHeight="1" x14ac:dyDescent="0.25">
      <c r="A241" s="325" t="s">
        <v>423</v>
      </c>
      <c r="B241" s="294">
        <v>2601</v>
      </c>
      <c r="C241" s="295" t="s">
        <v>501</v>
      </c>
      <c r="D241" s="315" t="s">
        <v>112</v>
      </c>
      <c r="E241" s="326">
        <v>4728.75</v>
      </c>
      <c r="F241" s="324"/>
      <c r="G241" s="324"/>
      <c r="H241" s="324"/>
      <c r="I241" s="324"/>
      <c r="J241" s="324"/>
      <c r="K241" s="324"/>
      <c r="L241" s="324"/>
      <c r="M241" s="324"/>
      <c r="N241" s="298">
        <f t="shared" si="10"/>
        <v>0</v>
      </c>
      <c r="O241" s="326">
        <v>260</v>
      </c>
      <c r="P241" s="326"/>
      <c r="Q241" s="326"/>
      <c r="R241" s="297">
        <f t="shared" si="11"/>
        <v>4988.75</v>
      </c>
    </row>
    <row r="242" spans="1:18" ht="19.95" customHeight="1" x14ac:dyDescent="0.25">
      <c r="A242" s="325" t="s">
        <v>310</v>
      </c>
      <c r="B242" s="294">
        <v>2490</v>
      </c>
      <c r="C242" s="295" t="s">
        <v>501</v>
      </c>
      <c r="D242" s="319" t="s">
        <v>93</v>
      </c>
      <c r="E242" s="326">
        <v>970</v>
      </c>
      <c r="F242" s="324"/>
      <c r="G242" s="324"/>
      <c r="H242" s="324"/>
      <c r="I242" s="324"/>
      <c r="J242" s="324"/>
      <c r="K242" s="324"/>
      <c r="L242" s="324">
        <v>1712.56</v>
      </c>
      <c r="M242" s="324"/>
      <c r="N242" s="298">
        <f t="shared" si="10"/>
        <v>1712.56</v>
      </c>
      <c r="O242" s="326"/>
      <c r="P242" s="326"/>
      <c r="Q242" s="326"/>
      <c r="R242" s="297">
        <f t="shared" si="11"/>
        <v>2682.56</v>
      </c>
    </row>
    <row r="243" spans="1:18" ht="19.95" customHeight="1" x14ac:dyDescent="0.25">
      <c r="A243" s="325" t="s">
        <v>311</v>
      </c>
      <c r="B243" s="294">
        <v>1286</v>
      </c>
      <c r="C243" s="295" t="s">
        <v>501</v>
      </c>
      <c r="D243" s="315" t="s">
        <v>103</v>
      </c>
      <c r="E243" s="326">
        <v>7588.62</v>
      </c>
      <c r="F243" s="324"/>
      <c r="G243" s="324">
        <v>227.85</v>
      </c>
      <c r="H243" s="324"/>
      <c r="I243" s="324"/>
      <c r="J243" s="324"/>
      <c r="K243" s="324"/>
      <c r="L243" s="324">
        <v>14191.66</v>
      </c>
      <c r="M243" s="324">
        <v>819.65</v>
      </c>
      <c r="N243" s="298">
        <f t="shared" si="10"/>
        <v>15239.16</v>
      </c>
      <c r="O243" s="326">
        <v>3000.5</v>
      </c>
      <c r="P243" s="326"/>
      <c r="Q243" s="326"/>
      <c r="R243" s="297">
        <f t="shared" si="11"/>
        <v>25828.28</v>
      </c>
    </row>
    <row r="244" spans="1:18" ht="19.95" customHeight="1" x14ac:dyDescent="0.25">
      <c r="A244" s="325" t="s">
        <v>557</v>
      </c>
      <c r="B244" s="294">
        <v>2585</v>
      </c>
      <c r="C244" s="295" t="s">
        <v>501</v>
      </c>
      <c r="D244" s="315" t="s">
        <v>103</v>
      </c>
      <c r="E244" s="326"/>
      <c r="F244" s="324"/>
      <c r="G244" s="324"/>
      <c r="H244" s="324"/>
      <c r="I244" s="324"/>
      <c r="J244" s="324"/>
      <c r="K244" s="324"/>
      <c r="L244" s="324">
        <v>2172.98</v>
      </c>
      <c r="M244" s="324"/>
      <c r="N244" s="298">
        <f t="shared" si="10"/>
        <v>2172.98</v>
      </c>
      <c r="O244" s="326"/>
      <c r="P244" s="326"/>
      <c r="Q244" s="326"/>
      <c r="R244" s="297">
        <f t="shared" si="11"/>
        <v>2172.98</v>
      </c>
    </row>
    <row r="245" spans="1:18" ht="19.95" customHeight="1" x14ac:dyDescent="0.25">
      <c r="A245" s="325" t="s">
        <v>598</v>
      </c>
      <c r="B245" s="294">
        <v>2860</v>
      </c>
      <c r="C245" s="295" t="s">
        <v>501</v>
      </c>
      <c r="D245" s="315"/>
      <c r="E245" s="326"/>
      <c r="F245" s="324"/>
      <c r="G245" s="324"/>
      <c r="H245" s="324"/>
      <c r="I245" s="324"/>
      <c r="J245" s="324"/>
      <c r="K245" s="324"/>
      <c r="L245" s="324"/>
      <c r="M245" s="324"/>
      <c r="N245" s="298">
        <f t="shared" si="10"/>
        <v>0</v>
      </c>
      <c r="O245" s="326"/>
      <c r="P245" s="326"/>
      <c r="Q245" s="326"/>
      <c r="R245" s="297">
        <f t="shared" si="11"/>
        <v>0</v>
      </c>
    </row>
    <row r="246" spans="1:18" ht="19.95" customHeight="1" x14ac:dyDescent="0.25">
      <c r="A246" s="325" t="s">
        <v>424</v>
      </c>
      <c r="B246" s="294">
        <v>2174</v>
      </c>
      <c r="C246" s="295" t="s">
        <v>501</v>
      </c>
      <c r="D246" s="315" t="s">
        <v>95</v>
      </c>
      <c r="E246" s="326">
        <v>13095</v>
      </c>
      <c r="F246" s="324"/>
      <c r="G246" s="324"/>
      <c r="H246" s="324"/>
      <c r="I246" s="324"/>
      <c r="J246" s="324"/>
      <c r="K246" s="324"/>
      <c r="L246" s="324"/>
      <c r="M246" s="324"/>
      <c r="N246" s="298">
        <f t="shared" si="10"/>
        <v>0</v>
      </c>
      <c r="O246" s="326">
        <v>200</v>
      </c>
      <c r="P246" s="326"/>
      <c r="Q246" s="326"/>
      <c r="R246" s="297">
        <f t="shared" si="11"/>
        <v>13295</v>
      </c>
    </row>
    <row r="247" spans="1:18" ht="19.95" customHeight="1" x14ac:dyDescent="0.25">
      <c r="A247" s="325" t="s">
        <v>425</v>
      </c>
      <c r="B247" s="294">
        <v>1571</v>
      </c>
      <c r="C247" s="295" t="s">
        <v>501</v>
      </c>
      <c r="D247" s="319" t="s">
        <v>91</v>
      </c>
      <c r="E247" s="326">
        <v>1818.75</v>
      </c>
      <c r="F247" s="324"/>
      <c r="G247" s="324"/>
      <c r="H247" s="324"/>
      <c r="I247" s="324"/>
      <c r="J247" s="324"/>
      <c r="K247" s="324"/>
      <c r="L247" s="324"/>
      <c r="M247" s="324"/>
      <c r="N247" s="298">
        <f t="shared" si="10"/>
        <v>0</v>
      </c>
      <c r="O247" s="326"/>
      <c r="P247" s="326"/>
      <c r="Q247" s="326"/>
      <c r="R247" s="297">
        <f t="shared" si="11"/>
        <v>1818.75</v>
      </c>
    </row>
    <row r="248" spans="1:18" ht="19.95" customHeight="1" x14ac:dyDescent="0.25">
      <c r="A248" s="325" t="s">
        <v>426</v>
      </c>
      <c r="B248" s="294">
        <v>2719</v>
      </c>
      <c r="C248" s="295" t="s">
        <v>501</v>
      </c>
      <c r="D248" s="319" t="s">
        <v>87</v>
      </c>
      <c r="E248" s="326">
        <v>2425</v>
      </c>
      <c r="F248" s="324"/>
      <c r="G248" s="324"/>
      <c r="H248" s="324"/>
      <c r="I248" s="324"/>
      <c r="J248" s="324"/>
      <c r="K248" s="324"/>
      <c r="L248" s="324">
        <v>10.19</v>
      </c>
      <c r="M248" s="324"/>
      <c r="N248" s="298">
        <f t="shared" si="10"/>
        <v>10.19</v>
      </c>
      <c r="O248" s="326"/>
      <c r="P248" s="326"/>
      <c r="Q248" s="326"/>
      <c r="R248" s="297">
        <f t="shared" si="11"/>
        <v>2435.19</v>
      </c>
    </row>
    <row r="249" spans="1:18" ht="19.95" customHeight="1" x14ac:dyDescent="0.25">
      <c r="A249" s="325" t="s">
        <v>316</v>
      </c>
      <c r="B249" s="294">
        <v>2305</v>
      </c>
      <c r="C249" s="295" t="s">
        <v>501</v>
      </c>
      <c r="D249" s="315" t="s">
        <v>95</v>
      </c>
      <c r="E249" s="326">
        <v>19551.560000000001</v>
      </c>
      <c r="F249" s="324"/>
      <c r="G249" s="324"/>
      <c r="H249" s="324"/>
      <c r="I249" s="324"/>
      <c r="J249" s="324"/>
      <c r="K249" s="324"/>
      <c r="L249" s="324">
        <v>243.36</v>
      </c>
      <c r="M249" s="324"/>
      <c r="N249" s="298">
        <f t="shared" si="10"/>
        <v>243.36</v>
      </c>
      <c r="O249" s="326">
        <v>2051.31</v>
      </c>
      <c r="P249" s="326"/>
      <c r="Q249" s="326"/>
      <c r="R249" s="297">
        <f t="shared" si="11"/>
        <v>21846.230000000003</v>
      </c>
    </row>
    <row r="250" spans="1:18" ht="19.95" customHeight="1" x14ac:dyDescent="0.25">
      <c r="A250" s="325" t="s">
        <v>427</v>
      </c>
      <c r="B250" s="294">
        <v>2355</v>
      </c>
      <c r="C250" s="295" t="s">
        <v>501</v>
      </c>
      <c r="D250" s="315" t="s">
        <v>95</v>
      </c>
      <c r="E250" s="326">
        <v>19606.93</v>
      </c>
      <c r="F250" s="324"/>
      <c r="G250" s="324"/>
      <c r="H250" s="324"/>
      <c r="I250" s="324"/>
      <c r="J250" s="324"/>
      <c r="K250" s="324"/>
      <c r="L250" s="324"/>
      <c r="M250" s="324"/>
      <c r="N250" s="298">
        <f t="shared" si="10"/>
        <v>0</v>
      </c>
      <c r="O250" s="326">
        <v>1040</v>
      </c>
      <c r="P250" s="326"/>
      <c r="Q250" s="326"/>
      <c r="R250" s="297">
        <f t="shared" si="11"/>
        <v>20646.93</v>
      </c>
    </row>
    <row r="251" spans="1:18" ht="19.95" customHeight="1" x14ac:dyDescent="0.25">
      <c r="A251" s="325" t="s">
        <v>318</v>
      </c>
      <c r="B251" s="294">
        <v>1517</v>
      </c>
      <c r="C251" s="295" t="s">
        <v>501</v>
      </c>
      <c r="D251" s="319"/>
      <c r="E251" s="324"/>
      <c r="F251" s="324"/>
      <c r="G251" s="324"/>
      <c r="H251" s="324"/>
      <c r="I251" s="324"/>
      <c r="J251" s="324"/>
      <c r="K251" s="324"/>
      <c r="L251" s="324">
        <v>1141.56</v>
      </c>
      <c r="M251" s="324"/>
      <c r="N251" s="298">
        <f t="shared" si="10"/>
        <v>1141.56</v>
      </c>
      <c r="O251" s="326">
        <v>600</v>
      </c>
      <c r="P251" s="326"/>
      <c r="Q251" s="326"/>
      <c r="R251" s="297">
        <f t="shared" si="11"/>
        <v>1741.56</v>
      </c>
    </row>
    <row r="252" spans="1:18" ht="19.95" customHeight="1" x14ac:dyDescent="0.25">
      <c r="A252" s="325" t="s">
        <v>599</v>
      </c>
      <c r="B252" s="294">
        <v>2390</v>
      </c>
      <c r="C252" s="295" t="s">
        <v>501</v>
      </c>
      <c r="D252" s="319" t="s">
        <v>95</v>
      </c>
      <c r="E252" s="324">
        <v>1818.75</v>
      </c>
      <c r="F252" s="324"/>
      <c r="G252" s="324"/>
      <c r="H252" s="324"/>
      <c r="I252" s="324"/>
      <c r="J252" s="324"/>
      <c r="K252" s="324"/>
      <c r="L252" s="324"/>
      <c r="M252" s="324"/>
      <c r="N252" s="298">
        <f t="shared" si="10"/>
        <v>0</v>
      </c>
      <c r="O252" s="326"/>
      <c r="P252" s="326"/>
      <c r="Q252" s="326"/>
      <c r="R252" s="297">
        <f t="shared" si="11"/>
        <v>1818.75</v>
      </c>
    </row>
    <row r="253" spans="1:18" ht="19.95" customHeight="1" x14ac:dyDescent="0.25">
      <c r="A253" s="325" t="s">
        <v>600</v>
      </c>
      <c r="B253" s="294">
        <v>2872</v>
      </c>
      <c r="C253" s="295" t="s">
        <v>501</v>
      </c>
      <c r="D253" s="319" t="s">
        <v>87</v>
      </c>
      <c r="E253" s="324">
        <v>2522</v>
      </c>
      <c r="F253" s="324"/>
      <c r="G253" s="324"/>
      <c r="H253" s="324"/>
      <c r="I253" s="324"/>
      <c r="J253" s="324"/>
      <c r="K253" s="324"/>
      <c r="L253" s="324">
        <v>13.25</v>
      </c>
      <c r="M253" s="324"/>
      <c r="N253" s="298">
        <f t="shared" si="10"/>
        <v>13.25</v>
      </c>
      <c r="O253" s="326"/>
      <c r="P253" s="326"/>
      <c r="Q253" s="326"/>
      <c r="R253" s="297">
        <f t="shared" si="11"/>
        <v>2535.25</v>
      </c>
    </row>
    <row r="254" spans="1:18" ht="19.95" customHeight="1" x14ac:dyDescent="0.25">
      <c r="A254" s="325" t="s">
        <v>428</v>
      </c>
      <c r="B254" s="294">
        <v>2521</v>
      </c>
      <c r="C254" s="295" t="s">
        <v>501</v>
      </c>
      <c r="D254" s="301" t="s">
        <v>112</v>
      </c>
      <c r="E254" s="324"/>
      <c r="F254" s="324"/>
      <c r="G254" s="324"/>
      <c r="H254" s="324"/>
      <c r="I254" s="324"/>
      <c r="J254" s="324"/>
      <c r="K254" s="324"/>
      <c r="L254" s="324"/>
      <c r="M254" s="324"/>
      <c r="N254" s="298">
        <f t="shared" si="10"/>
        <v>0</v>
      </c>
      <c r="O254" s="326"/>
      <c r="P254" s="326"/>
      <c r="Q254" s="326"/>
      <c r="R254" s="297">
        <f t="shared" si="11"/>
        <v>0</v>
      </c>
    </row>
    <row r="255" spans="1:18" ht="19.95" customHeight="1" x14ac:dyDescent="0.25">
      <c r="A255" s="325" t="s">
        <v>601</v>
      </c>
      <c r="B255" s="294">
        <v>1925</v>
      </c>
      <c r="C255" s="295" t="s">
        <v>501</v>
      </c>
      <c r="D255" s="319"/>
      <c r="E255" s="324"/>
      <c r="F255" s="324"/>
      <c r="G255" s="324"/>
      <c r="H255" s="324"/>
      <c r="I255" s="324"/>
      <c r="J255" s="324"/>
      <c r="K255" s="324"/>
      <c r="L255" s="324">
        <v>3765.2</v>
      </c>
      <c r="M255" s="324"/>
      <c r="N255" s="298">
        <f t="shared" si="10"/>
        <v>3765.2</v>
      </c>
      <c r="O255" s="326"/>
      <c r="P255" s="326"/>
      <c r="Q255" s="326"/>
      <c r="R255" s="297">
        <f t="shared" si="11"/>
        <v>3765.2</v>
      </c>
    </row>
    <row r="256" spans="1:18" ht="19.95" customHeight="1" x14ac:dyDescent="0.25">
      <c r="A256" s="325" t="s">
        <v>430</v>
      </c>
      <c r="B256" s="294">
        <v>1726</v>
      </c>
      <c r="C256" s="295" t="s">
        <v>501</v>
      </c>
      <c r="D256" s="315" t="s">
        <v>95</v>
      </c>
      <c r="E256" s="324">
        <v>10243.200000000001</v>
      </c>
      <c r="F256" s="324"/>
      <c r="G256" s="324"/>
      <c r="H256" s="324"/>
      <c r="I256" s="324"/>
      <c r="J256" s="324"/>
      <c r="K256" s="324"/>
      <c r="L256" s="324"/>
      <c r="M256" s="324"/>
      <c r="N256" s="298">
        <f t="shared" si="10"/>
        <v>0</v>
      </c>
      <c r="O256" s="326">
        <v>650</v>
      </c>
      <c r="P256" s="326"/>
      <c r="Q256" s="326"/>
      <c r="R256" s="297">
        <f t="shared" si="11"/>
        <v>10893.2</v>
      </c>
    </row>
    <row r="257" spans="1:18" ht="19.95" customHeight="1" x14ac:dyDescent="0.25">
      <c r="A257" s="325" t="s">
        <v>478</v>
      </c>
      <c r="B257" s="294">
        <v>1081</v>
      </c>
      <c r="C257" s="295" t="s">
        <v>501</v>
      </c>
      <c r="D257" s="315"/>
      <c r="E257" s="326"/>
      <c r="F257" s="324"/>
      <c r="G257" s="324"/>
      <c r="H257" s="324"/>
      <c r="I257" s="324"/>
      <c r="J257" s="324"/>
      <c r="K257" s="324"/>
      <c r="L257" s="324"/>
      <c r="M257" s="324"/>
      <c r="N257" s="298">
        <f t="shared" si="10"/>
        <v>0</v>
      </c>
      <c r="O257" s="326"/>
      <c r="P257" s="326"/>
      <c r="Q257" s="326">
        <v>10000</v>
      </c>
      <c r="R257" s="297">
        <f t="shared" si="11"/>
        <v>10000</v>
      </c>
    </row>
    <row r="258" spans="1:18" ht="19.95" customHeight="1" x14ac:dyDescent="0.25">
      <c r="A258" s="325" t="s">
        <v>431</v>
      </c>
      <c r="B258" s="294">
        <v>1158</v>
      </c>
      <c r="C258" s="295" t="s">
        <v>501</v>
      </c>
      <c r="D258" s="315" t="s">
        <v>91</v>
      </c>
      <c r="E258" s="326">
        <v>3637.5</v>
      </c>
      <c r="F258" s="324"/>
      <c r="G258" s="324"/>
      <c r="H258" s="324"/>
      <c r="I258" s="324"/>
      <c r="J258" s="324"/>
      <c r="K258" s="324"/>
      <c r="L258" s="324"/>
      <c r="M258" s="324"/>
      <c r="N258" s="298">
        <f t="shared" si="10"/>
        <v>0</v>
      </c>
      <c r="O258" s="326"/>
      <c r="P258" s="326"/>
      <c r="Q258" s="326"/>
      <c r="R258" s="297">
        <f t="shared" si="11"/>
        <v>3637.5</v>
      </c>
    </row>
    <row r="259" spans="1:18" ht="19.95" customHeight="1" x14ac:dyDescent="0.25">
      <c r="A259" s="325" t="s">
        <v>432</v>
      </c>
      <c r="B259" s="294">
        <v>978</v>
      </c>
      <c r="C259" s="295" t="s">
        <v>501</v>
      </c>
      <c r="D259" s="315"/>
      <c r="E259" s="326"/>
      <c r="F259" s="324"/>
      <c r="G259" s="324"/>
      <c r="H259" s="324"/>
      <c r="I259" s="324"/>
      <c r="J259" s="324"/>
      <c r="K259" s="324"/>
      <c r="L259" s="324">
        <v>3294.3</v>
      </c>
      <c r="M259" s="324"/>
      <c r="N259" s="298">
        <f t="shared" si="10"/>
        <v>3294.3</v>
      </c>
      <c r="O259" s="326"/>
      <c r="P259" s="326"/>
      <c r="Q259" s="326"/>
      <c r="R259" s="297">
        <f t="shared" si="11"/>
        <v>3294.3</v>
      </c>
    </row>
    <row r="260" spans="1:18" ht="19.95" customHeight="1" x14ac:dyDescent="0.25">
      <c r="A260" s="325" t="s">
        <v>433</v>
      </c>
      <c r="B260" s="294">
        <v>325</v>
      </c>
      <c r="C260" s="295" t="s">
        <v>501</v>
      </c>
      <c r="D260" s="315"/>
      <c r="E260" s="326"/>
      <c r="F260" s="324"/>
      <c r="G260" s="324"/>
      <c r="H260" s="324"/>
      <c r="I260" s="324"/>
      <c r="J260" s="324"/>
      <c r="K260" s="324"/>
      <c r="L260" s="324">
        <v>739.76</v>
      </c>
      <c r="M260" s="324"/>
      <c r="N260" s="298">
        <f t="shared" si="10"/>
        <v>739.76</v>
      </c>
      <c r="O260" s="326"/>
      <c r="P260" s="326"/>
      <c r="Q260" s="326"/>
      <c r="R260" s="297">
        <f t="shared" si="11"/>
        <v>739.76</v>
      </c>
    </row>
    <row r="261" spans="1:18" ht="19.95" customHeight="1" x14ac:dyDescent="0.25">
      <c r="A261" s="325" t="s">
        <v>434</v>
      </c>
      <c r="B261" s="294">
        <v>1421</v>
      </c>
      <c r="C261" s="295" t="s">
        <v>501</v>
      </c>
      <c r="D261" s="319" t="s">
        <v>352</v>
      </c>
      <c r="E261" s="326">
        <v>17278.13</v>
      </c>
      <c r="F261" s="324"/>
      <c r="G261" s="324"/>
      <c r="H261" s="324"/>
      <c r="I261" s="324"/>
      <c r="J261" s="324"/>
      <c r="K261" s="324"/>
      <c r="L261" s="324">
        <v>1060.3399999999999</v>
      </c>
      <c r="M261" s="324"/>
      <c r="N261" s="298">
        <f t="shared" si="10"/>
        <v>1060.3399999999999</v>
      </c>
      <c r="O261" s="326"/>
      <c r="P261" s="326"/>
      <c r="Q261" s="326">
        <v>7500</v>
      </c>
      <c r="R261" s="297">
        <f t="shared" si="11"/>
        <v>25838.47</v>
      </c>
    </row>
    <row r="262" spans="1:18" ht="19.95" customHeight="1" x14ac:dyDescent="0.25">
      <c r="A262" s="325" t="s">
        <v>559</v>
      </c>
      <c r="B262" s="294">
        <v>1897</v>
      </c>
      <c r="C262" s="295" t="s">
        <v>501</v>
      </c>
      <c r="D262" s="319"/>
      <c r="E262" s="326"/>
      <c r="F262" s="324"/>
      <c r="G262" s="324"/>
      <c r="H262" s="324"/>
      <c r="I262" s="324"/>
      <c r="J262" s="324"/>
      <c r="K262" s="324"/>
      <c r="L262" s="324"/>
      <c r="M262" s="324"/>
      <c r="N262" s="298">
        <v>2600</v>
      </c>
      <c r="O262" s="326"/>
      <c r="P262" s="326"/>
      <c r="Q262" s="326"/>
      <c r="R262" s="297">
        <f t="shared" si="11"/>
        <v>2600</v>
      </c>
    </row>
    <row r="263" spans="1:18" ht="19.95" customHeight="1" x14ac:dyDescent="0.25">
      <c r="A263" s="325" t="s">
        <v>560</v>
      </c>
      <c r="B263" s="294">
        <v>1843</v>
      </c>
      <c r="C263" s="295" t="s">
        <v>501</v>
      </c>
      <c r="D263" s="319" t="s">
        <v>112</v>
      </c>
      <c r="E263" s="326">
        <v>4365</v>
      </c>
      <c r="F263" s="324"/>
      <c r="G263" s="324"/>
      <c r="H263" s="324"/>
      <c r="I263" s="324"/>
      <c r="J263" s="324"/>
      <c r="K263" s="324"/>
      <c r="L263" s="324"/>
      <c r="M263" s="324"/>
      <c r="N263" s="298">
        <f t="shared" si="10"/>
        <v>0</v>
      </c>
      <c r="O263" s="326">
        <v>390</v>
      </c>
      <c r="P263" s="326"/>
      <c r="Q263" s="326"/>
      <c r="R263" s="297">
        <f t="shared" si="11"/>
        <v>4755</v>
      </c>
    </row>
    <row r="264" spans="1:18" ht="19.95" customHeight="1" x14ac:dyDescent="0.25">
      <c r="A264" s="325" t="s">
        <v>561</v>
      </c>
      <c r="B264" s="294">
        <v>2835</v>
      </c>
      <c r="C264" s="295" t="s">
        <v>501</v>
      </c>
      <c r="D264" s="319" t="s">
        <v>93</v>
      </c>
      <c r="E264" s="326">
        <v>6014</v>
      </c>
      <c r="F264" s="324"/>
      <c r="G264" s="324"/>
      <c r="H264" s="324"/>
      <c r="I264" s="324"/>
      <c r="J264" s="324"/>
      <c r="K264" s="324"/>
      <c r="L264" s="324">
        <v>4758.97</v>
      </c>
      <c r="M264" s="324"/>
      <c r="N264" s="298">
        <f t="shared" si="10"/>
        <v>4758.97</v>
      </c>
      <c r="O264" s="326">
        <v>2800</v>
      </c>
      <c r="P264" s="326"/>
      <c r="Q264" s="326"/>
      <c r="R264" s="297">
        <f t="shared" si="11"/>
        <v>13572.970000000001</v>
      </c>
    </row>
    <row r="265" spans="1:18" ht="19.95" customHeight="1" x14ac:dyDescent="0.25">
      <c r="A265" s="325" t="s">
        <v>325</v>
      </c>
      <c r="B265" s="294">
        <v>2177</v>
      </c>
      <c r="C265" s="295" t="s">
        <v>501</v>
      </c>
      <c r="D265" s="315" t="s">
        <v>95</v>
      </c>
      <c r="E265" s="326">
        <v>4728.75</v>
      </c>
      <c r="F265" s="324"/>
      <c r="G265" s="324"/>
      <c r="H265" s="324"/>
      <c r="I265" s="324"/>
      <c r="J265" s="324"/>
      <c r="K265" s="324"/>
      <c r="L265" s="324"/>
      <c r="M265" s="324"/>
      <c r="N265" s="298">
        <f t="shared" si="10"/>
        <v>0</v>
      </c>
      <c r="O265" s="326">
        <v>200</v>
      </c>
      <c r="P265" s="326"/>
      <c r="Q265" s="326"/>
      <c r="R265" s="297">
        <f t="shared" si="11"/>
        <v>4928.75</v>
      </c>
    </row>
    <row r="266" spans="1:18" ht="19.95" customHeight="1" x14ac:dyDescent="0.25">
      <c r="A266" s="325" t="s">
        <v>209</v>
      </c>
      <c r="B266" s="294">
        <v>2518</v>
      </c>
      <c r="C266" s="295" t="s">
        <v>501</v>
      </c>
      <c r="D266" s="301" t="s">
        <v>91</v>
      </c>
      <c r="E266" s="326"/>
      <c r="F266" s="324"/>
      <c r="G266" s="324"/>
      <c r="H266" s="324"/>
      <c r="I266" s="324"/>
      <c r="J266" s="324"/>
      <c r="K266" s="324"/>
      <c r="L266" s="324"/>
      <c r="M266" s="324"/>
      <c r="N266" s="298">
        <f t="shared" si="10"/>
        <v>0</v>
      </c>
      <c r="O266" s="326"/>
      <c r="P266" s="326"/>
      <c r="Q266" s="326"/>
      <c r="R266" s="297">
        <f t="shared" si="11"/>
        <v>0</v>
      </c>
    </row>
    <row r="267" spans="1:18" ht="19.95" customHeight="1" x14ac:dyDescent="0.25">
      <c r="A267" s="325" t="s">
        <v>562</v>
      </c>
      <c r="B267" s="294">
        <v>2090</v>
      </c>
      <c r="C267" s="295" t="s">
        <v>501</v>
      </c>
      <c r="D267" s="301" t="s">
        <v>103</v>
      </c>
      <c r="E267" s="326">
        <v>672.53</v>
      </c>
      <c r="F267" s="324"/>
      <c r="G267" s="324"/>
      <c r="H267" s="324"/>
      <c r="I267" s="324"/>
      <c r="J267" s="324"/>
      <c r="K267" s="324"/>
      <c r="L267" s="324"/>
      <c r="M267" s="324"/>
      <c r="N267" s="298">
        <f t="shared" si="10"/>
        <v>0</v>
      </c>
      <c r="O267" s="326"/>
      <c r="P267" s="326"/>
      <c r="Q267" s="326"/>
      <c r="R267" s="297">
        <f t="shared" si="11"/>
        <v>672.53</v>
      </c>
    </row>
    <row r="268" spans="1:18" ht="19.95" customHeight="1" x14ac:dyDescent="0.25">
      <c r="A268" s="325" t="s">
        <v>326</v>
      </c>
      <c r="B268" s="294">
        <v>2534</v>
      </c>
      <c r="C268" s="295" t="s">
        <v>501</v>
      </c>
      <c r="D268" s="315" t="s">
        <v>87</v>
      </c>
      <c r="E268" s="326">
        <v>6111</v>
      </c>
      <c r="F268" s="324"/>
      <c r="G268" s="324">
        <v>107.48</v>
      </c>
      <c r="H268" s="324"/>
      <c r="I268" s="324"/>
      <c r="J268" s="324"/>
      <c r="K268" s="324"/>
      <c r="L268" s="324">
        <v>3693.31</v>
      </c>
      <c r="M268" s="324"/>
      <c r="N268" s="298">
        <f t="shared" si="10"/>
        <v>3800.79</v>
      </c>
      <c r="O268" s="326"/>
      <c r="P268" s="326"/>
      <c r="Q268" s="326"/>
      <c r="R268" s="297">
        <f t="shared" si="11"/>
        <v>9911.7900000000009</v>
      </c>
    </row>
    <row r="269" spans="1:18" ht="19.95" customHeight="1" x14ac:dyDescent="0.25">
      <c r="A269" s="325" t="s">
        <v>435</v>
      </c>
      <c r="B269" s="294">
        <v>2832</v>
      </c>
      <c r="C269" s="295" t="s">
        <v>501</v>
      </c>
      <c r="D269" s="319" t="s">
        <v>95</v>
      </c>
      <c r="E269" s="326">
        <v>10821.56</v>
      </c>
      <c r="F269" s="324"/>
      <c r="G269" s="324"/>
      <c r="H269" s="324"/>
      <c r="I269" s="324"/>
      <c r="J269" s="324"/>
      <c r="K269" s="324"/>
      <c r="L269" s="324"/>
      <c r="M269" s="324"/>
      <c r="N269" s="298">
        <f t="shared" si="10"/>
        <v>0</v>
      </c>
      <c r="O269" s="326">
        <v>650</v>
      </c>
      <c r="P269" s="326"/>
      <c r="Q269" s="326"/>
      <c r="R269" s="297">
        <f t="shared" si="11"/>
        <v>11471.56</v>
      </c>
    </row>
    <row r="270" spans="1:18" ht="19.95" customHeight="1" x14ac:dyDescent="0.25">
      <c r="A270" s="325" t="s">
        <v>563</v>
      </c>
      <c r="B270" s="294">
        <v>2873</v>
      </c>
      <c r="C270" s="295" t="s">
        <v>501</v>
      </c>
      <c r="D270" s="319" t="s">
        <v>103</v>
      </c>
      <c r="E270" s="326">
        <v>9984.5300000000007</v>
      </c>
      <c r="F270" s="324"/>
      <c r="G270" s="324"/>
      <c r="H270" s="324"/>
      <c r="I270" s="324"/>
      <c r="J270" s="324"/>
      <c r="K270" s="324"/>
      <c r="L270" s="324">
        <v>3375.77</v>
      </c>
      <c r="M270" s="324"/>
      <c r="N270" s="298">
        <f t="shared" si="10"/>
        <v>3375.77</v>
      </c>
      <c r="O270" s="326"/>
      <c r="P270" s="326"/>
      <c r="Q270" s="326"/>
      <c r="R270" s="297">
        <f t="shared" si="11"/>
        <v>13360.300000000001</v>
      </c>
    </row>
    <row r="271" spans="1:18" ht="19.95" customHeight="1" x14ac:dyDescent="0.25">
      <c r="A271" s="325" t="s">
        <v>327</v>
      </c>
      <c r="B271" s="294">
        <v>2717</v>
      </c>
      <c r="C271" s="295" t="s">
        <v>501</v>
      </c>
      <c r="D271" s="319" t="s">
        <v>112</v>
      </c>
      <c r="E271" s="326">
        <v>15398.75</v>
      </c>
      <c r="F271" s="324"/>
      <c r="G271" s="324"/>
      <c r="H271" s="324"/>
      <c r="I271" s="324"/>
      <c r="J271" s="324"/>
      <c r="K271" s="324"/>
      <c r="L271" s="324">
        <v>10.19</v>
      </c>
      <c r="M271" s="324"/>
      <c r="N271" s="298">
        <f t="shared" si="10"/>
        <v>10.19</v>
      </c>
      <c r="O271" s="326">
        <v>780</v>
      </c>
      <c r="P271" s="326"/>
      <c r="Q271" s="326"/>
      <c r="R271" s="297">
        <f t="shared" si="11"/>
        <v>16188.94</v>
      </c>
    </row>
    <row r="272" spans="1:18" ht="19.95" customHeight="1" x14ac:dyDescent="0.25">
      <c r="A272" s="325" t="s">
        <v>328</v>
      </c>
      <c r="B272" s="294">
        <v>1714</v>
      </c>
      <c r="C272" s="295" t="s">
        <v>501</v>
      </c>
      <c r="D272" s="315" t="s">
        <v>112</v>
      </c>
      <c r="E272" s="326">
        <v>8184.38</v>
      </c>
      <c r="F272" s="324"/>
      <c r="G272" s="324"/>
      <c r="H272" s="324"/>
      <c r="I272" s="324"/>
      <c r="J272" s="324"/>
      <c r="K272" s="324"/>
      <c r="L272" s="324"/>
      <c r="M272" s="324"/>
      <c r="N272" s="298">
        <f t="shared" si="10"/>
        <v>0</v>
      </c>
      <c r="O272" s="326"/>
      <c r="P272" s="326"/>
      <c r="Q272" s="326"/>
      <c r="R272" s="297">
        <f t="shared" si="11"/>
        <v>8184.38</v>
      </c>
    </row>
    <row r="273" spans="1:18" ht="19.95" customHeight="1" x14ac:dyDescent="0.25">
      <c r="A273" s="325" t="s">
        <v>436</v>
      </c>
      <c r="B273" s="294">
        <v>2732</v>
      </c>
      <c r="C273" s="295" t="s">
        <v>501</v>
      </c>
      <c r="D273" s="315"/>
      <c r="E273" s="326"/>
      <c r="F273" s="324"/>
      <c r="G273" s="324"/>
      <c r="H273" s="324"/>
      <c r="I273" s="324"/>
      <c r="J273" s="324"/>
      <c r="K273" s="324"/>
      <c r="L273" s="324">
        <v>613.73</v>
      </c>
      <c r="M273" s="324"/>
      <c r="N273" s="298">
        <f t="shared" si="10"/>
        <v>613.73</v>
      </c>
      <c r="O273" s="326"/>
      <c r="P273" s="326"/>
      <c r="Q273" s="326"/>
      <c r="R273" s="297">
        <f t="shared" si="11"/>
        <v>613.73</v>
      </c>
    </row>
    <row r="274" spans="1:18" ht="19.95" customHeight="1" x14ac:dyDescent="0.25">
      <c r="A274" s="325" t="s">
        <v>564</v>
      </c>
      <c r="B274" s="294">
        <v>2273</v>
      </c>
      <c r="C274" s="295" t="s">
        <v>501</v>
      </c>
      <c r="D274" s="315"/>
      <c r="E274" s="326"/>
      <c r="F274" s="324"/>
      <c r="G274" s="324"/>
      <c r="H274" s="324"/>
      <c r="I274" s="324"/>
      <c r="J274" s="324"/>
      <c r="K274" s="324"/>
      <c r="L274" s="324">
        <v>325.17</v>
      </c>
      <c r="M274" s="324"/>
      <c r="N274" s="298">
        <f t="shared" si="10"/>
        <v>325.17</v>
      </c>
      <c r="O274" s="326"/>
      <c r="P274" s="326"/>
      <c r="Q274" s="326"/>
      <c r="R274" s="297">
        <f t="shared" si="11"/>
        <v>325.17</v>
      </c>
    </row>
    <row r="275" spans="1:18" ht="19.95" customHeight="1" x14ac:dyDescent="0.25">
      <c r="A275" s="325" t="s">
        <v>437</v>
      </c>
      <c r="B275" s="294">
        <v>2786</v>
      </c>
      <c r="C275" s="295" t="s">
        <v>501</v>
      </c>
      <c r="D275" s="315" t="s">
        <v>87</v>
      </c>
      <c r="E275" s="326">
        <v>4455.53</v>
      </c>
      <c r="F275" s="324"/>
      <c r="G275" s="324"/>
      <c r="H275" s="324"/>
      <c r="I275" s="324"/>
      <c r="J275" s="324"/>
      <c r="K275" s="324"/>
      <c r="L275" s="324">
        <v>289.51</v>
      </c>
      <c r="M275" s="324"/>
      <c r="N275" s="298">
        <f t="shared" si="10"/>
        <v>289.51</v>
      </c>
      <c r="O275" s="326"/>
      <c r="P275" s="326"/>
      <c r="Q275" s="326"/>
      <c r="R275" s="297">
        <f t="shared" si="11"/>
        <v>4745.04</v>
      </c>
    </row>
    <row r="276" spans="1:18" ht="19.95" customHeight="1" x14ac:dyDescent="0.25">
      <c r="A276" s="325" t="s">
        <v>438</v>
      </c>
      <c r="B276" s="294">
        <v>2259</v>
      </c>
      <c r="C276" s="295" t="s">
        <v>501</v>
      </c>
      <c r="D276" s="315" t="s">
        <v>103</v>
      </c>
      <c r="E276" s="326">
        <v>3194.53</v>
      </c>
      <c r="F276" s="324"/>
      <c r="G276" s="324"/>
      <c r="H276" s="324"/>
      <c r="I276" s="324"/>
      <c r="J276" s="324"/>
      <c r="K276" s="324"/>
      <c r="L276" s="324">
        <v>539.70000000000005</v>
      </c>
      <c r="M276" s="324"/>
      <c r="N276" s="298">
        <f t="shared" si="10"/>
        <v>539.70000000000005</v>
      </c>
      <c r="O276" s="326"/>
      <c r="P276" s="326"/>
      <c r="Q276" s="326"/>
      <c r="R276" s="297">
        <f t="shared" si="11"/>
        <v>3734.2300000000005</v>
      </c>
    </row>
    <row r="277" spans="1:18" ht="19.95" customHeight="1" x14ac:dyDescent="0.25">
      <c r="A277" s="325" t="s">
        <v>439</v>
      </c>
      <c r="B277" s="294">
        <v>1238</v>
      </c>
      <c r="C277" s="295" t="s">
        <v>501</v>
      </c>
      <c r="D277" s="315" t="s">
        <v>95</v>
      </c>
      <c r="E277" s="326">
        <v>7093.13</v>
      </c>
      <c r="F277" s="324"/>
      <c r="G277" s="324"/>
      <c r="H277" s="324"/>
      <c r="I277" s="324"/>
      <c r="J277" s="324"/>
      <c r="K277" s="324"/>
      <c r="L277" s="324"/>
      <c r="M277" s="324"/>
      <c r="N277" s="298">
        <f t="shared" si="10"/>
        <v>0</v>
      </c>
      <c r="O277" s="326">
        <v>200</v>
      </c>
      <c r="P277" s="326"/>
      <c r="Q277" s="326"/>
      <c r="R277" s="297">
        <f t="shared" si="11"/>
        <v>7293.13</v>
      </c>
    </row>
    <row r="278" spans="1:18" ht="19.95" customHeight="1" x14ac:dyDescent="0.25">
      <c r="A278" s="325" t="s">
        <v>440</v>
      </c>
      <c r="B278" s="294">
        <v>2469</v>
      </c>
      <c r="C278" s="295" t="s">
        <v>501</v>
      </c>
      <c r="D278" s="301" t="s">
        <v>95</v>
      </c>
      <c r="E278" s="326">
        <v>3273.75</v>
      </c>
      <c r="F278" s="324"/>
      <c r="G278" s="324">
        <v>187.2</v>
      </c>
      <c r="H278" s="324"/>
      <c r="I278" s="324"/>
      <c r="J278" s="324"/>
      <c r="K278" s="324"/>
      <c r="L278" s="324">
        <v>2919.74</v>
      </c>
      <c r="M278" s="324"/>
      <c r="N278" s="298">
        <f t="shared" si="10"/>
        <v>3106.9399999999996</v>
      </c>
      <c r="O278" s="326">
        <v>2705.64</v>
      </c>
      <c r="P278" s="326"/>
      <c r="Q278" s="326">
        <v>12500</v>
      </c>
      <c r="R278" s="297">
        <f t="shared" si="11"/>
        <v>21586.33</v>
      </c>
    </row>
    <row r="279" spans="1:18" ht="19.95" customHeight="1" x14ac:dyDescent="0.25">
      <c r="A279" s="325" t="s">
        <v>441</v>
      </c>
      <c r="B279" s="294">
        <v>2011</v>
      </c>
      <c r="C279" s="295" t="s">
        <v>501</v>
      </c>
      <c r="D279" s="315"/>
      <c r="E279" s="326"/>
      <c r="F279" s="324"/>
      <c r="G279" s="324"/>
      <c r="H279" s="324"/>
      <c r="I279" s="324"/>
      <c r="J279" s="324"/>
      <c r="K279" s="324"/>
      <c r="L279" s="324"/>
      <c r="M279" s="324"/>
      <c r="N279" s="298">
        <f t="shared" si="10"/>
        <v>0</v>
      </c>
      <c r="O279" s="326"/>
      <c r="P279" s="326"/>
      <c r="Q279" s="326"/>
      <c r="R279" s="297">
        <f t="shared" si="11"/>
        <v>0</v>
      </c>
    </row>
    <row r="280" spans="1:18" ht="19.95" customHeight="1" x14ac:dyDescent="0.25">
      <c r="A280" s="325" t="s">
        <v>442</v>
      </c>
      <c r="B280" s="294">
        <v>2593</v>
      </c>
      <c r="C280" s="295" t="s">
        <v>501</v>
      </c>
      <c r="D280" s="319" t="s">
        <v>95</v>
      </c>
      <c r="E280" s="326">
        <v>14976.8</v>
      </c>
      <c r="F280" s="324"/>
      <c r="G280" s="324"/>
      <c r="H280" s="324"/>
      <c r="I280" s="324"/>
      <c r="J280" s="324"/>
      <c r="K280" s="324"/>
      <c r="L280" s="324"/>
      <c r="M280" s="324"/>
      <c r="N280" s="298">
        <f t="shared" si="10"/>
        <v>0</v>
      </c>
      <c r="O280" s="326"/>
      <c r="P280" s="326"/>
      <c r="Q280" s="326"/>
      <c r="R280" s="297">
        <f t="shared" si="11"/>
        <v>14976.8</v>
      </c>
    </row>
    <row r="281" spans="1:18" ht="19.95" customHeight="1" x14ac:dyDescent="0.25">
      <c r="A281" s="325" t="s">
        <v>443</v>
      </c>
      <c r="B281" s="294">
        <v>2597</v>
      </c>
      <c r="C281" s="295" t="s">
        <v>501</v>
      </c>
      <c r="D281" s="315" t="s">
        <v>112</v>
      </c>
      <c r="E281" s="326"/>
      <c r="F281" s="324"/>
      <c r="G281" s="324"/>
      <c r="H281" s="324"/>
      <c r="I281" s="324"/>
      <c r="J281" s="324"/>
      <c r="K281" s="324"/>
      <c r="L281" s="324"/>
      <c r="M281" s="324"/>
      <c r="N281" s="298">
        <f t="shared" si="10"/>
        <v>0</v>
      </c>
      <c r="O281" s="326"/>
      <c r="P281" s="326"/>
      <c r="Q281" s="326"/>
      <c r="R281" s="297">
        <f t="shared" si="11"/>
        <v>0</v>
      </c>
    </row>
    <row r="282" spans="1:18" ht="19.95" customHeight="1" x14ac:dyDescent="0.25">
      <c r="A282" s="325" t="s">
        <v>581</v>
      </c>
      <c r="B282" s="294">
        <v>2597</v>
      </c>
      <c r="C282" s="295" t="s">
        <v>501</v>
      </c>
      <c r="D282" s="315" t="s">
        <v>95</v>
      </c>
      <c r="E282" s="326">
        <v>4811.2</v>
      </c>
      <c r="F282" s="324"/>
      <c r="G282" s="324"/>
      <c r="H282" s="324"/>
      <c r="I282" s="324"/>
      <c r="J282" s="324"/>
      <c r="K282" s="324"/>
      <c r="L282" s="324"/>
      <c r="M282" s="324"/>
      <c r="N282" s="298">
        <f t="shared" si="10"/>
        <v>0</v>
      </c>
      <c r="O282" s="326">
        <v>130</v>
      </c>
      <c r="P282" s="326"/>
      <c r="Q282" s="326"/>
      <c r="R282" s="297">
        <f t="shared" si="11"/>
        <v>4941.2</v>
      </c>
    </row>
    <row r="283" spans="1:18" ht="19.95" customHeight="1" x14ac:dyDescent="0.25">
      <c r="A283" s="325" t="s">
        <v>334</v>
      </c>
      <c r="B283" s="294">
        <v>2606</v>
      </c>
      <c r="C283" s="295" t="s">
        <v>501</v>
      </c>
      <c r="D283" s="315" t="s">
        <v>93</v>
      </c>
      <c r="E283" s="326">
        <v>24153</v>
      </c>
      <c r="F283" s="324"/>
      <c r="G283" s="324"/>
      <c r="H283" s="324"/>
      <c r="I283" s="324"/>
      <c r="J283" s="324"/>
      <c r="K283" s="324"/>
      <c r="L283" s="324">
        <v>14411.79</v>
      </c>
      <c r="M283" s="324"/>
      <c r="N283" s="298">
        <f t="shared" si="10"/>
        <v>14411.79</v>
      </c>
      <c r="O283" s="326">
        <v>6762.86</v>
      </c>
      <c r="P283" s="326"/>
      <c r="Q283" s="326"/>
      <c r="R283" s="297">
        <f t="shared" si="11"/>
        <v>45327.65</v>
      </c>
    </row>
    <row r="284" spans="1:18" ht="19.95" customHeight="1" x14ac:dyDescent="0.25">
      <c r="A284" s="325" t="s">
        <v>335</v>
      </c>
      <c r="B284" s="294">
        <v>1908</v>
      </c>
      <c r="C284" s="295" t="s">
        <v>501</v>
      </c>
      <c r="D284" s="319" t="s">
        <v>87</v>
      </c>
      <c r="E284" s="326">
        <v>1455</v>
      </c>
      <c r="F284" s="324"/>
      <c r="G284" s="324"/>
      <c r="H284" s="324"/>
      <c r="I284" s="324"/>
      <c r="J284" s="324"/>
      <c r="K284" s="324"/>
      <c r="L284" s="324">
        <v>470.15</v>
      </c>
      <c r="M284" s="324"/>
      <c r="N284" s="298">
        <f t="shared" si="10"/>
        <v>470.15</v>
      </c>
      <c r="O284" s="326"/>
      <c r="P284" s="326"/>
      <c r="Q284" s="326"/>
      <c r="R284" s="297">
        <f t="shared" si="11"/>
        <v>1925.15</v>
      </c>
    </row>
    <row r="285" spans="1:18" ht="19.95" customHeight="1" x14ac:dyDescent="0.25">
      <c r="A285" s="325" t="s">
        <v>336</v>
      </c>
      <c r="B285" s="294">
        <v>2032</v>
      </c>
      <c r="C285" s="295" t="s">
        <v>501</v>
      </c>
      <c r="D285" s="315" t="s">
        <v>103</v>
      </c>
      <c r="E285" s="326"/>
      <c r="F285" s="324"/>
      <c r="G285" s="324"/>
      <c r="H285" s="324"/>
      <c r="I285" s="324"/>
      <c r="J285" s="324"/>
      <c r="K285" s="324"/>
      <c r="L285" s="324"/>
      <c r="M285" s="324"/>
      <c r="N285" s="298">
        <f t="shared" si="10"/>
        <v>0</v>
      </c>
      <c r="O285" s="326"/>
      <c r="P285" s="326"/>
      <c r="Q285" s="326"/>
      <c r="R285" s="297">
        <f t="shared" si="11"/>
        <v>0</v>
      </c>
    </row>
    <row r="286" spans="1:18" ht="19.95" customHeight="1" x14ac:dyDescent="0.25">
      <c r="A286" s="325" t="s">
        <v>444</v>
      </c>
      <c r="B286" s="294">
        <v>2744</v>
      </c>
      <c r="C286" s="295" t="s">
        <v>501</v>
      </c>
      <c r="D286" s="301" t="s">
        <v>352</v>
      </c>
      <c r="E286" s="326">
        <f>3637.5+7093.13</f>
        <v>10730.630000000001</v>
      </c>
      <c r="F286" s="324"/>
      <c r="G286" s="324"/>
      <c r="H286" s="324"/>
      <c r="I286" s="324"/>
      <c r="J286" s="324"/>
      <c r="K286" s="324"/>
      <c r="L286" s="324">
        <v>2135.2199999999998</v>
      </c>
      <c r="M286" s="324"/>
      <c r="N286" s="298">
        <f t="shared" si="10"/>
        <v>2135.2199999999998</v>
      </c>
      <c r="O286" s="326"/>
      <c r="P286" s="326"/>
      <c r="Q286" s="326"/>
      <c r="R286" s="297">
        <f t="shared" si="11"/>
        <v>12865.85</v>
      </c>
    </row>
    <row r="287" spans="1:18" ht="19.95" customHeight="1" x14ac:dyDescent="0.25">
      <c r="A287" s="325" t="s">
        <v>445</v>
      </c>
      <c r="B287" s="294">
        <v>2169</v>
      </c>
      <c r="C287" s="295" t="s">
        <v>501</v>
      </c>
      <c r="D287" s="315" t="s">
        <v>95</v>
      </c>
      <c r="E287" s="326"/>
      <c r="F287" s="324"/>
      <c r="G287" s="324"/>
      <c r="H287" s="324"/>
      <c r="I287" s="324"/>
      <c r="J287" s="324"/>
      <c r="K287" s="324"/>
      <c r="L287" s="324"/>
      <c r="M287" s="324"/>
      <c r="N287" s="298">
        <f t="shared" si="10"/>
        <v>0</v>
      </c>
      <c r="O287" s="326"/>
      <c r="P287" s="326"/>
      <c r="Q287" s="326"/>
      <c r="R287" s="297">
        <f t="shared" si="11"/>
        <v>0</v>
      </c>
    </row>
    <row r="288" spans="1:18" ht="19.95" customHeight="1" x14ac:dyDescent="0.25">
      <c r="A288" s="325" t="s">
        <v>446</v>
      </c>
      <c r="B288" s="294">
        <v>2421</v>
      </c>
      <c r="C288" s="295" t="s">
        <v>501</v>
      </c>
      <c r="D288" s="315" t="s">
        <v>91</v>
      </c>
      <c r="E288" s="326">
        <v>1818.75</v>
      </c>
      <c r="F288" s="324"/>
      <c r="G288" s="324"/>
      <c r="H288" s="324"/>
      <c r="I288" s="324"/>
      <c r="J288" s="324"/>
      <c r="K288" s="324"/>
      <c r="L288" s="324"/>
      <c r="M288" s="324"/>
      <c r="N288" s="298">
        <f t="shared" si="10"/>
        <v>0</v>
      </c>
      <c r="O288" s="326"/>
      <c r="P288" s="326"/>
      <c r="Q288" s="326"/>
      <c r="R288" s="297">
        <f t="shared" si="11"/>
        <v>1818.75</v>
      </c>
    </row>
    <row r="289" spans="1:18" ht="19.95" customHeight="1" x14ac:dyDescent="0.25">
      <c r="A289" s="325" t="s">
        <v>339</v>
      </c>
      <c r="B289" s="294">
        <v>2406</v>
      </c>
      <c r="C289" s="295" t="s">
        <v>501</v>
      </c>
      <c r="D289" s="319" t="s">
        <v>93</v>
      </c>
      <c r="E289" s="326"/>
      <c r="F289" s="324"/>
      <c r="G289" s="324"/>
      <c r="H289" s="324"/>
      <c r="I289" s="324"/>
      <c r="J289" s="324"/>
      <c r="K289" s="324"/>
      <c r="L289" s="324"/>
      <c r="M289" s="324"/>
      <c r="N289" s="298">
        <f t="shared" si="10"/>
        <v>0</v>
      </c>
      <c r="O289" s="326"/>
      <c r="P289" s="326"/>
      <c r="Q289" s="326"/>
      <c r="R289" s="297">
        <f t="shared" si="11"/>
        <v>0</v>
      </c>
    </row>
    <row r="290" spans="1:18" ht="19.95" customHeight="1" x14ac:dyDescent="0.25">
      <c r="A290" s="325" t="s">
        <v>565</v>
      </c>
      <c r="B290" s="294">
        <v>2875</v>
      </c>
      <c r="C290" s="295" t="s">
        <v>501</v>
      </c>
      <c r="D290" s="319" t="s">
        <v>112</v>
      </c>
      <c r="E290" s="326">
        <v>3152.5</v>
      </c>
      <c r="F290" s="324"/>
      <c r="G290" s="324"/>
      <c r="H290" s="324"/>
      <c r="I290" s="324"/>
      <c r="J290" s="324"/>
      <c r="K290" s="324"/>
      <c r="L290" s="324"/>
      <c r="M290" s="324"/>
      <c r="N290" s="298">
        <f t="shared" si="10"/>
        <v>0</v>
      </c>
      <c r="O290" s="326">
        <v>260</v>
      </c>
      <c r="P290" s="326"/>
      <c r="Q290" s="326"/>
      <c r="R290" s="297">
        <f t="shared" si="11"/>
        <v>3412.5</v>
      </c>
    </row>
    <row r="291" spans="1:18" ht="19.95" customHeight="1" x14ac:dyDescent="0.25">
      <c r="A291" s="325" t="s">
        <v>340</v>
      </c>
      <c r="B291" s="294">
        <v>2033</v>
      </c>
      <c r="C291" s="295" t="s">
        <v>501</v>
      </c>
      <c r="D291" s="315" t="s">
        <v>112</v>
      </c>
      <c r="E291" s="326">
        <v>788.13</v>
      </c>
      <c r="F291" s="324"/>
      <c r="G291" s="324"/>
      <c r="H291" s="324"/>
      <c r="I291" s="324"/>
      <c r="J291" s="324"/>
      <c r="K291" s="324"/>
      <c r="L291" s="324"/>
      <c r="M291" s="324"/>
      <c r="N291" s="298">
        <f t="shared" si="10"/>
        <v>0</v>
      </c>
      <c r="O291" s="326"/>
      <c r="P291" s="326"/>
      <c r="Q291" s="326">
        <v>15000</v>
      </c>
      <c r="R291" s="297">
        <f t="shared" si="11"/>
        <v>15788.13</v>
      </c>
    </row>
    <row r="292" spans="1:18" ht="19.95" customHeight="1" x14ac:dyDescent="0.25">
      <c r="A292" s="325" t="s">
        <v>566</v>
      </c>
      <c r="B292" s="294">
        <v>2649</v>
      </c>
      <c r="C292" s="295" t="s">
        <v>501</v>
      </c>
      <c r="D292" s="315"/>
      <c r="E292" s="326"/>
      <c r="F292" s="324"/>
      <c r="G292" s="324"/>
      <c r="H292" s="324"/>
      <c r="I292" s="324"/>
      <c r="J292" s="324"/>
      <c r="K292" s="324"/>
      <c r="L292" s="324"/>
      <c r="M292" s="324"/>
      <c r="N292" s="298">
        <f t="shared" si="10"/>
        <v>0</v>
      </c>
      <c r="O292" s="326"/>
      <c r="P292" s="326"/>
      <c r="Q292" s="326"/>
      <c r="R292" s="297">
        <f t="shared" si="11"/>
        <v>0</v>
      </c>
    </row>
    <row r="293" spans="1:18" ht="19.95" customHeight="1" x14ac:dyDescent="0.25">
      <c r="A293" s="325" t="s">
        <v>341</v>
      </c>
      <c r="B293" s="294">
        <v>2187</v>
      </c>
      <c r="C293" s="295" t="s">
        <v>501</v>
      </c>
      <c r="D293" s="319" t="s">
        <v>93</v>
      </c>
      <c r="E293" s="326">
        <v>3201</v>
      </c>
      <c r="F293" s="324"/>
      <c r="G293" s="324"/>
      <c r="H293" s="324"/>
      <c r="I293" s="324"/>
      <c r="J293" s="324"/>
      <c r="K293" s="324"/>
      <c r="L293" s="324">
        <v>2598.4899999999998</v>
      </c>
      <c r="M293" s="324"/>
      <c r="N293" s="298">
        <f t="shared" si="10"/>
        <v>2598.4899999999998</v>
      </c>
      <c r="O293" s="326"/>
      <c r="P293" s="326"/>
      <c r="Q293" s="326"/>
      <c r="R293" s="297">
        <f t="shared" si="11"/>
        <v>5799.49</v>
      </c>
    </row>
    <row r="294" spans="1:18" ht="19.95" customHeight="1" x14ac:dyDescent="0.25">
      <c r="A294" s="325" t="s">
        <v>447</v>
      </c>
      <c r="B294" s="294">
        <v>2326</v>
      </c>
      <c r="C294" s="295" t="s">
        <v>501</v>
      </c>
      <c r="D294" s="315"/>
      <c r="E294" s="326"/>
      <c r="F294" s="324"/>
      <c r="G294" s="324"/>
      <c r="H294" s="324"/>
      <c r="I294" s="324"/>
      <c r="J294" s="324"/>
      <c r="K294" s="324"/>
      <c r="L294" s="324">
        <v>1795.34</v>
      </c>
      <c r="M294" s="324"/>
      <c r="N294" s="298">
        <f t="shared" si="10"/>
        <v>1795.34</v>
      </c>
      <c r="O294" s="326"/>
      <c r="P294" s="326"/>
      <c r="Q294" s="326"/>
      <c r="R294" s="297">
        <f t="shared" si="11"/>
        <v>1795.34</v>
      </c>
    </row>
    <row r="295" spans="1:18" ht="19.95" customHeight="1" x14ac:dyDescent="0.25">
      <c r="A295" s="325" t="s">
        <v>342</v>
      </c>
      <c r="B295" s="294">
        <v>2811</v>
      </c>
      <c r="C295" s="295" t="s">
        <v>501</v>
      </c>
      <c r="D295" s="301" t="s">
        <v>87</v>
      </c>
      <c r="E295" s="324">
        <v>3783</v>
      </c>
      <c r="F295" s="324"/>
      <c r="G295" s="324">
        <v>299.7</v>
      </c>
      <c r="H295" s="324"/>
      <c r="I295" s="324"/>
      <c r="J295" s="324">
        <v>73.790000000000006</v>
      </c>
      <c r="K295" s="324"/>
      <c r="L295" s="324">
        <v>1755.17</v>
      </c>
      <c r="M295" s="324"/>
      <c r="N295" s="298">
        <f t="shared" si="10"/>
        <v>2128.66</v>
      </c>
      <c r="O295" s="326">
        <v>414.35</v>
      </c>
      <c r="P295" s="326"/>
      <c r="Q295" s="326"/>
      <c r="R295" s="297">
        <f t="shared" si="11"/>
        <v>6326.01</v>
      </c>
    </row>
    <row r="296" spans="1:18" ht="19.95" customHeight="1" x14ac:dyDescent="0.25">
      <c r="A296" s="325" t="s">
        <v>448</v>
      </c>
      <c r="B296" s="294">
        <v>2627</v>
      </c>
      <c r="C296" s="295" t="s">
        <v>501</v>
      </c>
      <c r="D296" s="319"/>
      <c r="E296" s="326"/>
      <c r="F296" s="324"/>
      <c r="G296" s="324"/>
      <c r="H296" s="324"/>
      <c r="I296" s="324"/>
      <c r="J296" s="324"/>
      <c r="K296" s="324"/>
      <c r="L296" s="324">
        <v>840.06</v>
      </c>
      <c r="M296" s="324"/>
      <c r="N296" s="298">
        <f t="shared" si="10"/>
        <v>840.06</v>
      </c>
      <c r="O296" s="326"/>
      <c r="P296" s="326"/>
      <c r="Q296" s="326"/>
      <c r="R296" s="297">
        <f t="shared" si="11"/>
        <v>840.06</v>
      </c>
    </row>
    <row r="297" spans="1:18" ht="19.95" customHeight="1" x14ac:dyDescent="0.25">
      <c r="A297" s="325" t="s">
        <v>567</v>
      </c>
      <c r="B297" s="294">
        <v>2419</v>
      </c>
      <c r="C297" s="295" t="s">
        <v>501</v>
      </c>
      <c r="D297" s="319"/>
      <c r="E297" s="326"/>
      <c r="F297" s="324"/>
      <c r="G297" s="324"/>
      <c r="H297" s="324"/>
      <c r="I297" s="324"/>
      <c r="J297" s="324"/>
      <c r="K297" s="324"/>
      <c r="L297" s="324"/>
      <c r="M297" s="324"/>
      <c r="N297" s="298">
        <f t="shared" si="10"/>
        <v>0</v>
      </c>
      <c r="O297" s="326"/>
      <c r="P297" s="326"/>
      <c r="Q297" s="326"/>
      <c r="R297" s="297">
        <f t="shared" si="11"/>
        <v>0</v>
      </c>
    </row>
    <row r="298" spans="1:18" ht="19.95" customHeight="1" x14ac:dyDescent="0.25">
      <c r="A298" s="325" t="s">
        <v>345</v>
      </c>
      <c r="B298" s="294">
        <v>2768</v>
      </c>
      <c r="C298" s="295" t="s">
        <v>501</v>
      </c>
      <c r="D298" s="315" t="s">
        <v>87</v>
      </c>
      <c r="E298" s="326">
        <v>21294.67</v>
      </c>
      <c r="F298" s="324"/>
      <c r="G298" s="324"/>
      <c r="H298" s="324"/>
      <c r="I298" s="324"/>
      <c r="J298" s="324"/>
      <c r="K298" s="324"/>
      <c r="L298" s="324">
        <v>4389.62</v>
      </c>
      <c r="M298" s="324"/>
      <c r="N298" s="298">
        <f t="shared" ref="N298:N306" si="12">SUM(G298:M298)</f>
        <v>4389.62</v>
      </c>
      <c r="O298" s="326">
        <v>1010.75</v>
      </c>
      <c r="P298" s="326"/>
      <c r="Q298" s="326"/>
      <c r="R298" s="297">
        <f t="shared" ref="R298:R306" si="13">SUM(E298+F298+N298+O298+P298+Q298)</f>
        <v>26695.039999999997</v>
      </c>
    </row>
    <row r="299" spans="1:18" ht="19.95" customHeight="1" x14ac:dyDescent="0.25">
      <c r="A299" s="325" t="s">
        <v>567</v>
      </c>
      <c r="B299" s="294">
        <v>2419</v>
      </c>
      <c r="C299" s="295" t="s">
        <v>501</v>
      </c>
      <c r="D299" s="315"/>
      <c r="E299" s="326"/>
      <c r="F299" s="324"/>
      <c r="G299" s="324"/>
      <c r="H299" s="324"/>
      <c r="I299" s="324"/>
      <c r="J299" s="324"/>
      <c r="K299" s="324"/>
      <c r="L299" s="324">
        <v>321.54000000000002</v>
      </c>
      <c r="M299" s="324"/>
      <c r="N299" s="298">
        <f t="shared" si="12"/>
        <v>321.54000000000002</v>
      </c>
      <c r="O299" s="326"/>
      <c r="P299" s="326"/>
      <c r="Q299" s="326"/>
      <c r="R299" s="297">
        <f t="shared" si="13"/>
        <v>321.54000000000002</v>
      </c>
    </row>
    <row r="300" spans="1:18" ht="19.95" customHeight="1" x14ac:dyDescent="0.25">
      <c r="A300" s="325" t="s">
        <v>346</v>
      </c>
      <c r="B300" s="294">
        <v>2570</v>
      </c>
      <c r="C300" s="295" t="s">
        <v>501</v>
      </c>
      <c r="D300" s="315" t="s">
        <v>95</v>
      </c>
      <c r="E300" s="326">
        <v>18313.599999999999</v>
      </c>
      <c r="F300" s="324"/>
      <c r="G300" s="324"/>
      <c r="H300" s="324"/>
      <c r="I300" s="324"/>
      <c r="J300" s="324"/>
      <c r="K300" s="324"/>
      <c r="L300" s="324"/>
      <c r="M300" s="324"/>
      <c r="N300" s="298">
        <f t="shared" si="12"/>
        <v>0</v>
      </c>
      <c r="O300" s="326">
        <v>520</v>
      </c>
      <c r="P300" s="326"/>
      <c r="Q300" s="326"/>
      <c r="R300" s="297">
        <f t="shared" si="13"/>
        <v>18833.599999999999</v>
      </c>
    </row>
    <row r="301" spans="1:18" ht="19.95" customHeight="1" x14ac:dyDescent="0.25">
      <c r="A301" s="325" t="s">
        <v>347</v>
      </c>
      <c r="B301" s="294">
        <v>1983</v>
      </c>
      <c r="C301" s="295" t="s">
        <v>501</v>
      </c>
      <c r="D301" s="301" t="s">
        <v>103</v>
      </c>
      <c r="E301" s="326"/>
      <c r="F301" s="324"/>
      <c r="G301" s="324"/>
      <c r="H301" s="324"/>
      <c r="I301" s="324"/>
      <c r="J301" s="324"/>
      <c r="K301" s="324"/>
      <c r="L301" s="324"/>
      <c r="M301" s="324"/>
      <c r="N301" s="298">
        <f t="shared" si="12"/>
        <v>0</v>
      </c>
      <c r="O301" s="326"/>
      <c r="P301" s="326"/>
      <c r="Q301" s="326"/>
      <c r="R301" s="297">
        <f t="shared" si="13"/>
        <v>0</v>
      </c>
    </row>
    <row r="302" spans="1:18" ht="19.95" customHeight="1" x14ac:dyDescent="0.25">
      <c r="A302" s="325" t="s">
        <v>348</v>
      </c>
      <c r="B302" s="294">
        <v>2712</v>
      </c>
      <c r="C302" s="295" t="s">
        <v>501</v>
      </c>
      <c r="D302" s="315" t="s">
        <v>112</v>
      </c>
      <c r="E302" s="326">
        <v>13458.75</v>
      </c>
      <c r="F302" s="324"/>
      <c r="G302" s="324"/>
      <c r="H302" s="324"/>
      <c r="I302" s="324"/>
      <c r="J302" s="324"/>
      <c r="K302" s="324"/>
      <c r="L302" s="324"/>
      <c r="M302" s="324"/>
      <c r="N302" s="298">
        <f t="shared" si="12"/>
        <v>0</v>
      </c>
      <c r="O302" s="326">
        <v>520</v>
      </c>
      <c r="P302" s="326"/>
      <c r="Q302" s="326"/>
      <c r="R302" s="297">
        <f t="shared" si="13"/>
        <v>13978.75</v>
      </c>
    </row>
    <row r="303" spans="1:18" ht="19.95" customHeight="1" x14ac:dyDescent="0.25">
      <c r="A303" s="325" t="s">
        <v>449</v>
      </c>
      <c r="B303" s="294">
        <v>1902</v>
      </c>
      <c r="C303" s="295" t="s">
        <v>501</v>
      </c>
      <c r="D303" s="315"/>
      <c r="E303" s="324"/>
      <c r="F303" s="324"/>
      <c r="G303" s="324"/>
      <c r="H303" s="324"/>
      <c r="I303" s="324"/>
      <c r="J303" s="324"/>
      <c r="K303" s="324"/>
      <c r="L303" s="324">
        <v>994.75</v>
      </c>
      <c r="M303" s="324"/>
      <c r="N303" s="298">
        <f t="shared" si="12"/>
        <v>994.75</v>
      </c>
      <c r="O303" s="326"/>
      <c r="P303" s="326"/>
      <c r="Q303" s="326">
        <v>6250</v>
      </c>
      <c r="R303" s="297">
        <f t="shared" si="13"/>
        <v>7244.75</v>
      </c>
    </row>
    <row r="304" spans="1:18" ht="19.95" customHeight="1" x14ac:dyDescent="0.25">
      <c r="A304" s="325" t="s">
        <v>568</v>
      </c>
      <c r="B304" s="294">
        <v>2857</v>
      </c>
      <c r="C304" s="295" t="s">
        <v>501</v>
      </c>
      <c r="D304" s="315" t="s">
        <v>112</v>
      </c>
      <c r="E304" s="324">
        <v>9275.6299999999992</v>
      </c>
      <c r="F304" s="324"/>
      <c r="G304" s="324"/>
      <c r="H304" s="324"/>
      <c r="I304" s="324"/>
      <c r="J304" s="324"/>
      <c r="K304" s="324"/>
      <c r="L304" s="324"/>
      <c r="M304" s="324"/>
      <c r="N304" s="298">
        <f t="shared" si="12"/>
        <v>0</v>
      </c>
      <c r="O304" s="326">
        <v>390</v>
      </c>
      <c r="P304" s="326"/>
      <c r="Q304" s="326"/>
      <c r="R304" s="297">
        <f t="shared" si="13"/>
        <v>9665.6299999999992</v>
      </c>
    </row>
    <row r="305" spans="1:18" ht="19.95" customHeight="1" x14ac:dyDescent="0.25">
      <c r="A305" s="325" t="s">
        <v>450</v>
      </c>
      <c r="B305" s="294">
        <v>2294</v>
      </c>
      <c r="C305" s="295" t="s">
        <v>501</v>
      </c>
      <c r="D305" s="315" t="s">
        <v>112</v>
      </c>
      <c r="E305" s="316">
        <v>1576.25</v>
      </c>
      <c r="F305" s="316"/>
      <c r="G305" s="316"/>
      <c r="H305" s="316"/>
      <c r="I305" s="316"/>
      <c r="J305" s="316"/>
      <c r="K305" s="316"/>
      <c r="L305" s="316"/>
      <c r="M305" s="316"/>
      <c r="N305" s="298">
        <f t="shared" si="12"/>
        <v>0</v>
      </c>
      <c r="O305" s="327"/>
      <c r="P305" s="327"/>
      <c r="Q305" s="327"/>
      <c r="R305" s="297">
        <f t="shared" si="13"/>
        <v>1576.25</v>
      </c>
    </row>
    <row r="306" spans="1:18" ht="19.95" customHeight="1" x14ac:dyDescent="0.25">
      <c r="A306" s="325" t="s">
        <v>451</v>
      </c>
      <c r="B306" s="294">
        <v>2783</v>
      </c>
      <c r="C306" s="295" t="s">
        <v>501</v>
      </c>
      <c r="D306" s="315" t="s">
        <v>112</v>
      </c>
      <c r="E306" s="316"/>
      <c r="F306" s="316"/>
      <c r="G306" s="316"/>
      <c r="H306" s="316"/>
      <c r="I306" s="316"/>
      <c r="J306" s="316"/>
      <c r="K306" s="316"/>
      <c r="L306" s="316"/>
      <c r="M306" s="316"/>
      <c r="N306" s="298">
        <f t="shared" si="12"/>
        <v>0</v>
      </c>
      <c r="O306" s="327"/>
      <c r="P306" s="327"/>
      <c r="Q306" s="327"/>
      <c r="R306" s="297">
        <f t="shared" si="13"/>
        <v>0</v>
      </c>
    </row>
    <row r="307" spans="1:18" ht="19.95" customHeight="1" x14ac:dyDescent="0.25">
      <c r="A307" s="305" t="s">
        <v>85</v>
      </c>
      <c r="B307" s="225"/>
      <c r="C307" s="306"/>
      <c r="D307" s="306"/>
      <c r="E307" s="328">
        <f>SUM(E169:E306)</f>
        <v>580058.54000000015</v>
      </c>
      <c r="F307" s="328">
        <f>SUM(F168,F67)</f>
        <v>18117.190000000002</v>
      </c>
      <c r="G307" s="328">
        <f t="shared" ref="G307:M307" si="14">SUM(G168,G67)</f>
        <v>10271.34</v>
      </c>
      <c r="H307" s="328">
        <f t="shared" si="14"/>
        <v>0</v>
      </c>
      <c r="I307" s="328">
        <f t="shared" si="14"/>
        <v>0</v>
      </c>
      <c r="J307" s="328">
        <f t="shared" si="14"/>
        <v>5435.24</v>
      </c>
      <c r="K307" s="328">
        <f t="shared" si="14"/>
        <v>0</v>
      </c>
      <c r="L307" s="328">
        <f t="shared" si="14"/>
        <v>179625.00000000003</v>
      </c>
      <c r="M307" s="328">
        <f t="shared" si="14"/>
        <v>5771.5</v>
      </c>
      <c r="N307" s="328">
        <f t="shared" ref="N307:R307" si="15">SUM(N169:N306)</f>
        <v>207926.43000000002</v>
      </c>
      <c r="O307" s="328">
        <f t="shared" si="15"/>
        <v>45245.4</v>
      </c>
      <c r="P307" s="328">
        <f t="shared" si="15"/>
        <v>0</v>
      </c>
      <c r="Q307" s="328">
        <f t="shared" si="15"/>
        <v>63750</v>
      </c>
      <c r="R307" s="328">
        <f t="shared" si="15"/>
        <v>896980.37000000011</v>
      </c>
    </row>
    <row r="308" spans="1:18" ht="42" customHeight="1" x14ac:dyDescent="0.25">
      <c r="A308" s="329" t="s">
        <v>62</v>
      </c>
      <c r="B308" s="330"/>
      <c r="C308" s="330"/>
      <c r="D308" s="330"/>
      <c r="E308" s="331">
        <f t="shared" ref="E308:Q308" si="16">E67+E168+E307</f>
        <v>1522226.6500000001</v>
      </c>
      <c r="F308" s="331">
        <f t="shared" si="16"/>
        <v>36234.380000000005</v>
      </c>
      <c r="G308" s="331">
        <f t="shared" si="16"/>
        <v>20542.68</v>
      </c>
      <c r="H308" s="331">
        <f t="shared" si="16"/>
        <v>0</v>
      </c>
      <c r="I308" s="331">
        <f t="shared" si="16"/>
        <v>0</v>
      </c>
      <c r="J308" s="331">
        <f t="shared" si="16"/>
        <v>10870.48</v>
      </c>
      <c r="K308" s="331">
        <f t="shared" si="16"/>
        <v>0</v>
      </c>
      <c r="L308" s="331">
        <f t="shared" si="16"/>
        <v>359250.00000000006</v>
      </c>
      <c r="M308" s="331">
        <f t="shared" si="16"/>
        <v>11543</v>
      </c>
      <c r="N308" s="332">
        <f t="shared" si="16"/>
        <v>409029.51</v>
      </c>
      <c r="O308" s="331">
        <f t="shared" si="16"/>
        <v>109926.77000000002</v>
      </c>
      <c r="P308" s="331">
        <f t="shared" si="16"/>
        <v>150000</v>
      </c>
      <c r="Q308" s="331">
        <f t="shared" si="16"/>
        <v>380000.01</v>
      </c>
      <c r="R308" s="333">
        <f>E308+F308+N308+O308+P308+Q308</f>
        <v>2607417.3200000003</v>
      </c>
    </row>
    <row r="309" spans="1:18" ht="15" customHeight="1" x14ac:dyDescent="0.25">
      <c r="R309" s="336">
        <f>(R308-L308)+L307</f>
        <v>2427792.3200000003</v>
      </c>
    </row>
  </sheetData>
  <autoFilter ref="A2:R309" xr:uid="{613F25F0-B4F9-4433-906A-4EA9B25785AE}"/>
  <pageMargins left="0.7" right="0.7" top="0.75" bottom="0.75" header="0.3" footer="0.3"/>
  <pageSetup paperSize="9" scale="1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</vt:i4>
      </vt:variant>
    </vt:vector>
  </HeadingPairs>
  <TitlesOfParts>
    <vt:vector size="15" baseType="lpstr">
      <vt:lpstr>Geral</vt:lpstr>
      <vt:lpstr>Bloco01</vt:lpstr>
      <vt:lpstr>Bloco02</vt:lpstr>
      <vt:lpstr>Bloco03</vt:lpstr>
      <vt:lpstr>Bloco04</vt:lpstr>
      <vt:lpstr>RepasseJaneiro25</vt:lpstr>
      <vt:lpstr>RepasseFevereiro25</vt:lpstr>
      <vt:lpstr>RepasseMarco25</vt:lpstr>
      <vt:lpstr>RepasseAbril25</vt:lpstr>
      <vt:lpstr>RepasseMaio25</vt:lpstr>
      <vt:lpstr>Dados</vt:lpstr>
      <vt:lpstr>RepasseAbril25!Area_de_impressao</vt:lpstr>
      <vt:lpstr>RepasseFevereiro25!Area_de_impressao</vt:lpstr>
      <vt:lpstr>RepasseMaio25!Area_de_impressao</vt:lpstr>
      <vt:lpstr>RepasseMarco25!Area_de_impressao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Dr. Guilherme Thomé</cp:lastModifiedBy>
  <cp:revision/>
  <cp:lastPrinted>2025-03-25T14:54:46Z</cp:lastPrinted>
  <dcterms:created xsi:type="dcterms:W3CDTF">2025-02-21T12:29:32Z</dcterms:created>
  <dcterms:modified xsi:type="dcterms:W3CDTF">2025-06-07T14:04:51Z</dcterms:modified>
  <cp:category/>
  <cp:contentStatus/>
</cp:coreProperties>
</file>