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drawings/drawing9.xml" ContentType="application/vnd.openxmlformats-officedocument.drawing+xml"/>
  <Override PartName="/xl/pivotTables/pivotTable1.xml" ContentType="application/vnd.openxmlformats-officedocument.spreadsheetml.pivotTable+xml"/>
  <Override PartName="/xl/drawings/drawing10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11.xml" ContentType="application/vnd.openxmlformats-officedocument.drawing+xml"/>
  <Override PartName="/xl/slicers/slicer2.xml" ContentType="application/vnd.ms-excel.slicer+xml"/>
  <Override PartName="/xl/pivotTables/pivotTable3.xml" ContentType="application/vnd.openxmlformats-officedocument.spreadsheetml.pivotTable+xml"/>
  <Override PartName="/xl/drawings/drawing12.xml" ContentType="application/vnd.openxmlformats-officedocument.drawing+xml"/>
  <Override PartName="/xl/slicers/slicer3.xml" ContentType="application/vnd.ms-excel.slicer+xml"/>
  <Override PartName="/xl/pivotTables/pivotTable4.xml" ContentType="application/vnd.openxmlformats-officedocument.spreadsheetml.pivotTable+xml"/>
  <Override PartName="/xl/drawings/drawing13.xml" ContentType="application/vnd.openxmlformats-officedocument.drawing+xml"/>
  <Override PartName="/xl/slicers/slicer4.xml" ContentType="application/vnd.ms-excel.slicer+xml"/>
  <Override PartName="/xl/pivotTables/pivotTable5.xml" ContentType="application/vnd.openxmlformats-officedocument.spreadsheetml.pivotTable+xml"/>
  <Override PartName="/xl/drawings/drawing14.xml" ContentType="application/vnd.openxmlformats-officedocument.drawing+xml"/>
  <Override PartName="/xl/slicers/slicer5.xml" ContentType="application/vnd.ms-excel.slicer+xml"/>
  <Override PartName="/xl/drawings/drawing1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ne\Documents\Cursos\Curso Excel\Projetos\"/>
    </mc:Choice>
  </mc:AlternateContent>
  <xr:revisionPtr revIDLastSave="0" documentId="13_ncr:1_{43C30466-CC84-43CB-AD4F-7D7E2D169E31}" xr6:coauthVersionLast="47" xr6:coauthVersionMax="47" xr10:uidLastSave="{00000000-0000-0000-0000-000000000000}"/>
  <workbookProtection lockStructure="1"/>
  <bookViews>
    <workbookView xWindow="-120" yWindow="-120" windowWidth="29040" windowHeight="15840" tabRatio="778" xr2:uid="{E6EF8364-6C7D-48BD-AD47-51EA1DF50267}"/>
  </bookViews>
  <sheets>
    <sheet name="Início" sheetId="1" r:id="rId1"/>
    <sheet name="Referência" sheetId="2" state="hidden" r:id="rId2"/>
    <sheet name="PCEntradas-N1" sheetId="3" r:id="rId3"/>
    <sheet name="PCEntradas-N2" sheetId="4" r:id="rId4"/>
    <sheet name="PCSaidas-N1" sheetId="5" r:id="rId5"/>
    <sheet name="PCSaidas-N2" sheetId="6" r:id="rId6"/>
    <sheet name="RegistrosEntrada" sheetId="7" r:id="rId7"/>
    <sheet name="RegistrosSaida" sheetId="8" r:id="rId8"/>
    <sheet name="FluxoCaixaConsolidado" sheetId="9" r:id="rId9"/>
    <sheet name="DetalhaReceita" sheetId="10" r:id="rId10"/>
    <sheet name="DetalhaDespesa" sheetId="11" r:id="rId11"/>
    <sheet name="ContasReceber" sheetId="13" r:id="rId12"/>
    <sheet name="ContasPagar" sheetId="12" r:id="rId13"/>
    <sheet name="ContasReceberVencidas" sheetId="14" r:id="rId14"/>
    <sheet name="DashboardFInanceiraAnual" sheetId="16" r:id="rId15"/>
    <sheet name="DashboardFInanceiraAtual" sheetId="18" r:id="rId16"/>
    <sheet name="DashBoardFinanceiroAnualRef" sheetId="17" state="hidden" r:id="rId17"/>
    <sheet name="DashBoardFinanceiroAtualRef" sheetId="19" state="hidden" r:id="rId18"/>
  </sheets>
  <definedNames>
    <definedName name="PCEntradaN1_Nivel_1" localSheetId="15">PCEntradasN1[Nível 1]</definedName>
    <definedName name="PCEntradaN1_Nivel_1" localSheetId="17">PCEntradasN1[Nível 1]</definedName>
    <definedName name="PCEntradaN1_Nivel_1">PCEntradasN1[Nível 1]</definedName>
    <definedName name="PCEntradasN1_Nivel_1" localSheetId="15">PCEntradasN1[Nível 1]</definedName>
    <definedName name="PCEntradasN1_Nivel_1" localSheetId="17">PCEntradasN1[Nível 1]</definedName>
    <definedName name="PCEntradasN1_Nivel_1">PCEntradasN1[Nível 1]</definedName>
    <definedName name="PCEntradasN2_Nivel_1" localSheetId="15">PCEntradasN2[Nível 1]</definedName>
    <definedName name="PCEntradasN2_Nivel_1" localSheetId="17">PCEntradasN2[Nível 1]</definedName>
    <definedName name="PCEntradasN2_Nivel_1">PCEntradasN2[Nível 1]</definedName>
    <definedName name="PCEntradasN2_Nivel_2" localSheetId="15">PCEntradasN2[Nível 2]</definedName>
    <definedName name="PCEntradasN2_Nivel_2" localSheetId="17">PCEntradasN2[Nível 2]</definedName>
    <definedName name="PCEntradasN2_Nivel_2">PCEntradasN2[Nível 2]</definedName>
    <definedName name="PCSaidasN1_Nivel_1" localSheetId="15">PCSaidasN1[Nível 1]</definedName>
    <definedName name="PCSaidasN1_Nivel_1" localSheetId="17">PCSaidasN1[Nível 1]</definedName>
    <definedName name="PCSaidasN1_Nivel_1">PCSaidasN1[Nível 1]</definedName>
    <definedName name="PCSaidasN2_Nivel_1" localSheetId="15">PCSaidasN2[Nível 1]</definedName>
    <definedName name="PCSaidasN2_Nivel_1" localSheetId="17">PCSaidasN2[Nível 1]</definedName>
    <definedName name="PCSaidasN2_Nivel_1">PCSaidasN2[Nível 1]</definedName>
    <definedName name="PCSaidasN2_Nivel_2" localSheetId="15">PCSaidasN2[Nível 2]</definedName>
    <definedName name="PCSaidasN2_Nivel_2" localSheetId="17">PCSaidasN2[Nível 2]</definedName>
    <definedName name="PCSaidasN2_Nivel_2">PCSaidasN2[Nível 2]</definedName>
    <definedName name="SegmentaçãodeDados_Ano_Competência">#N/A</definedName>
    <definedName name="SegmentaçãodeDados_Ano_Competência1">#N/A</definedName>
    <definedName name="SegmentaçãodeDados_Ano_Competência2">#N/A</definedName>
    <definedName name="SegmentaçãodeDados_Ano_Previsto">#N/A</definedName>
    <definedName name="SegmentaçãodeDados_Ano_Previsto1">#N/A</definedName>
    <definedName name="SegmentaçãodeDados_Mês_Competência">#N/A</definedName>
    <definedName name="SegmentaçãodeDados_Mês_Competência1">#N/A</definedName>
    <definedName name="SegmentaçãodeDados_Mês_Previsto">#N/A</definedName>
    <definedName name="SegmentaçãodeDados_Mês_Previsto1">#N/A</definedName>
  </definedNames>
  <calcPr calcId="191029"/>
  <pivotCaches>
    <pivotCache cacheId="0" r:id="rId19"/>
    <pivotCache cacheId="1" r:id="rId20"/>
  </pivotCaches>
  <extLst>
    <ext xmlns:x14="http://schemas.microsoft.com/office/spreadsheetml/2009/9/main" uri="{BBE1A952-AA13-448e-AADC-164F8A28A991}">
      <x14:slicerCaches>
        <x14:slicerCache r:id="rId21"/>
        <x14:slicerCache r:id="rId22"/>
        <x14:slicerCache r:id="rId23"/>
        <x14:slicerCache r:id="rId24"/>
        <x14:slicerCache r:id="rId25"/>
        <x14:slicerCache r:id="rId26"/>
        <x14:slicerCache r:id="rId27"/>
        <x14:slicerCache r:id="rId28"/>
        <x14:slicerCache r:id="rId2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9" l="1"/>
  <c r="J7" i="19"/>
  <c r="J8" i="19"/>
  <c r="J9" i="19"/>
  <c r="J10" i="19"/>
  <c r="J11" i="19"/>
  <c r="J12" i="19"/>
  <c r="J13" i="19"/>
  <c r="J14" i="19"/>
  <c r="J15" i="19"/>
  <c r="J16" i="19"/>
  <c r="J5" i="19"/>
  <c r="H6" i="19"/>
  <c r="H7" i="19"/>
  <c r="H8" i="19"/>
  <c r="H9" i="19"/>
  <c r="H10" i="19"/>
  <c r="H11" i="19"/>
  <c r="H12" i="19"/>
  <c r="H13" i="19"/>
  <c r="H14" i="19"/>
  <c r="H15" i="19"/>
  <c r="H16" i="19"/>
  <c r="H5" i="19"/>
  <c r="G6" i="19"/>
  <c r="G7" i="19"/>
  <c r="G8" i="19"/>
  <c r="G9" i="19"/>
  <c r="G10" i="19"/>
  <c r="G11" i="19"/>
  <c r="G12" i="19"/>
  <c r="G13" i="19"/>
  <c r="G14" i="19"/>
  <c r="G15" i="19"/>
  <c r="G16" i="19"/>
  <c r="G5" i="19"/>
  <c r="D32" i="19"/>
  <c r="C32" i="19"/>
  <c r="D22" i="19"/>
  <c r="C22" i="19"/>
  <c r="H33" i="19"/>
  <c r="H34" i="19"/>
  <c r="H35" i="19"/>
  <c r="H36" i="19"/>
  <c r="H37" i="19"/>
  <c r="H38" i="19"/>
  <c r="H39" i="19"/>
  <c r="H40" i="19"/>
  <c r="H41" i="19"/>
  <c r="H42" i="19"/>
  <c r="H43" i="19"/>
  <c r="H32" i="19"/>
  <c r="D14" i="19"/>
  <c r="D13" i="19"/>
  <c r="C8" i="19"/>
  <c r="C10" i="19"/>
  <c r="C9" i="19"/>
  <c r="C5" i="19"/>
  <c r="H31" i="19"/>
  <c r="J4" i="19"/>
  <c r="K6" i="17"/>
  <c r="K7" i="17"/>
  <c r="K8" i="17"/>
  <c r="K9" i="17"/>
  <c r="K10" i="17"/>
  <c r="K11" i="17"/>
  <c r="K12" i="17"/>
  <c r="K13" i="17"/>
  <c r="K14" i="17"/>
  <c r="K15" i="17"/>
  <c r="K16" i="17"/>
  <c r="K5" i="17"/>
  <c r="C4" i="19"/>
  <c r="B11" i="18" l="1"/>
  <c r="B8" i="18"/>
  <c r="H30" i="19"/>
  <c r="L3" i="19"/>
  <c r="H31" i="17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J4" i="17"/>
  <c r="C4" i="17"/>
  <c r="B27" i="17" s="1"/>
  <c r="N2" i="14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4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D27" i="19" l="1"/>
  <c r="C27" i="19"/>
  <c r="I27" i="19"/>
  <c r="H27" i="19"/>
  <c r="K7" i="19"/>
  <c r="K13" i="19"/>
  <c r="K8" i="19"/>
  <c r="K14" i="19"/>
  <c r="K9" i="19"/>
  <c r="K15" i="19"/>
  <c r="K10" i="19"/>
  <c r="K16" i="19"/>
  <c r="K11" i="19"/>
  <c r="K6" i="19"/>
  <c r="K12" i="19"/>
  <c r="G27" i="19"/>
  <c r="B32" i="19"/>
  <c r="C11" i="19"/>
  <c r="B5" i="18" s="1"/>
  <c r="B27" i="19"/>
  <c r="H17" i="19"/>
  <c r="B22" i="19"/>
  <c r="H30" i="17"/>
  <c r="H43" i="17" s="1"/>
  <c r="B32" i="17"/>
  <c r="I27" i="17"/>
  <c r="H27" i="17"/>
  <c r="C27" i="17"/>
  <c r="D27" i="17"/>
  <c r="C10" i="17"/>
  <c r="G12" i="17"/>
  <c r="G8" i="17"/>
  <c r="G27" i="17"/>
  <c r="G13" i="17"/>
  <c r="D13" i="17"/>
  <c r="B8" i="16" s="1"/>
  <c r="G11" i="17"/>
  <c r="B22" i="17"/>
  <c r="C22" i="17" s="1"/>
  <c r="G5" i="17"/>
  <c r="G7" i="17"/>
  <c r="G14" i="17"/>
  <c r="G6" i="17"/>
  <c r="L3" i="17"/>
  <c r="H7" i="17"/>
  <c r="C8" i="17"/>
  <c r="H14" i="17"/>
  <c r="H6" i="17"/>
  <c r="H13" i="17"/>
  <c r="C9" i="17"/>
  <c r="H12" i="17"/>
  <c r="H11" i="17"/>
  <c r="H8" i="17"/>
  <c r="H10" i="17"/>
  <c r="H5" i="17"/>
  <c r="J11" i="17"/>
  <c r="D14" i="17"/>
  <c r="B11" i="16" s="1"/>
  <c r="G15" i="17"/>
  <c r="G9" i="17"/>
  <c r="H15" i="17"/>
  <c r="H9" i="17"/>
  <c r="G16" i="17"/>
  <c r="G10" i="17"/>
  <c r="H16" i="17"/>
  <c r="N16" i="9"/>
  <c r="N22" i="9" s="1"/>
  <c r="J16" i="9"/>
  <c r="J22" i="9" s="1"/>
  <c r="H16" i="9"/>
  <c r="H22" i="9" s="1"/>
  <c r="E16" i="9"/>
  <c r="E22" i="9" s="1"/>
  <c r="K16" i="9"/>
  <c r="K22" i="9" s="1"/>
  <c r="F16" i="9"/>
  <c r="F22" i="9" s="1"/>
  <c r="L16" i="9"/>
  <c r="L22" i="9" s="1"/>
  <c r="G16" i="9"/>
  <c r="G22" i="9" s="1"/>
  <c r="M16" i="9"/>
  <c r="M22" i="9" s="1"/>
  <c r="C16" i="9"/>
  <c r="C22" i="9" s="1"/>
  <c r="I16" i="9"/>
  <c r="I22" i="9" s="1"/>
  <c r="I25" i="9" s="1"/>
  <c r="D16" i="9"/>
  <c r="D22" i="9" s="1"/>
  <c r="C15" i="9"/>
  <c r="N17" i="9"/>
  <c r="N23" i="9" s="1"/>
  <c r="I17" i="9"/>
  <c r="I23" i="9" s="1"/>
  <c r="C17" i="9"/>
  <c r="C23" i="9" s="1"/>
  <c r="D17" i="9"/>
  <c r="D23" i="9" s="1"/>
  <c r="J17" i="9"/>
  <c r="J23" i="9" s="1"/>
  <c r="E17" i="9"/>
  <c r="E23" i="9" s="1"/>
  <c r="K17" i="9"/>
  <c r="K23" i="9" s="1"/>
  <c r="F17" i="9"/>
  <c r="F23" i="9" s="1"/>
  <c r="L17" i="9"/>
  <c r="L23" i="9" s="1"/>
  <c r="D10" i="9"/>
  <c r="G17" i="9"/>
  <c r="G23" i="9" s="1"/>
  <c r="M17" i="9"/>
  <c r="M23" i="9" s="1"/>
  <c r="H17" i="9"/>
  <c r="H23" i="9" s="1"/>
  <c r="N10" i="9"/>
  <c r="J10" i="9"/>
  <c r="C10" i="9"/>
  <c r="I10" i="9"/>
  <c r="E10" i="9"/>
  <c r="K10" i="9"/>
  <c r="F10" i="9"/>
  <c r="L10" i="9"/>
  <c r="G10" i="9"/>
  <c r="M10" i="9"/>
  <c r="H10" i="9"/>
  <c r="C8" i="9"/>
  <c r="M9" i="9"/>
  <c r="G9" i="9"/>
  <c r="C9" i="9"/>
  <c r="H9" i="9"/>
  <c r="N9" i="9"/>
  <c r="I9" i="9"/>
  <c r="F9" i="9"/>
  <c r="D9" i="9"/>
  <c r="J9" i="9"/>
  <c r="E9" i="9"/>
  <c r="K9" i="9"/>
  <c r="L9" i="9"/>
  <c r="K8" i="18" l="1"/>
  <c r="K5" i="19"/>
  <c r="H44" i="19"/>
  <c r="K15" i="18" s="1"/>
  <c r="G17" i="19"/>
  <c r="J13" i="17"/>
  <c r="J12" i="17"/>
  <c r="J14" i="17"/>
  <c r="J16" i="17"/>
  <c r="H39" i="17"/>
  <c r="H34" i="17"/>
  <c r="H40" i="17"/>
  <c r="H37" i="17"/>
  <c r="H33" i="17"/>
  <c r="H38" i="17"/>
  <c r="H32" i="17"/>
  <c r="H36" i="17"/>
  <c r="H35" i="17"/>
  <c r="H41" i="17"/>
  <c r="H42" i="17"/>
  <c r="D32" i="17"/>
  <c r="C32" i="17"/>
  <c r="E27" i="17"/>
  <c r="J27" i="17"/>
  <c r="D22" i="17"/>
  <c r="E22" i="17" s="1"/>
  <c r="B16" i="16" s="1"/>
  <c r="J9" i="17"/>
  <c r="G17" i="17"/>
  <c r="J15" i="17"/>
  <c r="J7" i="17"/>
  <c r="J5" i="17"/>
  <c r="J8" i="17"/>
  <c r="J10" i="17"/>
  <c r="J6" i="17"/>
  <c r="H17" i="17"/>
  <c r="C11" i="17"/>
  <c r="B5" i="16" s="1"/>
  <c r="N25" i="9"/>
  <c r="C26" i="9"/>
  <c r="D26" i="9" s="1"/>
  <c r="E26" i="9" s="1"/>
  <c r="F26" i="9" s="1"/>
  <c r="G26" i="9" s="1"/>
  <c r="H26" i="9" s="1"/>
  <c r="I26" i="9" s="1"/>
  <c r="J26" i="9" s="1"/>
  <c r="K26" i="9" s="1"/>
  <c r="L26" i="9" s="1"/>
  <c r="M26" i="9" s="1"/>
  <c r="N26" i="9" s="1"/>
  <c r="G25" i="9"/>
  <c r="J25" i="9"/>
  <c r="H24" i="9"/>
  <c r="K25" i="9"/>
  <c r="M25" i="9"/>
  <c r="E25" i="9"/>
  <c r="D25" i="9"/>
  <c r="L25" i="9"/>
  <c r="F25" i="9"/>
  <c r="I24" i="9"/>
  <c r="N24" i="9"/>
  <c r="L24" i="9"/>
  <c r="H25" i="9"/>
  <c r="M24" i="9"/>
  <c r="E24" i="9"/>
  <c r="C24" i="9"/>
  <c r="C25" i="9"/>
  <c r="D24" i="9"/>
  <c r="K24" i="9"/>
  <c r="F24" i="9"/>
  <c r="J24" i="9"/>
  <c r="G24" i="9"/>
  <c r="C18" i="9"/>
  <c r="D15" i="9" s="1"/>
  <c r="D18" i="9" s="1"/>
  <c r="C11" i="9"/>
  <c r="D8" i="9" s="1"/>
  <c r="D11" i="9" s="1"/>
  <c r="E8" i="9" s="1"/>
  <c r="E11" i="9" s="1"/>
  <c r="F8" i="9" s="1"/>
  <c r="E27" i="19" l="1"/>
  <c r="F16" i="18" s="1"/>
  <c r="E32" i="19"/>
  <c r="I14" i="18" s="1"/>
  <c r="J27" i="19"/>
  <c r="G16" i="18" s="1"/>
  <c r="E22" i="19"/>
  <c r="B16" i="18" s="1"/>
  <c r="G16" i="16"/>
  <c r="F16" i="16"/>
  <c r="E32" i="17"/>
  <c r="I14" i="16" s="1"/>
  <c r="H44" i="17"/>
  <c r="K15" i="16" s="1"/>
  <c r="K8" i="16"/>
  <c r="F15" i="9"/>
  <c r="F18" i="9" s="1"/>
  <c r="H15" i="9" s="1"/>
  <c r="H18" i="9" s="1"/>
  <c r="J15" i="9" s="1"/>
  <c r="J18" i="9" s="1"/>
  <c r="L15" i="9" s="1"/>
  <c r="E15" i="9"/>
  <c r="E18" i="9" s="1"/>
  <c r="G15" i="9" s="1"/>
  <c r="G18" i="9" s="1"/>
  <c r="I15" i="9" s="1"/>
  <c r="F11" i="9"/>
  <c r="G8" i="9" s="1"/>
  <c r="L18" i="9" l="1"/>
  <c r="N15" i="9" s="1"/>
  <c r="N18" i="9" s="1"/>
  <c r="I18" i="9"/>
  <c r="K15" i="9" s="1"/>
  <c r="G11" i="9"/>
  <c r="H8" i="9" s="1"/>
  <c r="K18" i="9" l="1"/>
  <c r="M15" i="9" s="1"/>
  <c r="M18" i="9" s="1"/>
  <c r="H11" i="9"/>
  <c r="I8" i="9" s="1"/>
  <c r="I11" i="9" l="1"/>
  <c r="J8" i="9" s="1"/>
  <c r="J11" i="9" l="1"/>
  <c r="K8" i="9" s="1"/>
  <c r="K11" i="9" l="1"/>
  <c r="L8" i="9" s="1"/>
  <c r="L11" i="9" l="1"/>
  <c r="M8" i="9" s="1"/>
  <c r="M11" i="9" l="1"/>
  <c r="N8" i="9" s="1"/>
  <c r="N11" i="9" s="1"/>
</calcChain>
</file>

<file path=xl/sharedStrings.xml><?xml version="1.0" encoding="utf-8"?>
<sst xmlns="http://schemas.openxmlformats.org/spreadsheetml/2006/main" count="1792" uniqueCount="605">
  <si>
    <t>FLUXO DE CAIXA EMPRESARIAL</t>
  </si>
  <si>
    <t>Gui Neves</t>
  </si>
  <si>
    <t>Empresa</t>
  </si>
  <si>
    <t>Responsável</t>
  </si>
  <si>
    <t>TÍTULO</t>
  </si>
  <si>
    <t>PLANO DE CONTAS DE ENTRADA - Nível 1</t>
  </si>
  <si>
    <t>PLANO DE CONTAS DE ENTRADA - Nível 2</t>
  </si>
  <si>
    <t>PLANO DE CONTAS DE SAÍDA - Nível 2</t>
  </si>
  <si>
    <t>PLANO DE CONTAS DE SAÍDA - Nível 1</t>
  </si>
  <si>
    <t>REGISTROS DAS ENTRADAS DE CAIXA</t>
  </si>
  <si>
    <t>REGISTROS DAS SAÍDAS DE CAIXA</t>
  </si>
  <si>
    <t>FLUXO DE CAIXA E RESULTADO MENSAL
REGIMES DE CAIXA E DE COMPETÊNCIA</t>
  </si>
  <si>
    <t>DETALHAMENTO DA RECEITA</t>
  </si>
  <si>
    <t>DETALHAMENTO DA DESPESA</t>
  </si>
  <si>
    <t>CONTAS A PAGAR</t>
  </si>
  <si>
    <t>CONTAS A RECEBER</t>
  </si>
  <si>
    <t>CONTAS A RECEBER VENCIDAS</t>
  </si>
  <si>
    <t>DASHBOARD FINANCEIRO - POSIÇÃO MENSAL</t>
  </si>
  <si>
    <t>PLANO DE CONTAS DE ENTRADAS - Nível 1</t>
  </si>
  <si>
    <t>Nível 1</t>
  </si>
  <si>
    <t>Empréstimos de curto prazo</t>
  </si>
  <si>
    <t>Financiamentos de longo prazo</t>
  </si>
  <si>
    <t>Receitas Financeiras</t>
  </si>
  <si>
    <t>Venda de ativos</t>
  </si>
  <si>
    <t>Vendas de mercadorias</t>
  </si>
  <si>
    <t>Nível 2</t>
  </si>
  <si>
    <t>Empréstimos capital de giro</t>
  </si>
  <si>
    <t>Juros sobre aplicações</t>
  </si>
  <si>
    <t>Mobiliário próprio</t>
  </si>
  <si>
    <t>Eletrodomésticos</t>
  </si>
  <si>
    <t>Informática</t>
  </si>
  <si>
    <t>Livros</t>
  </si>
  <si>
    <t>Móveis</t>
  </si>
  <si>
    <t>Som e imagem</t>
  </si>
  <si>
    <t>Compra de mercadorias</t>
  </si>
  <si>
    <t>Despesas administrativas</t>
  </si>
  <si>
    <t>Despesas comerciais</t>
  </si>
  <si>
    <t>Despesas financeiras</t>
  </si>
  <si>
    <t>Imposto de renda</t>
  </si>
  <si>
    <t>Impostos sobre as vendas</t>
  </si>
  <si>
    <t>Vestuário</t>
  </si>
  <si>
    <t>Comunicação - internet e telefonia</t>
  </si>
  <si>
    <t>Energia elétrica</t>
  </si>
  <si>
    <t>Encargos sobre os salários dos vendedores</t>
  </si>
  <si>
    <t>Salários dos vendedores</t>
  </si>
  <si>
    <t>Juros sobre empréstimos</t>
  </si>
  <si>
    <t>IR sobre o lucro presumido</t>
  </si>
  <si>
    <t>Data da Competência</t>
  </si>
  <si>
    <t>Data do Caixa Realizado</t>
  </si>
  <si>
    <t>Data do Caixa Previsto</t>
  </si>
  <si>
    <t>Conta Nível 1</t>
  </si>
  <si>
    <t>Conta Nível 2</t>
  </si>
  <si>
    <t>Histórico</t>
  </si>
  <si>
    <t>Valor</t>
  </si>
  <si>
    <t>Geral</t>
  </si>
  <si>
    <t>NF7238</t>
  </si>
  <si>
    <t>NF9147</t>
  </si>
  <si>
    <t>NF8005</t>
  </si>
  <si>
    <t>NF5493</t>
  </si>
  <si>
    <t>NF7946</t>
  </si>
  <si>
    <t>NF8598</t>
  </si>
  <si>
    <t>NF1535</t>
  </si>
  <si>
    <t>NF4333</t>
  </si>
  <si>
    <t>NF8091</t>
  </si>
  <si>
    <t/>
  </si>
  <si>
    <t>NF2421</t>
  </si>
  <si>
    <t>NF9787</t>
  </si>
  <si>
    <t>NF8674</t>
  </si>
  <si>
    <t>NF5880</t>
  </si>
  <si>
    <t>NF2763</t>
  </si>
  <si>
    <t>NF3303</t>
  </si>
  <si>
    <t>NF3966</t>
  </si>
  <si>
    <t>NF6107</t>
  </si>
  <si>
    <t>NF4832</t>
  </si>
  <si>
    <t>NF5012</t>
  </si>
  <si>
    <t>NF7669</t>
  </si>
  <si>
    <t>NF7663</t>
  </si>
  <si>
    <t>NF4063</t>
  </si>
  <si>
    <t>NF4290</t>
  </si>
  <si>
    <t>NF7319</t>
  </si>
  <si>
    <t>NF7020</t>
  </si>
  <si>
    <t>NF7221</t>
  </si>
  <si>
    <t>NF5004</t>
  </si>
  <si>
    <t>NF8690</t>
  </si>
  <si>
    <t>NF3424</t>
  </si>
  <si>
    <t>NF5808</t>
  </si>
  <si>
    <t>NF2852</t>
  </si>
  <si>
    <t>NF2347</t>
  </si>
  <si>
    <t>NF7848</t>
  </si>
  <si>
    <t>NF4449</t>
  </si>
  <si>
    <t>NF7540</t>
  </si>
  <si>
    <t>NF7741</t>
  </si>
  <si>
    <t>NF6190</t>
  </si>
  <si>
    <t>NF4129</t>
  </si>
  <si>
    <t>NF6811</t>
  </si>
  <si>
    <t>NF1550</t>
  </si>
  <si>
    <t>NF7213</t>
  </si>
  <si>
    <t>NF8396</t>
  </si>
  <si>
    <t>NF2432</t>
  </si>
  <si>
    <t>NF4722</t>
  </si>
  <si>
    <t>NF8944</t>
  </si>
  <si>
    <t>NF2816</t>
  </si>
  <si>
    <t>NF6358</t>
  </si>
  <si>
    <t>NF8459</t>
  </si>
  <si>
    <t>NF5737</t>
  </si>
  <si>
    <t>NF8895</t>
  </si>
  <si>
    <t>NF2196</t>
  </si>
  <si>
    <t>NF1631</t>
  </si>
  <si>
    <t>NF9340</t>
  </si>
  <si>
    <t>NF6851</t>
  </si>
  <si>
    <t>NF3336</t>
  </si>
  <si>
    <t>NF7526</t>
  </si>
  <si>
    <t>NF3023</t>
  </si>
  <si>
    <t>NF7934</t>
  </si>
  <si>
    <t>NF7720</t>
  </si>
  <si>
    <t>NF2719</t>
  </si>
  <si>
    <t>NF3036</t>
  </si>
  <si>
    <t>NF4604</t>
  </si>
  <si>
    <t>NF2493</t>
  </si>
  <si>
    <t>NF5788</t>
  </si>
  <si>
    <t>NF9580</t>
  </si>
  <si>
    <t>NF4061</t>
  </si>
  <si>
    <t>NF6503</t>
  </si>
  <si>
    <t>NF6701</t>
  </si>
  <si>
    <t>NF8891</t>
  </si>
  <si>
    <t>NF2640</t>
  </si>
  <si>
    <t>NF8852</t>
  </si>
  <si>
    <t>NF7869</t>
  </si>
  <si>
    <t>NF4994</t>
  </si>
  <si>
    <t>NF5720</t>
  </si>
  <si>
    <t>NF6393</t>
  </si>
  <si>
    <t>NF9057</t>
  </si>
  <si>
    <t>NF7365</t>
  </si>
  <si>
    <t>NF4559</t>
  </si>
  <si>
    <t>NF7119</t>
  </si>
  <si>
    <t>NF2814</t>
  </si>
  <si>
    <t>NF5963</t>
  </si>
  <si>
    <t>NF3293</t>
  </si>
  <si>
    <t>NF8254</t>
  </si>
  <si>
    <t>NF4303</t>
  </si>
  <si>
    <t>NF2605</t>
  </si>
  <si>
    <t>NF8043</t>
  </si>
  <si>
    <t>NF6697</t>
  </si>
  <si>
    <t>NF5208</t>
  </si>
  <si>
    <t>NF2907</t>
  </si>
  <si>
    <t>NF9381</t>
  </si>
  <si>
    <t>NF3247</t>
  </si>
  <si>
    <t>NF4377</t>
  </si>
  <si>
    <t>NF2988</t>
  </si>
  <si>
    <t>NF4912</t>
  </si>
  <si>
    <t>NF7104</t>
  </si>
  <si>
    <t>NF6700</t>
  </si>
  <si>
    <t>NF7947</t>
  </si>
  <si>
    <t>NF3255</t>
  </si>
  <si>
    <t>NF7106</t>
  </si>
  <si>
    <t>NF1835</t>
  </si>
  <si>
    <t>NF7322</t>
  </si>
  <si>
    <t>NF3899</t>
  </si>
  <si>
    <t>NF5496</t>
  </si>
  <si>
    <t>NF4824</t>
  </si>
  <si>
    <t>NF2022</t>
  </si>
  <si>
    <t>NF8075</t>
  </si>
  <si>
    <t>NF1137</t>
  </si>
  <si>
    <t>NF3353</t>
  </si>
  <si>
    <t>NF5074</t>
  </si>
  <si>
    <t>NF1725</t>
  </si>
  <si>
    <t>NF5560</t>
  </si>
  <si>
    <t>NF2674</t>
  </si>
  <si>
    <t>NF2175</t>
  </si>
  <si>
    <t>NF3338</t>
  </si>
  <si>
    <t>NF7689</t>
  </si>
  <si>
    <t>NF5938</t>
  </si>
  <si>
    <t>NF9391</t>
  </si>
  <si>
    <t>NF6298</t>
  </si>
  <si>
    <t>NF7941</t>
  </si>
  <si>
    <t>NF3604</t>
  </si>
  <si>
    <t>NF4605</t>
  </si>
  <si>
    <t>NF1759</t>
  </si>
  <si>
    <t>NF2800</t>
  </si>
  <si>
    <t>NF7248</t>
  </si>
  <si>
    <t>NF5280</t>
  </si>
  <si>
    <t>NF2968</t>
  </si>
  <si>
    <t>NF4862</t>
  </si>
  <si>
    <t>NF6224</t>
  </si>
  <si>
    <t>NF6974</t>
  </si>
  <si>
    <t>NF3171</t>
  </si>
  <si>
    <t>NF9089</t>
  </si>
  <si>
    <t>NF9607</t>
  </si>
  <si>
    <t>NF6643</t>
  </si>
  <si>
    <t>NF3939</t>
  </si>
  <si>
    <t>NF3599</t>
  </si>
  <si>
    <t>NF9914</t>
  </si>
  <si>
    <t>NF5492</t>
  </si>
  <si>
    <t>NF7516</t>
  </si>
  <si>
    <t>NF8652</t>
  </si>
  <si>
    <t>NF4809</t>
  </si>
  <si>
    <t>NF5491</t>
  </si>
  <si>
    <t>NF7862</t>
  </si>
  <si>
    <t>NF3137</t>
  </si>
  <si>
    <t>NF2705</t>
  </si>
  <si>
    <t>NF9537</t>
  </si>
  <si>
    <t>NF1700</t>
  </si>
  <si>
    <t>NF9052</t>
  </si>
  <si>
    <t>NF9827</t>
  </si>
  <si>
    <t>NF4056</t>
  </si>
  <si>
    <t>NF4381</t>
  </si>
  <si>
    <t>NF5374</t>
  </si>
  <si>
    <t>NF4782</t>
  </si>
  <si>
    <t>NF9770</t>
  </si>
  <si>
    <t>NF3186</t>
  </si>
  <si>
    <t>NF7423</t>
  </si>
  <si>
    <t>NF3114</t>
  </si>
  <si>
    <t>NF1359</t>
  </si>
  <si>
    <t>NF5107</t>
  </si>
  <si>
    <t>NF4367</t>
  </si>
  <si>
    <t>NF8386</t>
  </si>
  <si>
    <t>NF5922</t>
  </si>
  <si>
    <t>NF9970</t>
  </si>
  <si>
    <t>NF1938</t>
  </si>
  <si>
    <t>NF7772</t>
  </si>
  <si>
    <t>NF9932</t>
  </si>
  <si>
    <t>NF2970</t>
  </si>
  <si>
    <t>NF4423</t>
  </si>
  <si>
    <t>NF9682</t>
  </si>
  <si>
    <t>NF7840</t>
  </si>
  <si>
    <t>NF4946</t>
  </si>
  <si>
    <t>NF6806</t>
  </si>
  <si>
    <t>NF3882</t>
  </si>
  <si>
    <t>NF1850</t>
  </si>
  <si>
    <t>NF7979</t>
  </si>
  <si>
    <t>NF1547</t>
  </si>
  <si>
    <t>NF2309</t>
  </si>
  <si>
    <t>NF5791</t>
  </si>
  <si>
    <t>NF2982</t>
  </si>
  <si>
    <t>NF1796</t>
  </si>
  <si>
    <t>NF2396</t>
  </si>
  <si>
    <t>NF8281</t>
  </si>
  <si>
    <t>NF3155</t>
  </si>
  <si>
    <t>NF4849</t>
  </si>
  <si>
    <t>NF4647</t>
  </si>
  <si>
    <t>NF9056</t>
  </si>
  <si>
    <t>NF4097</t>
  </si>
  <si>
    <t>NF9792</t>
  </si>
  <si>
    <t>NF1943</t>
  </si>
  <si>
    <t>NF5598</t>
  </si>
  <si>
    <t>NF8881</t>
  </si>
  <si>
    <t>NF3500</t>
  </si>
  <si>
    <t>NF3489</t>
  </si>
  <si>
    <t>NF8682</t>
  </si>
  <si>
    <t>NF8525</t>
  </si>
  <si>
    <t>NF2006</t>
  </si>
  <si>
    <t>NF7648</t>
  </si>
  <si>
    <t>NF6770</t>
  </si>
  <si>
    <t>NF2352</t>
  </si>
  <si>
    <t>NF4686</t>
  </si>
  <si>
    <t>NF9108</t>
  </si>
  <si>
    <t>NF1934</t>
  </si>
  <si>
    <t>NF5748</t>
  </si>
  <si>
    <t>NF3443</t>
  </si>
  <si>
    <t>NF4433</t>
  </si>
  <si>
    <t>NF7700</t>
  </si>
  <si>
    <t>NF8475</t>
  </si>
  <si>
    <t>NF3694</t>
  </si>
  <si>
    <t>NF5571</t>
  </si>
  <si>
    <t>NF7836</t>
  </si>
  <si>
    <t>NF7705</t>
  </si>
  <si>
    <t>NF1629</t>
  </si>
  <si>
    <t>NF4027</t>
  </si>
  <si>
    <t>NF7582</t>
  </si>
  <si>
    <t>NF7868</t>
  </si>
  <si>
    <t>NF6154</t>
  </si>
  <si>
    <t>NF5531</t>
  </si>
  <si>
    <t>NF9744</t>
  </si>
  <si>
    <t>NF1516</t>
  </si>
  <si>
    <t>NF2007</t>
  </si>
  <si>
    <t>NF9904</t>
  </si>
  <si>
    <t>NF8631</t>
  </si>
  <si>
    <t>NF5098</t>
  </si>
  <si>
    <t>NF8169</t>
  </si>
  <si>
    <t>NF4469</t>
  </si>
  <si>
    <t>NF6729</t>
  </si>
  <si>
    <t>NF3586</t>
  </si>
  <si>
    <t>NF9837</t>
  </si>
  <si>
    <t>NF6344</t>
  </si>
  <si>
    <t>NF3701</t>
  </si>
  <si>
    <t>NF4400</t>
  </si>
  <si>
    <t>NF5356</t>
  </si>
  <si>
    <t>NF1847</t>
  </si>
  <si>
    <t>NF7011</t>
  </si>
  <si>
    <t>NF7746</t>
  </si>
  <si>
    <t>NF1507</t>
  </si>
  <si>
    <t>NF5445</t>
  </si>
  <si>
    <t>NF7559</t>
  </si>
  <si>
    <t>NF9357</t>
  </si>
  <si>
    <t>NF3898</t>
  </si>
  <si>
    <t>NF7275</t>
  </si>
  <si>
    <t>NF9591</t>
  </si>
  <si>
    <t>NF3104</t>
  </si>
  <si>
    <t>NF3440</t>
  </si>
  <si>
    <t>NF9195</t>
  </si>
  <si>
    <t>NF1821</t>
  </si>
  <si>
    <t>NF5625</t>
  </si>
  <si>
    <t>NF7471</t>
  </si>
  <si>
    <t>NF9225</t>
  </si>
  <si>
    <t>NF3883</t>
  </si>
  <si>
    <t>NF9408</t>
  </si>
  <si>
    <t>NF1517</t>
  </si>
  <si>
    <t>NF8626</t>
  </si>
  <si>
    <t>NF4936</t>
  </si>
  <si>
    <t>NF7062</t>
  </si>
  <si>
    <t>NF3172</t>
  </si>
  <si>
    <t>NF5821</t>
  </si>
  <si>
    <t>NF8137</t>
  </si>
  <si>
    <t>NF8083</t>
  </si>
  <si>
    <t>NF9597</t>
  </si>
  <si>
    <t>NF2065</t>
  </si>
  <si>
    <t>NF3192</t>
  </si>
  <si>
    <t>NF1977</t>
  </si>
  <si>
    <t>NF3208</t>
  </si>
  <si>
    <t>NF9545</t>
  </si>
  <si>
    <t>NF3100</t>
  </si>
  <si>
    <t>NF1179</t>
  </si>
  <si>
    <t>NF3829</t>
  </si>
  <si>
    <t>NF6865</t>
  </si>
  <si>
    <t>NF9617</t>
  </si>
  <si>
    <t>NF5659</t>
  </si>
  <si>
    <t>NF6102</t>
  </si>
  <si>
    <t>NF8162</t>
  </si>
  <si>
    <t>NF4573</t>
  </si>
  <si>
    <t>NF8503</t>
  </si>
  <si>
    <t>NF3380</t>
  </si>
  <si>
    <t>NF6566</t>
  </si>
  <si>
    <t>NF5838</t>
  </si>
  <si>
    <t>NF1174</t>
  </si>
  <si>
    <t>NF2942</t>
  </si>
  <si>
    <t>NF8563</t>
  </si>
  <si>
    <t>NF8237</t>
  </si>
  <si>
    <t>NF4859</t>
  </si>
  <si>
    <t>NF1529</t>
  </si>
  <si>
    <t>NF6931</t>
  </si>
  <si>
    <t>NF9620</t>
  </si>
  <si>
    <t>NF4547</t>
  </si>
  <si>
    <t>NF6004</t>
  </si>
  <si>
    <t>NF3415</t>
  </si>
  <si>
    <t>NF1603</t>
  </si>
  <si>
    <t>NF8784</t>
  </si>
  <si>
    <t>NF1826</t>
  </si>
  <si>
    <t>NF7390</t>
  </si>
  <si>
    <t>NF7009</t>
  </si>
  <si>
    <t>NF7629</t>
  </si>
  <si>
    <t>NF2748</t>
  </si>
  <si>
    <t>NF5961</t>
  </si>
  <si>
    <t>NF7680</t>
  </si>
  <si>
    <t>NF9629</t>
  </si>
  <si>
    <t>NF5978</t>
  </si>
  <si>
    <t>NF5651</t>
  </si>
  <si>
    <t>NF5401</t>
  </si>
  <si>
    <t>NF9115</t>
  </si>
  <si>
    <t>NF4115</t>
  </si>
  <si>
    <t>NF5683</t>
  </si>
  <si>
    <t>NF7027</t>
  </si>
  <si>
    <t>NF7168</t>
  </si>
  <si>
    <t>NF4972</t>
  </si>
  <si>
    <t>NF7283</t>
  </si>
  <si>
    <t>NF6320</t>
  </si>
  <si>
    <t>NF7850</t>
  </si>
  <si>
    <t>NF2420</t>
  </si>
  <si>
    <t>NF6764</t>
  </si>
  <si>
    <t>NF6382</t>
  </si>
  <si>
    <t>NF8079</t>
  </si>
  <si>
    <t>NF2434</t>
  </si>
  <si>
    <t>NF3230</t>
  </si>
  <si>
    <t>NF8847</t>
  </si>
  <si>
    <t>NF8053</t>
  </si>
  <si>
    <t>NF2454</t>
  </si>
  <si>
    <t>NF8252</t>
  </si>
  <si>
    <t>NF6573</t>
  </si>
  <si>
    <t>NF8780</t>
  </si>
  <si>
    <t>NF6166</t>
  </si>
  <si>
    <t>NF8437</t>
  </si>
  <si>
    <t>NF6635</t>
  </si>
  <si>
    <t>NF8734</t>
  </si>
  <si>
    <t>NF4208</t>
  </si>
  <si>
    <t>NF4923</t>
  </si>
  <si>
    <t>NF6782</t>
  </si>
  <si>
    <t>NF6280</t>
  </si>
  <si>
    <t>NF7827</t>
  </si>
  <si>
    <t>NF5357</t>
  </si>
  <si>
    <t>NF8188</t>
  </si>
  <si>
    <t>NF4640</t>
  </si>
  <si>
    <t>NF2293</t>
  </si>
  <si>
    <t>NF2933</t>
  </si>
  <si>
    <t>NF4384</t>
  </si>
  <si>
    <t>NF8316</t>
  </si>
  <si>
    <t>NF1506</t>
  </si>
  <si>
    <t>NF4913</t>
  </si>
  <si>
    <t>NF8526</t>
  </si>
  <si>
    <t>NF9873</t>
  </si>
  <si>
    <t>NF9870</t>
  </si>
  <si>
    <t>NF5563</t>
  </si>
  <si>
    <t>NF5510</t>
  </si>
  <si>
    <t>NF1440</t>
  </si>
  <si>
    <t>NF2709</t>
  </si>
  <si>
    <t>NF9886</t>
  </si>
  <si>
    <t>NF6993</t>
  </si>
  <si>
    <t>NF9126</t>
  </si>
  <si>
    <t>NF3531</t>
  </si>
  <si>
    <t>NF6599</t>
  </si>
  <si>
    <t>NF9323</t>
  </si>
  <si>
    <t>NF3529</t>
  </si>
  <si>
    <t>NF5824</t>
  </si>
  <si>
    <t>NF3860</t>
  </si>
  <si>
    <t>NF7260</t>
  </si>
  <si>
    <t>NF2238</t>
  </si>
  <si>
    <t>NF7342</t>
  </si>
  <si>
    <t>NF8517</t>
  </si>
  <si>
    <t>NF9366</t>
  </si>
  <si>
    <t>NF4973</t>
  </si>
  <si>
    <t>NF1111</t>
  </si>
  <si>
    <t>NF8344</t>
  </si>
  <si>
    <t>NF8750</t>
  </si>
  <si>
    <t>NF7616</t>
  </si>
  <si>
    <t>NF3536</t>
  </si>
  <si>
    <t>NF9376</t>
  </si>
  <si>
    <t>NF1222</t>
  </si>
  <si>
    <t>NF3914</t>
  </si>
  <si>
    <t>NF7447</t>
  </si>
  <si>
    <t>NF5088</t>
  </si>
  <si>
    <t>NF7858</t>
  </si>
  <si>
    <t>NF7692</t>
  </si>
  <si>
    <t>NF6262</t>
  </si>
  <si>
    <t>NF9573</t>
  </si>
  <si>
    <t>NF8087</t>
  </si>
  <si>
    <t>NF5909</t>
  </si>
  <si>
    <t>NF4172</t>
  </si>
  <si>
    <t>NF8957</t>
  </si>
  <si>
    <t>NF2981</t>
  </si>
  <si>
    <t>NF5104</t>
  </si>
  <si>
    <t>NF3942</t>
  </si>
  <si>
    <t>NF6376</t>
  </si>
  <si>
    <t>NF7518</t>
  </si>
  <si>
    <t>NF5359</t>
  </si>
  <si>
    <t>NF5153</t>
  </si>
  <si>
    <t>NF3127</t>
  </si>
  <si>
    <t>NF7641</t>
  </si>
  <si>
    <t>NF2758</t>
  </si>
  <si>
    <t>NF9279</t>
  </si>
  <si>
    <t>NF2386</t>
  </si>
  <si>
    <t>NF6751</t>
  </si>
  <si>
    <t>NF9460</t>
  </si>
  <si>
    <t>NF5556</t>
  </si>
  <si>
    <t>NF4918</t>
  </si>
  <si>
    <t>NF1763</t>
  </si>
  <si>
    <t>NF2024</t>
  </si>
  <si>
    <t>NF6383</t>
  </si>
  <si>
    <t>NF3919</t>
  </si>
  <si>
    <t>NF1390</t>
  </si>
  <si>
    <t>NF2500</t>
  </si>
  <si>
    <t>NF2427</t>
  </si>
  <si>
    <t>NF4680</t>
  </si>
  <si>
    <t>NF7019</t>
  </si>
  <si>
    <t>NF4961</t>
  </si>
  <si>
    <t>NF4608</t>
  </si>
  <si>
    <t>NF1913</t>
  </si>
  <si>
    <t>NF5844</t>
  </si>
  <si>
    <t>NF7813</t>
  </si>
  <si>
    <t>NF6780</t>
  </si>
  <si>
    <t>NF9599</t>
  </si>
  <si>
    <t>NF8659</t>
  </si>
  <si>
    <t>NF4652</t>
  </si>
  <si>
    <t>NF3068</t>
  </si>
  <si>
    <t>NF7141</t>
  </si>
  <si>
    <t>NF3366</t>
  </si>
  <si>
    <t>NF8853</t>
  </si>
  <si>
    <t>NF7681</t>
  </si>
  <si>
    <t>NF1441</t>
  </si>
  <si>
    <t>NF9964</t>
  </si>
  <si>
    <t>NF9101</t>
  </si>
  <si>
    <t>NF3185</t>
  </si>
  <si>
    <t>NF2836</t>
  </si>
  <si>
    <t>NF7779</t>
  </si>
  <si>
    <t>NF5919</t>
  </si>
  <si>
    <t>NF1620</t>
  </si>
  <si>
    <t>NF3801</t>
  </si>
  <si>
    <t>NF8086</t>
  </si>
  <si>
    <t>NF4964</t>
  </si>
  <si>
    <t>NF6112</t>
  </si>
  <si>
    <t>NF2333</t>
  </si>
  <si>
    <t>NF7121</t>
  </si>
  <si>
    <t>NF8208</t>
  </si>
  <si>
    <t>NF1320</t>
  </si>
  <si>
    <t>NF9162</t>
  </si>
  <si>
    <t>NF1497</t>
  </si>
  <si>
    <t>NF8398</t>
  </si>
  <si>
    <t>NF1274</t>
  </si>
  <si>
    <t>NF1599</t>
  </si>
  <si>
    <t>NF6880</t>
  </si>
  <si>
    <t>NF3246</t>
  </si>
  <si>
    <t>NF5900</t>
  </si>
  <si>
    <t>NF2566</t>
  </si>
  <si>
    <t>NF1823</t>
  </si>
  <si>
    <t>NF9109</t>
  </si>
  <si>
    <t>NF4812</t>
  </si>
  <si>
    <t>NF9082</t>
  </si>
  <si>
    <t>NF3611</t>
  </si>
  <si>
    <t>NF4931</t>
  </si>
  <si>
    <t>ANO -&gt;</t>
  </si>
  <si>
    <t>ESPECIFICAÇÃO</t>
  </si>
  <si>
    <t>ENTRADAS</t>
  </si>
  <si>
    <t>SAÍDAS</t>
  </si>
  <si>
    <t>SALDO FINAL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</si>
  <si>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</si>
  <si>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</si>
  <si>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</si>
  <si>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</si>
  <si>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</si>
  <si>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</si>
  <si>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</si>
  <si>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</si>
  <si>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</si>
  <si>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</si>
  <si>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</si>
  <si>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</si>
  <si>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SALDO ÍNICIAL</t>
  </si>
  <si>
    <t>FLUXO DE CAIXA - REGIME DE CAIXA (Realizado)</t>
  </si>
  <si>
    <t>FLUXO DE CAIXA - REGIME DE COMPETÊNCIA (Contábil)</t>
  </si>
  <si>
    <t>RESULTADO MENSAL - REGIME DE COMPETÊNCIA</t>
  </si>
  <si>
    <t>TOTAL DE ENTRADAS</t>
  </si>
  <si>
    <t>TOTAL DE SAÍDAS</t>
  </si>
  <si>
    <t>LUCRO</t>
  </si>
  <si>
    <t>PREJUÍZO</t>
  </si>
  <si>
    <t>ACUMULADO</t>
  </si>
  <si>
    <t>Mês Caixa</t>
  </si>
  <si>
    <t>Ano Caixa</t>
  </si>
  <si>
    <t>Mês Competência</t>
  </si>
  <si>
    <t>Ano Competência</t>
  </si>
  <si>
    <t>Rótulos de Linha</t>
  </si>
  <si>
    <t>Total Geral</t>
  </si>
  <si>
    <t>Rótulos de Coluna</t>
  </si>
  <si>
    <t>Soma de Valor</t>
  </si>
  <si>
    <t>Mês Previsto</t>
  </si>
  <si>
    <t>Ano Previsto</t>
  </si>
  <si>
    <t>0 Total</t>
  </si>
  <si>
    <t>Conta Vencida</t>
  </si>
  <si>
    <t>Vencida</t>
  </si>
  <si>
    <t>Vencida Total</t>
  </si>
  <si>
    <t>DASHBOARD ANUAL</t>
  </si>
  <si>
    <t>ANO:</t>
  </si>
  <si>
    <t>Minigráficos de contas a Pagar e a Receber</t>
  </si>
  <si>
    <t>Evolução das vendas</t>
  </si>
  <si>
    <t>Ano:</t>
  </si>
  <si>
    <t>Mês</t>
  </si>
  <si>
    <t>Pagar Mensal</t>
  </si>
  <si>
    <t>Receber Mensal</t>
  </si>
  <si>
    <t>Gráfico</t>
  </si>
  <si>
    <t>Jan</t>
  </si>
  <si>
    <t>Fev</t>
  </si>
  <si>
    <t>Saldo do Caixa</t>
  </si>
  <si>
    <t>Mar</t>
  </si>
  <si>
    <t>Entradas</t>
  </si>
  <si>
    <t>Abr</t>
  </si>
  <si>
    <t>Saídas</t>
  </si>
  <si>
    <t>Mai</t>
  </si>
  <si>
    <t>Saldo</t>
  </si>
  <si>
    <t>Jun</t>
  </si>
  <si>
    <t>Jul</t>
  </si>
  <si>
    <t>Contas a pagar total</t>
  </si>
  <si>
    <t>Ago</t>
  </si>
  <si>
    <t>Contas a receber total</t>
  </si>
  <si>
    <t>Set</t>
  </si>
  <si>
    <t>Out</t>
  </si>
  <si>
    <t>Nov</t>
  </si>
  <si>
    <t>Dez</t>
  </si>
  <si>
    <t xml:space="preserve">Perfil das Vendas </t>
  </si>
  <si>
    <t>Ano</t>
  </si>
  <si>
    <t>À Vista</t>
  </si>
  <si>
    <t>Total</t>
  </si>
  <si>
    <t>Atraso médio nas contas a receber</t>
  </si>
  <si>
    <t>Atraso médio nas contas a pagar</t>
  </si>
  <si>
    <t>Qtde.</t>
  </si>
  <si>
    <t>Dias</t>
  </si>
  <si>
    <t>Média</t>
  </si>
  <si>
    <t>Resultado no Período</t>
  </si>
  <si>
    <t>Despesa Mensal</t>
  </si>
  <si>
    <t>Resultado</t>
  </si>
  <si>
    <t>Saldo Inicial</t>
  </si>
  <si>
    <t>Saldo de Caixa</t>
  </si>
  <si>
    <t>Contas a Pagar e a Receber Mensal</t>
  </si>
  <si>
    <t>Evolução de Vendas - Conta Nível 2</t>
  </si>
  <si>
    <t>Contas a Pagar</t>
  </si>
  <si>
    <t>Contas a Receber</t>
  </si>
  <si>
    <t>Perfil das Vendas</t>
  </si>
  <si>
    <t>Atraso médio das contas</t>
  </si>
  <si>
    <t>Resultado Acumulado</t>
  </si>
  <si>
    <t>Despesa Mensal - Conta Nível 2</t>
  </si>
  <si>
    <t>A Receber</t>
  </si>
  <si>
    <t>A Pagar</t>
  </si>
  <si>
    <t>J    F    M  M  A   J    J    A    S   O   N  D</t>
  </si>
  <si>
    <t>Venda à Vista</t>
  </si>
  <si>
    <t>À Prazo</t>
  </si>
  <si>
    <t>Guilherme Neves</t>
  </si>
  <si>
    <t>Dias de Atraso</t>
  </si>
  <si>
    <t>Empresa X</t>
  </si>
  <si>
    <t>DATA: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</si>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</sst>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R$&quot;\ #,##0;[Red]\-&quot;R$&quot;\ #,##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#,##0.00_ ;[Red]\-#,##0.00\ "/>
    <numFmt numFmtId="166" formatCode="&quot;R$&quot;\ #,##0"/>
    <numFmt numFmtId="167" formatCode="&quot;R$&quot;\ #,##0.00"/>
  </numFmts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8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4472C4"/>
      <name val="Calibri"/>
      <family val="2"/>
    </font>
    <font>
      <sz val="11"/>
      <color rgb="FF548235"/>
      <name val="Calibri"/>
      <family val="2"/>
    </font>
    <font>
      <b/>
      <sz val="11"/>
      <color theme="1"/>
      <name val="Calibri"/>
      <family val="2"/>
    </font>
    <font>
      <b/>
      <sz val="11"/>
      <color theme="2" tint="-0.499984740745262"/>
      <name val="Calibri"/>
      <family val="2"/>
      <scheme val="minor"/>
    </font>
    <font>
      <b/>
      <sz val="10.5"/>
      <color theme="2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0"/>
      <color theme="4"/>
      <name val="Calibri"/>
      <family val="2"/>
      <scheme val="minor"/>
    </font>
    <font>
      <b/>
      <sz val="14"/>
      <color theme="2" tint="-0.49998474074526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9" tint="-0.249977111117893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28"/>
      <color theme="9" tint="-0.249977111117893"/>
      <name val="Calibri"/>
      <family val="2"/>
      <scheme val="minor"/>
    </font>
    <font>
      <b/>
      <sz val="20"/>
      <color theme="8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15"/>
      <color theme="2" tint="-0.74999237037263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6"/>
      </left>
      <right style="thin">
        <color theme="6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A6A6A6"/>
      </top>
      <bottom style="thin">
        <color rgb="FFA6A6A6"/>
      </bottom>
      <diagonal/>
    </border>
    <border>
      <left/>
      <right/>
      <top style="thin">
        <color rgb="FFA6A6A6"/>
      </top>
      <bottom/>
      <diagonal/>
    </border>
    <border>
      <left/>
      <right/>
      <top/>
      <bottom style="thin">
        <color rgb="FFA6A6A6"/>
      </bottom>
      <diagonal/>
    </border>
    <border>
      <left/>
      <right/>
      <top style="thin">
        <color rgb="FFA6A6A6"/>
      </top>
      <bottom style="thin">
        <color indexed="64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theme="3" tint="0.39994506668294322"/>
      </left>
      <right/>
      <top style="thin">
        <color theme="3" tint="0.399945066682943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14548173467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/>
      <right/>
      <top style="thin">
        <color theme="3" tint="0.39994506668294322"/>
      </top>
      <bottom/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theme="3" tint="0.39991454817346722"/>
      </left>
      <right style="thin">
        <color theme="3" tint="0.39988402966399123"/>
      </right>
      <top style="thin">
        <color theme="3" tint="0.39991454817346722"/>
      </top>
      <bottom/>
      <diagonal/>
    </border>
    <border>
      <left style="thin">
        <color theme="3" tint="0.39991454817346722"/>
      </left>
      <right style="thin">
        <color theme="3" tint="0.39991454817346722"/>
      </right>
      <top style="thin">
        <color theme="3" tint="0.39994506668294322"/>
      </top>
      <bottom/>
      <diagonal/>
    </border>
    <border>
      <left style="thin">
        <color theme="3" tint="0.39994506668294322"/>
      </left>
      <right/>
      <top/>
      <bottom/>
      <diagonal/>
    </border>
    <border>
      <left style="thin">
        <color theme="3" tint="0.39991454817346722"/>
      </left>
      <right style="thin">
        <color theme="3" tint="0.39988402966399123"/>
      </right>
      <top/>
      <bottom/>
      <diagonal/>
    </border>
    <border>
      <left style="thin">
        <color theme="3" tint="0.39991454817346722"/>
      </left>
      <right style="thin">
        <color theme="3" tint="0.39991454817346722"/>
      </right>
      <top/>
      <bottom/>
      <diagonal/>
    </border>
    <border>
      <left style="thin">
        <color theme="3" tint="0.39994506668294322"/>
      </left>
      <right/>
      <top/>
      <bottom style="thin">
        <color theme="3" tint="0.39994506668294322"/>
      </bottom>
      <diagonal/>
    </border>
    <border>
      <left/>
      <right/>
      <top/>
      <bottom style="thin">
        <color theme="3" tint="0.39994506668294322"/>
      </bottom>
      <diagonal/>
    </border>
    <border>
      <left style="thin">
        <color theme="3" tint="0.39991454817346722"/>
      </left>
      <right style="thin">
        <color theme="3" tint="0.39988402966399123"/>
      </right>
      <top/>
      <bottom style="thin">
        <color theme="3" tint="0.39991454817346722"/>
      </bottom>
      <diagonal/>
    </border>
    <border>
      <left style="thin">
        <color theme="3" tint="0.39991454817346722"/>
      </left>
      <right style="thin">
        <color theme="3" tint="0.39991454817346722"/>
      </right>
      <top/>
      <bottom style="thin">
        <color theme="3" tint="0.3999450666829432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2" tint="-0.24994659260841701"/>
      </bottom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</cellStyleXfs>
  <cellXfs count="206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left" vertical="center"/>
    </xf>
    <xf numFmtId="0" fontId="4" fillId="0" borderId="0" xfId="0" applyFont="1"/>
    <xf numFmtId="0" fontId="0" fillId="4" borderId="0" xfId="0" applyFill="1"/>
    <xf numFmtId="0" fontId="4" fillId="3" borderId="0" xfId="0" applyFont="1" applyFill="1" applyProtection="1">
      <protection locked="0"/>
    </xf>
    <xf numFmtId="0" fontId="1" fillId="5" borderId="2" xfId="0" applyFont="1" applyFill="1" applyBorder="1" applyAlignment="1">
      <alignment horizontal="center" vertical="center"/>
    </xf>
    <xf numFmtId="0" fontId="0" fillId="5" borderId="0" xfId="0" applyFill="1" applyAlignment="1">
      <alignment vertical="center"/>
    </xf>
    <xf numFmtId="14" fontId="0" fillId="0" borderId="0" xfId="0" applyNumberFormat="1"/>
    <xf numFmtId="164" fontId="0" fillId="0" borderId="0" xfId="0" applyNumberFormat="1"/>
    <xf numFmtId="14" fontId="0" fillId="2" borderId="0" xfId="0" applyNumberFormat="1" applyFill="1"/>
    <xf numFmtId="14" fontId="0" fillId="4" borderId="0" xfId="0" applyNumberFormat="1" applyFill="1"/>
    <xf numFmtId="44" fontId="2" fillId="2" borderId="0" xfId="0" applyNumberFormat="1" applyFont="1" applyFill="1" applyAlignment="1">
      <alignment horizontal="right" vertical="center"/>
    </xf>
    <xf numFmtId="44" fontId="0" fillId="4" borderId="0" xfId="0" applyNumberFormat="1" applyFill="1"/>
    <xf numFmtId="44" fontId="0" fillId="0" borderId="0" xfId="0" applyNumberFormat="1"/>
    <xf numFmtId="14" fontId="1" fillId="5" borderId="8" xfId="0" applyNumberFormat="1" applyFont="1" applyFill="1" applyBorder="1" applyAlignment="1">
      <alignment horizontal="left" vertical="center" wrapText="1"/>
    </xf>
    <xf numFmtId="14" fontId="1" fillId="5" borderId="8" xfId="0" applyNumberFormat="1" applyFont="1" applyFill="1" applyBorder="1" applyAlignment="1">
      <alignment vertical="center" wrapText="1"/>
    </xf>
    <xf numFmtId="0" fontId="1" fillId="5" borderId="8" xfId="0" applyFont="1" applyFill="1" applyBorder="1" applyAlignment="1">
      <alignment vertical="center" wrapText="1"/>
    </xf>
    <xf numFmtId="44" fontId="1" fillId="5" borderId="8" xfId="0" applyNumberFormat="1" applyFont="1" applyFill="1" applyBorder="1" applyAlignment="1">
      <alignment vertical="center" wrapText="1"/>
    </xf>
    <xf numFmtId="14" fontId="1" fillId="5" borderId="9" xfId="0" applyNumberFormat="1" applyFont="1" applyFill="1" applyBorder="1" applyAlignment="1">
      <alignment horizontal="left" vertical="center" wrapText="1"/>
    </xf>
    <xf numFmtId="14" fontId="1" fillId="5" borderId="9" xfId="0" applyNumberFormat="1" applyFont="1" applyFill="1" applyBorder="1" applyAlignment="1">
      <alignment vertical="center" wrapText="1"/>
    </xf>
    <xf numFmtId="0" fontId="1" fillId="5" borderId="9" xfId="0" applyFont="1" applyFill="1" applyBorder="1" applyAlignment="1">
      <alignment vertical="center" wrapText="1"/>
    </xf>
    <xf numFmtId="44" fontId="1" fillId="5" borderId="9" xfId="0" applyNumberFormat="1" applyFont="1" applyFill="1" applyBorder="1" applyAlignment="1">
      <alignment vertical="center" wrapText="1"/>
    </xf>
    <xf numFmtId="0" fontId="1" fillId="5" borderId="9" xfId="0" applyFont="1" applyFill="1" applyBorder="1" applyAlignment="1">
      <alignment horizontal="left" vertical="center" wrapText="1"/>
    </xf>
    <xf numFmtId="0" fontId="6" fillId="5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vertical="center"/>
    </xf>
    <xf numFmtId="0" fontId="1" fillId="5" borderId="8" xfId="0" applyFont="1" applyFill="1" applyBorder="1" applyAlignment="1">
      <alignment horizontal="right" vertical="center"/>
    </xf>
    <xf numFmtId="0" fontId="1" fillId="5" borderId="4" xfId="0" applyFont="1" applyFill="1" applyBorder="1" applyAlignment="1">
      <alignment horizontal="right" vertical="center"/>
    </xf>
    <xf numFmtId="165" fontId="0" fillId="0" borderId="0" xfId="0" applyNumberFormat="1" applyAlignment="1">
      <alignment vertical="center"/>
    </xf>
    <xf numFmtId="165" fontId="0" fillId="0" borderId="11" xfId="0" applyNumberFormat="1" applyBorder="1" applyAlignment="1">
      <alignment vertical="center"/>
    </xf>
    <xf numFmtId="165" fontId="0" fillId="0" borderId="7" xfId="0" applyNumberFormat="1" applyBorder="1" applyAlignment="1">
      <alignment vertical="center"/>
    </xf>
    <xf numFmtId="165" fontId="0" fillId="0" borderId="13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4" borderId="12" xfId="0" applyFill="1" applyBorder="1" applyAlignment="1">
      <alignment vertical="center"/>
    </xf>
    <xf numFmtId="0" fontId="0" fillId="0" borderId="12" xfId="0" applyBorder="1" applyAlignment="1">
      <alignment vertical="center"/>
    </xf>
    <xf numFmtId="0" fontId="1" fillId="5" borderId="7" xfId="0" applyFont="1" applyFill="1" applyBorder="1" applyAlignment="1">
      <alignment vertical="center" wrapText="1"/>
    </xf>
    <xf numFmtId="1" fontId="0" fillId="0" borderId="0" xfId="0" applyNumberFormat="1"/>
    <xf numFmtId="165" fontId="0" fillId="0" borderId="1" xfId="0" applyNumberFormat="1" applyBorder="1" applyAlignment="1">
      <alignment vertical="center"/>
    </xf>
    <xf numFmtId="165" fontId="9" fillId="4" borderId="6" xfId="0" applyNumberFormat="1" applyFont="1" applyFill="1" applyBorder="1" applyAlignment="1">
      <alignment vertical="center"/>
    </xf>
    <xf numFmtId="165" fontId="9" fillId="4" borderId="1" xfId="0" applyNumberFormat="1" applyFont="1" applyFill="1" applyBorder="1" applyAlignment="1">
      <alignment vertical="center"/>
    </xf>
    <xf numFmtId="165" fontId="9" fillId="4" borderId="7" xfId="0" applyNumberFormat="1" applyFont="1" applyFill="1" applyBorder="1" applyAlignment="1">
      <alignment vertical="center"/>
    </xf>
    <xf numFmtId="165" fontId="9" fillId="4" borderId="13" xfId="0" applyNumberFormat="1" applyFont="1" applyFill="1" applyBorder="1" applyAlignment="1">
      <alignment vertical="center"/>
    </xf>
    <xf numFmtId="165" fontId="9" fillId="4" borderId="4" xfId="0" applyNumberFormat="1" applyFont="1" applyFill="1" applyBorder="1" applyAlignment="1">
      <alignment vertical="center"/>
    </xf>
    <xf numFmtId="0" fontId="11" fillId="5" borderId="3" xfId="0" applyFont="1" applyFill="1" applyBorder="1"/>
    <xf numFmtId="0" fontId="11" fillId="5" borderId="8" xfId="0" applyFont="1" applyFill="1" applyBorder="1"/>
    <xf numFmtId="0" fontId="11" fillId="5" borderId="4" xfId="0" applyFont="1" applyFill="1" applyBorder="1"/>
    <xf numFmtId="0" fontId="11" fillId="5" borderId="2" xfId="0" applyFont="1" applyFill="1" applyBorder="1"/>
    <xf numFmtId="0" fontId="11" fillId="0" borderId="10" xfId="0" applyFont="1" applyBorder="1" applyAlignment="1">
      <alignment horizontal="left" indent="1"/>
    </xf>
    <xf numFmtId="0" fontId="0" fillId="0" borderId="10" xfId="0" applyBorder="1" applyAlignment="1">
      <alignment horizontal="left" indent="1"/>
    </xf>
    <xf numFmtId="0" fontId="0" fillId="5" borderId="3" xfId="0" applyFill="1" applyBorder="1"/>
    <xf numFmtId="0" fontId="0" fillId="5" borderId="8" xfId="0" applyFill="1" applyBorder="1"/>
    <xf numFmtId="0" fontId="0" fillId="5" borderId="4" xfId="0" applyFill="1" applyBorder="1"/>
    <xf numFmtId="1" fontId="0" fillId="5" borderId="8" xfId="0" applyNumberFormat="1" applyFill="1" applyBorder="1"/>
    <xf numFmtId="1" fontId="0" fillId="5" borderId="4" xfId="0" applyNumberFormat="1" applyFill="1" applyBorder="1"/>
    <xf numFmtId="165" fontId="0" fillId="0" borderId="11" xfId="0" applyNumberFormat="1" applyBorder="1"/>
    <xf numFmtId="165" fontId="0" fillId="5" borderId="7" xfId="0" applyNumberFormat="1" applyFill="1" applyBorder="1"/>
    <xf numFmtId="165" fontId="0" fillId="5" borderId="13" xfId="0" applyNumberFormat="1" applyFill="1" applyBorder="1"/>
    <xf numFmtId="165" fontId="0" fillId="0" borderId="6" xfId="0" applyNumberFormat="1" applyBorder="1"/>
    <xf numFmtId="165" fontId="0" fillId="0" borderId="1" xfId="0" applyNumberFormat="1" applyBorder="1"/>
    <xf numFmtId="165" fontId="11" fillId="5" borderId="7" xfId="0" applyNumberFormat="1" applyFont="1" applyFill="1" applyBorder="1"/>
    <xf numFmtId="165" fontId="11" fillId="5" borderId="13" xfId="0" applyNumberFormat="1" applyFont="1" applyFill="1" applyBorder="1"/>
    <xf numFmtId="0" fontId="0" fillId="5" borderId="13" xfId="0" applyFill="1" applyBorder="1"/>
    <xf numFmtId="165" fontId="1" fillId="5" borderId="7" xfId="0" applyNumberFormat="1" applyFont="1" applyFill="1" applyBorder="1"/>
    <xf numFmtId="165" fontId="1" fillId="5" borderId="13" xfId="0" applyNumberFormat="1" applyFont="1" applyFill="1" applyBorder="1"/>
    <xf numFmtId="0" fontId="0" fillId="0" borderId="5" xfId="0" applyBorder="1" applyAlignment="1">
      <alignment horizontal="left"/>
    </xf>
    <xf numFmtId="165" fontId="0" fillId="5" borderId="11" xfId="0" applyNumberFormat="1" applyFill="1" applyBorder="1"/>
    <xf numFmtId="0" fontId="11" fillId="5" borderId="12" xfId="0" applyFont="1" applyFill="1" applyBorder="1" applyAlignment="1">
      <alignment horizontal="left"/>
    </xf>
    <xf numFmtId="165" fontId="0" fillId="5" borderId="1" xfId="0" applyNumberFormat="1" applyFill="1" applyBorder="1"/>
    <xf numFmtId="165" fontId="11" fillId="5" borderId="11" xfId="0" applyNumberFormat="1" applyFont="1" applyFill="1" applyBorder="1"/>
    <xf numFmtId="0" fontId="0" fillId="4" borderId="0" xfId="0" applyFill="1" applyAlignment="1">
      <alignment vertical="center"/>
    </xf>
    <xf numFmtId="0" fontId="13" fillId="0" borderId="0" xfId="0" applyFont="1" applyAlignment="1">
      <alignment vertical="center"/>
    </xf>
    <xf numFmtId="0" fontId="14" fillId="8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13" fillId="0" borderId="0" xfId="0" applyFont="1" applyAlignment="1">
      <alignment horizontal="right" vertical="center"/>
    </xf>
    <xf numFmtId="0" fontId="14" fillId="4" borderId="0" xfId="0" applyFont="1" applyFill="1" applyAlignment="1">
      <alignment vertical="center"/>
    </xf>
    <xf numFmtId="0" fontId="13" fillId="0" borderId="14" xfId="0" applyFont="1" applyBorder="1" applyAlignment="1">
      <alignment horizontal="right" vertical="center"/>
    </xf>
    <xf numFmtId="0" fontId="13" fillId="0" borderId="14" xfId="0" applyFont="1" applyBorder="1" applyAlignment="1">
      <alignment horizontal="right" vertical="center" wrapText="1"/>
    </xf>
    <xf numFmtId="0" fontId="13" fillId="0" borderId="15" xfId="0" applyFont="1" applyBorder="1" applyAlignment="1">
      <alignment vertical="center"/>
    </xf>
    <xf numFmtId="43" fontId="13" fillId="4" borderId="15" xfId="1" applyFont="1" applyFill="1" applyBorder="1" applyAlignment="1">
      <alignment horizontal="right" vertical="center"/>
    </xf>
    <xf numFmtId="0" fontId="13" fillId="0" borderId="15" xfId="0" applyFont="1" applyBorder="1" applyAlignment="1">
      <alignment horizontal="right" vertical="center"/>
    </xf>
    <xf numFmtId="43" fontId="13" fillId="4" borderId="0" xfId="1" applyFont="1" applyFill="1" applyBorder="1" applyAlignment="1">
      <alignment horizontal="right" vertical="center"/>
    </xf>
    <xf numFmtId="43" fontId="13" fillId="4" borderId="15" xfId="1" applyFont="1" applyFill="1" applyBorder="1" applyAlignment="1">
      <alignment vertical="center"/>
    </xf>
    <xf numFmtId="43" fontId="13" fillId="4" borderId="0" xfId="1" applyFont="1" applyFill="1" applyBorder="1" applyAlignment="1">
      <alignment vertical="center"/>
    </xf>
    <xf numFmtId="0" fontId="13" fillId="0" borderId="16" xfId="0" applyFont="1" applyBorder="1" applyAlignment="1">
      <alignment vertical="center"/>
    </xf>
    <xf numFmtId="43" fontId="15" fillId="4" borderId="16" xfId="1" applyFont="1" applyFill="1" applyBorder="1" applyAlignment="1">
      <alignment vertical="center"/>
    </xf>
    <xf numFmtId="0" fontId="14" fillId="0" borderId="15" xfId="0" applyFont="1" applyBorder="1" applyAlignment="1">
      <alignment vertical="center"/>
    </xf>
    <xf numFmtId="0" fontId="14" fillId="0" borderId="16" xfId="0" applyFont="1" applyBorder="1" applyAlignment="1">
      <alignment vertical="center"/>
    </xf>
    <xf numFmtId="43" fontId="13" fillId="4" borderId="16" xfId="1" applyFont="1" applyFill="1" applyBorder="1" applyAlignment="1">
      <alignment vertical="center"/>
    </xf>
    <xf numFmtId="0" fontId="13" fillId="0" borderId="16" xfId="0" applyFont="1" applyBorder="1" applyAlignment="1">
      <alignment horizontal="right" vertical="center"/>
    </xf>
    <xf numFmtId="14" fontId="13" fillId="0" borderId="0" xfId="0" applyNumberFormat="1" applyFont="1" applyAlignment="1">
      <alignment vertical="center"/>
    </xf>
    <xf numFmtId="0" fontId="13" fillId="4" borderId="14" xfId="0" applyFont="1" applyFill="1" applyBorder="1" applyAlignment="1">
      <alignment vertical="center"/>
    </xf>
    <xf numFmtId="43" fontId="13" fillId="4" borderId="14" xfId="1" applyFont="1" applyFill="1" applyBorder="1" applyAlignment="1">
      <alignment horizontal="right" vertical="center"/>
    </xf>
    <xf numFmtId="3" fontId="13" fillId="4" borderId="14" xfId="0" applyNumberFormat="1" applyFont="1" applyFill="1" applyBorder="1" applyAlignment="1">
      <alignment vertical="center"/>
    </xf>
    <xf numFmtId="1" fontId="13" fillId="0" borderId="0" xfId="0" applyNumberFormat="1" applyFont="1" applyAlignment="1">
      <alignment vertical="center"/>
    </xf>
    <xf numFmtId="14" fontId="13" fillId="0" borderId="15" xfId="0" applyNumberFormat="1" applyFont="1" applyBorder="1" applyAlignment="1">
      <alignment horizontal="right" vertical="center"/>
    </xf>
    <xf numFmtId="166" fontId="13" fillId="4" borderId="17" xfId="0" applyNumberFormat="1" applyFont="1" applyFill="1" applyBorder="1" applyAlignment="1">
      <alignment horizontal="right" vertical="center"/>
    </xf>
    <xf numFmtId="6" fontId="16" fillId="4" borderId="17" xfId="0" applyNumberFormat="1" applyFont="1" applyFill="1" applyBorder="1" applyAlignment="1">
      <alignment horizontal="right" vertical="center"/>
    </xf>
    <xf numFmtId="0" fontId="13" fillId="7" borderId="14" xfId="0" applyFont="1" applyFill="1" applyBorder="1" applyAlignment="1">
      <alignment horizontal="left" vertical="center"/>
    </xf>
    <xf numFmtId="0" fontId="13" fillId="7" borderId="14" xfId="0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19" fillId="0" borderId="18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20" fillId="0" borderId="20" xfId="0" applyFont="1" applyBorder="1" applyAlignment="1">
      <alignment vertical="center"/>
    </xf>
    <xf numFmtId="0" fontId="18" fillId="0" borderId="20" xfId="0" applyFont="1" applyBorder="1" applyAlignment="1">
      <alignment horizontal="left" vertical="center"/>
    </xf>
    <xf numFmtId="0" fontId="20" fillId="9" borderId="21" xfId="0" applyFont="1" applyFill="1" applyBorder="1" applyAlignment="1" applyProtection="1">
      <alignment horizontal="center" vertical="center"/>
      <protection locked="0"/>
    </xf>
    <xf numFmtId="0" fontId="12" fillId="0" borderId="22" xfId="0" quotePrefix="1" applyFont="1" applyBorder="1"/>
    <xf numFmtId="0" fontId="0" fillId="0" borderId="23" xfId="0" applyBorder="1"/>
    <xf numFmtId="0" fontId="18" fillId="0" borderId="0" xfId="0" applyFont="1" applyAlignment="1">
      <alignment vertical="center"/>
    </xf>
    <xf numFmtId="0" fontId="22" fillId="0" borderId="24" xfId="0" applyFont="1" applyBorder="1" applyAlignment="1">
      <alignment vertical="center" wrapText="1"/>
    </xf>
    <xf numFmtId="6" fontId="22" fillId="0" borderId="24" xfId="0" applyNumberFormat="1" applyFont="1" applyBorder="1" applyAlignment="1">
      <alignment horizontal="center" vertical="center"/>
    </xf>
    <xf numFmtId="6" fontId="24" fillId="0" borderId="24" xfId="0" applyNumberFormat="1" applyFont="1" applyBorder="1" applyAlignment="1">
      <alignment vertical="center"/>
    </xf>
    <xf numFmtId="0" fontId="0" fillId="0" borderId="25" xfId="0" applyBorder="1"/>
    <xf numFmtId="0" fontId="0" fillId="0" borderId="26" xfId="0" applyBorder="1"/>
    <xf numFmtId="0" fontId="0" fillId="0" borderId="26" xfId="0" applyBorder="1" applyAlignment="1">
      <alignment vertical="center"/>
    </xf>
    <xf numFmtId="6" fontId="24" fillId="0" borderId="27" xfId="0" applyNumberFormat="1" applyFont="1" applyBorder="1" applyAlignment="1">
      <alignment vertical="center"/>
    </xf>
    <xf numFmtId="0" fontId="18" fillId="0" borderId="3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24" xfId="0" applyBorder="1" applyAlignment="1">
      <alignment vertical="center"/>
    </xf>
    <xf numFmtId="0" fontId="18" fillId="0" borderId="24" xfId="0" applyFont="1" applyBorder="1" applyAlignment="1">
      <alignment horizontal="center" vertical="center"/>
    </xf>
    <xf numFmtId="0" fontId="20" fillId="9" borderId="34" xfId="0" applyFont="1" applyFill="1" applyBorder="1" applyAlignment="1" applyProtection="1">
      <alignment horizontal="center" vertical="center"/>
      <protection locked="0"/>
    </xf>
    <xf numFmtId="3" fontId="26" fillId="0" borderId="32" xfId="0" applyNumberFormat="1" applyFont="1" applyBorder="1" applyAlignment="1">
      <alignment vertical="center"/>
    </xf>
    <xf numFmtId="3" fontId="27" fillId="0" borderId="24" xfId="0" applyNumberFormat="1" applyFont="1" applyBorder="1" applyAlignment="1">
      <alignment vertical="center"/>
    </xf>
    <xf numFmtId="0" fontId="0" fillId="0" borderId="33" xfId="0" applyBorder="1" applyAlignment="1">
      <alignment vertical="center"/>
    </xf>
    <xf numFmtId="167" fontId="28" fillId="0" borderId="32" xfId="0" applyNumberFormat="1" applyFont="1" applyBorder="1" applyAlignment="1">
      <alignment vertical="center"/>
    </xf>
    <xf numFmtId="3" fontId="23" fillId="0" borderId="32" xfId="0" applyNumberFormat="1" applyFont="1" applyBorder="1" applyAlignment="1">
      <alignment horizontal="center" vertical="center"/>
    </xf>
    <xf numFmtId="3" fontId="24" fillId="0" borderId="24" xfId="0" applyNumberFormat="1" applyFont="1" applyBorder="1" applyAlignment="1">
      <alignment horizontal="center" vertical="center"/>
    </xf>
    <xf numFmtId="0" fontId="0" fillId="0" borderId="34" xfId="0" applyBorder="1" applyAlignment="1">
      <alignment vertical="center"/>
    </xf>
    <xf numFmtId="0" fontId="26" fillId="0" borderId="32" xfId="0" applyFont="1" applyBorder="1" applyAlignment="1">
      <alignment vertical="center"/>
    </xf>
    <xf numFmtId="0" fontId="29" fillId="0" borderId="32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/>
    </xf>
    <xf numFmtId="167" fontId="28" fillId="0" borderId="35" xfId="0" applyNumberFormat="1" applyFont="1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27" xfId="0" applyBorder="1" applyAlignment="1">
      <alignment vertical="center"/>
    </xf>
    <xf numFmtId="0" fontId="29" fillId="0" borderId="35" xfId="0" applyFont="1" applyBorder="1" applyAlignment="1">
      <alignment vertical="center"/>
    </xf>
    <xf numFmtId="0" fontId="29" fillId="0" borderId="27" xfId="0" applyFont="1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38" xfId="0" applyBorder="1" applyAlignment="1">
      <alignment vertical="center"/>
    </xf>
    <xf numFmtId="167" fontId="21" fillId="0" borderId="22" xfId="2" applyNumberFormat="1" applyFont="1" applyBorder="1" applyAlignment="1" applyProtection="1">
      <alignment horizontal="center" vertical="center"/>
    </xf>
    <xf numFmtId="167" fontId="3" fillId="2" borderId="0" xfId="0" applyNumberFormat="1" applyFont="1" applyFill="1" applyAlignment="1">
      <alignment horizontal="left" vertical="center"/>
    </xf>
    <xf numFmtId="167" fontId="0" fillId="4" borderId="0" xfId="0" applyNumberFormat="1" applyFill="1"/>
    <xf numFmtId="167" fontId="0" fillId="0" borderId="0" xfId="0" applyNumberFormat="1" applyAlignment="1">
      <alignment vertical="center"/>
    </xf>
    <xf numFmtId="167" fontId="18" fillId="0" borderId="18" xfId="0" applyNumberFormat="1" applyFont="1" applyBorder="1" applyAlignment="1">
      <alignment horizontal="center" vertical="center"/>
    </xf>
    <xf numFmtId="167" fontId="23" fillId="0" borderId="22" xfId="2" applyNumberFormat="1" applyFont="1" applyBorder="1" applyAlignment="1" applyProtection="1">
      <alignment horizontal="center" vertical="center"/>
    </xf>
    <xf numFmtId="167" fontId="25" fillId="0" borderId="22" xfId="2" applyNumberFormat="1" applyFont="1" applyBorder="1" applyAlignment="1" applyProtection="1">
      <alignment horizontal="center" vertical="center"/>
    </xf>
    <xf numFmtId="167" fontId="18" fillId="0" borderId="32" xfId="0" applyNumberFormat="1" applyFont="1" applyBorder="1" applyAlignment="1">
      <alignment horizontal="center" vertical="center"/>
    </xf>
    <xf numFmtId="167" fontId="0" fillId="4" borderId="0" xfId="0" applyNumberFormat="1" applyFill="1" applyAlignment="1">
      <alignment vertical="center"/>
    </xf>
    <xf numFmtId="167" fontId="0" fillId="0" borderId="0" xfId="0" applyNumberFormat="1"/>
    <xf numFmtId="0" fontId="11" fillId="0" borderId="10" xfId="0" applyFont="1" applyBorder="1" applyAlignment="1">
      <alignment horizontal="left"/>
    </xf>
    <xf numFmtId="165" fontId="11" fillId="0" borderId="10" xfId="0" applyNumberFormat="1" applyFont="1" applyBorder="1"/>
    <xf numFmtId="165" fontId="11" fillId="5" borderId="12" xfId="0" applyNumberFormat="1" applyFont="1" applyFill="1" applyBorder="1"/>
    <xf numFmtId="0" fontId="0" fillId="5" borderId="1" xfId="0" applyFill="1" applyBorder="1"/>
    <xf numFmtId="165" fontId="0" fillId="0" borderId="0" xfId="0" applyNumberFormat="1"/>
    <xf numFmtId="165" fontId="0" fillId="0" borderId="5" xfId="0" applyNumberFormat="1" applyBorder="1"/>
    <xf numFmtId="165" fontId="0" fillId="0" borderId="10" xfId="0" applyNumberFormat="1" applyBorder="1"/>
    <xf numFmtId="0" fontId="0" fillId="5" borderId="41" xfId="0" applyFill="1" applyBorder="1"/>
    <xf numFmtId="0" fontId="0" fillId="5" borderId="39" xfId="0" applyFill="1" applyBorder="1"/>
    <xf numFmtId="0" fontId="0" fillId="5" borderId="2" xfId="0" applyFill="1" applyBorder="1"/>
    <xf numFmtId="0" fontId="0" fillId="0" borderId="2" xfId="0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0" fillId="0" borderId="41" xfId="0" applyBorder="1" applyAlignment="1">
      <alignment horizontal="left" indent="1"/>
    </xf>
    <xf numFmtId="0" fontId="0" fillId="0" borderId="40" xfId="0" applyBorder="1" applyAlignment="1">
      <alignment horizontal="left" indent="1"/>
    </xf>
    <xf numFmtId="0" fontId="0" fillId="0" borderId="39" xfId="0" applyBorder="1" applyAlignment="1">
      <alignment horizontal="left" indent="1"/>
    </xf>
    <xf numFmtId="165" fontId="1" fillId="5" borderId="12" xfId="0" applyNumberFormat="1" applyFont="1" applyFill="1" applyBorder="1"/>
    <xf numFmtId="0" fontId="0" fillId="0" borderId="5" xfId="0" applyBorder="1" applyAlignment="1">
      <alignment horizontal="left" indent="1"/>
    </xf>
    <xf numFmtId="0" fontId="1" fillId="5" borderId="3" xfId="0" applyFont="1" applyFill="1" applyBorder="1" applyAlignment="1">
      <alignment horizontal="left"/>
    </xf>
    <xf numFmtId="165" fontId="0" fillId="5" borderId="12" xfId="0" applyNumberFormat="1" applyFill="1" applyBorder="1"/>
    <xf numFmtId="1" fontId="0" fillId="5" borderId="3" xfId="0" applyNumberFormat="1" applyFill="1" applyBorder="1"/>
    <xf numFmtId="0" fontId="0" fillId="0" borderId="3" xfId="0" applyBorder="1" applyAlignment="1">
      <alignment horizontal="left"/>
    </xf>
    <xf numFmtId="0" fontId="0" fillId="5" borderId="3" xfId="0" applyFill="1" applyBorder="1" applyAlignment="1">
      <alignment horizontal="left"/>
    </xf>
    <xf numFmtId="0" fontId="13" fillId="0" borderId="42" xfId="0" applyFont="1" applyBorder="1" applyAlignment="1">
      <alignment vertical="center"/>
    </xf>
    <xf numFmtId="43" fontId="13" fillId="0" borderId="42" xfId="0" applyNumberFormat="1" applyFont="1" applyBorder="1" applyAlignment="1">
      <alignment vertical="center"/>
    </xf>
    <xf numFmtId="167" fontId="24" fillId="0" borderId="24" xfId="0" applyNumberFormat="1" applyFont="1" applyBorder="1" applyAlignment="1">
      <alignment horizontal="center" vertical="center"/>
    </xf>
    <xf numFmtId="1" fontId="2" fillId="2" borderId="0" xfId="0" applyNumberFormat="1" applyFont="1" applyFill="1" applyAlignment="1">
      <alignment horizontal="right" vertical="center"/>
    </xf>
    <xf numFmtId="1" fontId="0" fillId="4" borderId="0" xfId="0" applyNumberFormat="1" applyFill="1"/>
    <xf numFmtId="1" fontId="1" fillId="5" borderId="7" xfId="0" applyNumberFormat="1" applyFont="1" applyFill="1" applyBorder="1" applyAlignment="1">
      <alignment vertical="center" wrapText="1"/>
    </xf>
    <xf numFmtId="0" fontId="13" fillId="4" borderId="17" xfId="0" applyFont="1" applyFill="1" applyBorder="1" applyAlignment="1">
      <alignment horizontal="right" vertical="center"/>
    </xf>
    <xf numFmtId="166" fontId="31" fillId="0" borderId="34" xfId="0" applyNumberFormat="1" applyFont="1" applyBorder="1" applyAlignment="1">
      <alignment horizontal="center" vertical="center"/>
    </xf>
    <xf numFmtId="6" fontId="31" fillId="0" borderId="33" xfId="0" applyNumberFormat="1" applyFont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7" fillId="6" borderId="4" xfId="0" applyFont="1" applyFill="1" applyBorder="1" applyAlignment="1" applyProtection="1">
      <alignment horizontal="center" vertical="center"/>
      <protection locked="0"/>
    </xf>
    <xf numFmtId="0" fontId="30" fillId="4" borderId="0" xfId="0" applyFont="1" applyFill="1" applyAlignment="1" applyProtection="1">
      <alignment horizontal="center" vertical="center"/>
      <protection locked="0"/>
    </xf>
    <xf numFmtId="165" fontId="11" fillId="0" borderId="0" xfId="0" applyNumberFormat="1" applyFont="1"/>
    <xf numFmtId="14" fontId="30" fillId="4" borderId="0" xfId="0" applyNumberFormat="1" applyFont="1" applyFill="1" applyAlignment="1" applyProtection="1">
      <alignment horizontal="center" vertical="center"/>
      <protection locked="0"/>
    </xf>
    <xf numFmtId="14" fontId="17" fillId="7" borderId="2" xfId="0" applyNumberFormat="1" applyFont="1" applyFill="1" applyBorder="1" applyAlignment="1">
      <alignment horizontal="center" vertical="center"/>
    </xf>
    <xf numFmtId="14" fontId="13" fillId="4" borderId="14" xfId="0" applyNumberFormat="1" applyFont="1" applyFill="1" applyBorder="1" applyAlignment="1">
      <alignment vertical="center"/>
    </xf>
    <xf numFmtId="14" fontId="13" fillId="4" borderId="17" xfId="0" applyNumberFormat="1" applyFont="1" applyFill="1" applyBorder="1" applyAlignment="1">
      <alignment horizontal="right" vertical="center"/>
    </xf>
    <xf numFmtId="14" fontId="14" fillId="4" borderId="0" xfId="0" applyNumberFormat="1" applyFont="1" applyFill="1" applyAlignment="1">
      <alignment vertical="center"/>
    </xf>
    <xf numFmtId="0" fontId="18" fillId="0" borderId="19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4" fontId="3" fillId="2" borderId="0" xfId="0" applyNumberFormat="1" applyFont="1" applyFill="1" applyAlignment="1">
      <alignment horizontal="left" vertical="center"/>
    </xf>
    <xf numFmtId="0" fontId="5" fillId="2" borderId="0" xfId="0" applyFont="1" applyFill="1" applyAlignment="1">
      <alignment horizontal="right" vertical="center" wrapText="1"/>
    </xf>
    <xf numFmtId="0" fontId="7" fillId="0" borderId="7" xfId="0" applyFont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14" fontId="32" fillId="4" borderId="0" xfId="0" applyNumberFormat="1" applyFont="1" applyFill="1" applyAlignment="1">
      <alignment horizontal="right" vertical="center"/>
    </xf>
    <xf numFmtId="0" fontId="17" fillId="7" borderId="2" xfId="0" applyNumberFormat="1" applyFont="1" applyFill="1" applyBorder="1" applyAlignment="1">
      <alignment horizontal="center" vertical="center"/>
    </xf>
  </cellXfs>
  <cellStyles count="3">
    <cellStyle name="Moeda" xfId="2" builtinId="4"/>
    <cellStyle name="Normal" xfId="0" builtinId="0"/>
    <cellStyle name="Vírgula" xfId="1" builtinId="3"/>
  </cellStyles>
  <dxfs count="285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2" tint="-9.9978637043366805E-2"/>
        </patternFill>
      </fill>
    </dxf>
    <dxf>
      <font>
        <b/>
      </font>
    </dxf>
    <dxf>
      <font>
        <b/>
      </font>
    </dxf>
    <dxf>
      <fill>
        <patternFill patternType="solid">
          <bgColor theme="2" tint="-9.9978637043366805E-2"/>
        </patternFill>
      </fill>
    </dxf>
    <dxf>
      <numFmt numFmtId="165" formatCode="#,##0.00_ ;[Red]\-#,##0.00\ "/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border>
        <righ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top/>
        <bottom/>
      </border>
    </dxf>
    <dxf>
      <border>
        <right/>
      </border>
    </dxf>
    <dxf>
      <border>
        <right/>
      </border>
    </dxf>
    <dxf>
      <border>
        <right/>
      </border>
    </dxf>
    <dxf>
      <border>
        <vertical/>
      </border>
    </dxf>
    <dxf>
      <border>
        <vertical/>
      </border>
    </dxf>
    <dxf>
      <border>
        <vertical/>
      </border>
    </dxf>
    <dxf>
      <border>
        <vertical/>
      </border>
    </dxf>
    <dxf>
      <border>
        <vertical/>
      </border>
    </dxf>
    <dxf>
      <font>
        <b/>
      </font>
    </dxf>
    <dxf>
      <font>
        <b/>
      </font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/>
      </border>
    </dxf>
    <dxf>
      <border>
        <bottom/>
      </border>
    </dxf>
    <dxf>
      <border>
        <right/>
        <bottom/>
      </border>
    </dxf>
    <dxf>
      <border>
        <right/>
        <bottom/>
      </border>
    </dxf>
    <dxf>
      <border>
        <left/>
      </border>
    </dxf>
    <dxf>
      <border>
        <left/>
        <right/>
      </border>
    </dxf>
    <dxf>
      <border>
        <left/>
        <right/>
      </border>
    </dxf>
    <dxf>
      <border>
        <left/>
      </border>
    </dxf>
    <dxf>
      <border>
        <left/>
      </border>
    </dxf>
    <dxf>
      <border>
        <right/>
      </border>
    </dxf>
    <dxf>
      <border>
        <right/>
      </border>
    </dxf>
    <dxf>
      <border>
        <right style="thin">
          <color indexed="64"/>
        </right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left/>
        <right/>
        <top/>
        <bottom/>
        <horizontal/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numFmt numFmtId="165" formatCode="#,##0.00_ ;[Red]\-#,##0.00\ "/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font>
        <b/>
      </font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border>
        <bottom/>
      </border>
    </dxf>
    <dxf>
      <border>
        <bottom/>
      </border>
    </dxf>
    <dxf>
      <border>
        <lef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border>
        <left/>
      </border>
    </dxf>
    <dxf>
      <numFmt numFmtId="165" formatCode="#,##0.00_ ;[Red]\-#,##0.00\ 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border>
        <bottom/>
      </border>
    </dxf>
    <dxf>
      <border>
        <bottom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numFmt numFmtId="165" formatCode="#,##0.00_ ;[Red]\-#,##0.00\ 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164" formatCode="_-&quot;R$&quot;* #,##0.00_-;\-&quot;R$&quot;* #,##0.00_-;_-&quot;R$&quot;* &quot;-&quot;??_-;_-@_-"/>
    </dxf>
    <dxf>
      <numFmt numFmtId="19" formatCode="dd/mm/yyyy"/>
    </dxf>
    <dxf>
      <numFmt numFmtId="19" formatCode="dd/mm/yyyy"/>
    </dxf>
    <dxf>
      <numFmt numFmtId="19" formatCode="dd/mm/yyyy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_-&quot;R$&quot;* #,##0.00_-;\-&quot;R$&quot;* #,##0.00_-;_-&quot;R$&quot;* &quot;-&quot;??_-;_-@_-"/>
    </dxf>
    <dxf>
      <numFmt numFmtId="19" formatCode="dd/mm/yyyy"/>
    </dxf>
    <dxf>
      <numFmt numFmtId="19" formatCode="dd/mm/yyyy"/>
    </dxf>
    <dxf>
      <numFmt numFmtId="19" formatCode="dd/mm/yyyy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1" indent="0" justifyLastLine="0" shrinkToFit="0" readingOrder="0"/>
    </dxf>
    <dxf>
      <border outline="0">
        <top style="thin">
          <color indexed="64"/>
        </top>
      </border>
    </dxf>
    <dxf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  <protection locked="1" hidden="0"/>
    </dxf>
    <dxf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/>
        <bottom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07/relationships/slicerCache" Target="slicerCaches/slicerCache6.xml"/><Relationship Id="rId3" Type="http://schemas.openxmlformats.org/officeDocument/2006/relationships/worksheet" Target="worksheets/sheet3.xml"/><Relationship Id="rId21" Type="http://schemas.microsoft.com/office/2007/relationships/slicerCache" Target="slicerCaches/slicerCach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07/relationships/slicerCache" Target="slicerCaches/slicerCache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29" Type="http://schemas.microsoft.com/office/2007/relationships/slicerCache" Target="slicerCaches/slicerCache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07/relationships/slicerCache" Target="slicerCaches/slicerCache3.xml"/><Relationship Id="rId28" Type="http://schemas.microsoft.com/office/2007/relationships/slicerCache" Target="slicerCaches/slicerCache8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2.xml"/><Relationship Id="rId27" Type="http://schemas.microsoft.com/office/2007/relationships/slicerCache" Target="slicerCaches/slicerCache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numFmt formatCode="#,##0_ ;[Red]\-#,##0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DashBoardFinanceiroAnualRef!$L$5:$L$16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DashBoardFinanceiroAnualRef!$K$5:$K$16</c:f>
              <c:numCache>
                <c:formatCode>_(* #,##0.00_);_(* \(#,##0.00\);_(* "-"??_);_(@_)</c:formatCode>
                <c:ptCount val="12"/>
                <c:pt idx="0">
                  <c:v>0</c:v>
                </c:pt>
                <c:pt idx="1">
                  <c:v>5718</c:v>
                </c:pt>
                <c:pt idx="2">
                  <c:v>4918</c:v>
                </c:pt>
                <c:pt idx="3">
                  <c:v>3446</c:v>
                </c:pt>
                <c:pt idx="4">
                  <c:v>611</c:v>
                </c:pt>
                <c:pt idx="5">
                  <c:v>3224</c:v>
                </c:pt>
                <c:pt idx="6">
                  <c:v>1306</c:v>
                </c:pt>
                <c:pt idx="7">
                  <c:v>0</c:v>
                </c:pt>
                <c:pt idx="8">
                  <c:v>6637</c:v>
                </c:pt>
                <c:pt idx="9">
                  <c:v>0</c:v>
                </c:pt>
                <c:pt idx="10">
                  <c:v>1820</c:v>
                </c:pt>
                <c:pt idx="11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514-414B-A4AE-7F67B2C35F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17046111"/>
        <c:axId val="1228983647"/>
      </c:lineChart>
      <c:catAx>
        <c:axId val="111704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8983647"/>
        <c:crosses val="autoZero"/>
        <c:auto val="1"/>
        <c:lblAlgn val="ctr"/>
        <c:lblOffset val="100"/>
        <c:noMultiLvlLbl val="0"/>
      </c:catAx>
      <c:valAx>
        <c:axId val="1228983647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111704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039870136725477E-2"/>
          <c:y val="0.12468612055750802"/>
          <c:w val="0.5830508168289642"/>
          <c:h val="0.77470248588727275"/>
        </c:manualLayout>
      </c:layout>
      <c:doughnutChart>
        <c:varyColors val="1"/>
        <c:ser>
          <c:idx val="0"/>
          <c:order val="0"/>
          <c:spPr>
            <a:ln w="0"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445-406C-A4F8-DDAE1508E3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445-406C-A4F8-DDAE1508E331}"/>
              </c:ext>
            </c:extLst>
          </c:dPt>
          <c:dLbls>
            <c:dLbl>
              <c:idx val="0"/>
              <c:layout>
                <c:manualLayout>
                  <c:x val="0"/>
                  <c:y val="-0.13641987243888909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445-406C-A4F8-DDAE1508E331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DashBoardFinanceiroAnualRef!$C$21:$D$21</c:f>
              <c:strCache>
                <c:ptCount val="2"/>
                <c:pt idx="0">
                  <c:v>À Vista</c:v>
                </c:pt>
                <c:pt idx="1">
                  <c:v>À Prazo</c:v>
                </c:pt>
              </c:strCache>
            </c:strRef>
          </c:cat>
          <c:val>
            <c:numRef>
              <c:f>DashBoardFinanceiroAnualRef!$C$22:$D$22</c:f>
              <c:numCache>
                <c:formatCode>_(* #,##0.00_);_(* \(#,##0.00\);_(* "-"??_);_(@_)</c:formatCode>
                <c:ptCount val="2"/>
                <c:pt idx="0">
                  <c:v>6516</c:v>
                </c:pt>
                <c:pt idx="1">
                  <c:v>314058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45-406C-A4F8-DDAE1508E33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06566921577477"/>
          <c:y val="0.31643407678688545"/>
          <c:w val="0.29914586411530764"/>
          <c:h val="0.351082449668712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766238370145328E-2"/>
          <c:y val="3.8095238095238099E-2"/>
          <c:w val="0.93809522965473358"/>
          <c:h val="0.74096887889013885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6FA-4E58-9C70-F8AFB5E86681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6FA-4E58-9C70-F8AFB5E86681}"/>
              </c:ext>
            </c:extLst>
          </c:dPt>
          <c:dLbls>
            <c:dLbl>
              <c:idx val="0"/>
              <c:layout>
                <c:manualLayout>
                  <c:x val="2.8138531975120812E-3"/>
                  <c:y val="-0.16384017311224619"/>
                </c:manualLayout>
              </c:layout>
              <c:numFmt formatCode="&quot;R$&quot;#,##0_);[Red]\(&quot;R$&quot;#,##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8307797430929869"/>
                      <c:h val="0.1448160491765654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56FA-4E58-9C70-F8AFB5E86681}"/>
                </c:ext>
              </c:extLst>
            </c:dLbl>
            <c:dLbl>
              <c:idx val="1"/>
              <c:layout>
                <c:manualLayout>
                  <c:x val="5.627706395024204E-3"/>
                  <c:y val="-1.2161470783117467E-4"/>
                </c:manualLayout>
              </c:layout>
              <c:numFmt formatCode="&quot;R$&quot;#,##0_);[Red]\(&quot;R$&quot;#,##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774502679142745"/>
                      <c:h val="0.164182905470679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56FA-4E58-9C70-F8AFB5E86681}"/>
                </c:ext>
              </c:extLst>
            </c:dLbl>
            <c:numFmt formatCode="&quot;R$&quot;#,##0_);[Red]\(&quot;R$&quot;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DashBoardFinanceiroAnualRef!$C$31:$D$31</c:f>
              <c:strCache>
                <c:ptCount val="2"/>
                <c:pt idx="0">
                  <c:v>Entradas</c:v>
                </c:pt>
                <c:pt idx="1">
                  <c:v>Saídas</c:v>
                </c:pt>
              </c:strCache>
            </c:strRef>
          </c:cat>
          <c:val>
            <c:numRef>
              <c:f>DashBoardFinanceiroAnualRef!$C$32:$D$32</c:f>
              <c:numCache>
                <c:formatCode>"R$"\ #,##0</c:formatCode>
                <c:ptCount val="2"/>
                <c:pt idx="0">
                  <c:v>320574</c:v>
                </c:pt>
                <c:pt idx="1">
                  <c:v>302150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FA-4E58-9C70-F8AFB5E8668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"/>
        <c:overlap val="-10"/>
        <c:axId val="1120459055"/>
        <c:axId val="1233035359"/>
      </c:barChart>
      <c:catAx>
        <c:axId val="11204590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3035359"/>
        <c:crosses val="autoZero"/>
        <c:auto val="1"/>
        <c:lblAlgn val="ctr"/>
        <c:lblOffset val="100"/>
        <c:noMultiLvlLbl val="0"/>
      </c:catAx>
      <c:valAx>
        <c:axId val="1233035359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1120459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DashBoardFinanceiroAnualRef!$H$32:$H$43</c:f>
              <c:numCache>
                <c:formatCode>_(* #,##0.00_);_(* \(#,##0.00\);_(* "-"??_);_(@_)</c:formatCode>
                <c:ptCount val="12"/>
                <c:pt idx="0">
                  <c:v>2247</c:v>
                </c:pt>
                <c:pt idx="1">
                  <c:v>3503</c:v>
                </c:pt>
                <c:pt idx="2">
                  <c:v>3893</c:v>
                </c:pt>
                <c:pt idx="3">
                  <c:v>4867</c:v>
                </c:pt>
                <c:pt idx="4">
                  <c:v>0</c:v>
                </c:pt>
                <c:pt idx="5">
                  <c:v>0</c:v>
                </c:pt>
                <c:pt idx="6">
                  <c:v>1108</c:v>
                </c:pt>
                <c:pt idx="7">
                  <c:v>4462</c:v>
                </c:pt>
                <c:pt idx="8">
                  <c:v>159</c:v>
                </c:pt>
                <c:pt idx="9">
                  <c:v>9436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F8-4B20-B6E8-3F9DE14F4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5"/>
        <c:axId val="1327819327"/>
        <c:axId val="1242935327"/>
      </c:barChart>
      <c:catAx>
        <c:axId val="1327819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2935327"/>
        <c:crosses val="autoZero"/>
        <c:auto val="1"/>
        <c:lblAlgn val="ctr"/>
        <c:lblOffset val="100"/>
        <c:noMultiLvlLbl val="0"/>
      </c:catAx>
      <c:valAx>
        <c:axId val="1242935327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1327819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numFmt formatCode="#,##0_ ;[Red]\-#,##0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DashBoardFinanceiroAnualRef!$L$5:$L$16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DashBoardFinanceiroAtualRef!$K$5:$K$16</c:f>
              <c:numCache>
                <c:formatCode>_(* #,##0.00_);_(* \(#,##0.00\);_(* "-"??_);_(@_)</c:formatCode>
                <c:ptCount val="12"/>
                <c:pt idx="0">
                  <c:v>0</c:v>
                </c:pt>
                <c:pt idx="1">
                  <c:v>5718</c:v>
                </c:pt>
                <c:pt idx="2">
                  <c:v>4918</c:v>
                </c:pt>
                <c:pt idx="3">
                  <c:v>3446</c:v>
                </c:pt>
                <c:pt idx="4">
                  <c:v>611</c:v>
                </c:pt>
                <c:pt idx="5">
                  <c:v>3224</c:v>
                </c:pt>
                <c:pt idx="6">
                  <c:v>1306</c:v>
                </c:pt>
                <c:pt idx="7">
                  <c:v>0</c:v>
                </c:pt>
                <c:pt idx="8">
                  <c:v>6637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020-4A0E-BCDB-17A21BF93C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17046111"/>
        <c:axId val="1228983647"/>
      </c:lineChart>
      <c:catAx>
        <c:axId val="111704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8983647"/>
        <c:crosses val="autoZero"/>
        <c:auto val="1"/>
        <c:lblAlgn val="ctr"/>
        <c:lblOffset val="100"/>
        <c:noMultiLvlLbl val="0"/>
      </c:catAx>
      <c:valAx>
        <c:axId val="1228983647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111704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039870136725477E-2"/>
          <c:y val="0.12468612055750802"/>
          <c:w val="0.5830508168289642"/>
          <c:h val="0.77470248588727275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4D3-43D6-8BE6-7C8E5EEA3C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4D3-43D6-8BE6-7C8E5EEA3C60}"/>
              </c:ext>
            </c:extLst>
          </c:dPt>
          <c:dLbls>
            <c:dLbl>
              <c:idx val="0"/>
              <c:layout>
                <c:manualLayout>
                  <c:x val="0"/>
                  <c:y val="-0.13641987243888909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4D3-43D6-8BE6-7C8E5EEA3C60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DashBoardFinanceiroAnualRef!$C$21:$D$21</c:f>
              <c:strCache>
                <c:ptCount val="2"/>
                <c:pt idx="0">
                  <c:v>À Vista</c:v>
                </c:pt>
                <c:pt idx="1">
                  <c:v>À Prazo</c:v>
                </c:pt>
              </c:strCache>
            </c:strRef>
          </c:cat>
          <c:val>
            <c:numRef>
              <c:f>DashBoardFinanceiroAtualRef!$C$22:$D$22</c:f>
              <c:numCache>
                <c:formatCode>_(* #,##0.00_);_(* \(#,##0.00\);_(* "-"??_);_(@_)</c:formatCode>
                <c:ptCount val="2"/>
                <c:pt idx="0">
                  <c:v>6516</c:v>
                </c:pt>
                <c:pt idx="1">
                  <c:v>265255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D3-43D6-8BE6-7C8E5EEA3C6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06566921577477"/>
          <c:y val="0.31643407678688545"/>
          <c:w val="0.29914586411530764"/>
          <c:h val="0.351082449668712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DashBoardFinanceiroAtualRef!$H$32:$H$43</c:f>
              <c:numCache>
                <c:formatCode>_(* #,##0.00_);_(* \(#,##0.00\);_(* "-"??_);_(@_)</c:formatCode>
                <c:ptCount val="12"/>
                <c:pt idx="0">
                  <c:v>2247</c:v>
                </c:pt>
                <c:pt idx="1">
                  <c:v>3503</c:v>
                </c:pt>
                <c:pt idx="2">
                  <c:v>3893</c:v>
                </c:pt>
                <c:pt idx="3">
                  <c:v>4867</c:v>
                </c:pt>
                <c:pt idx="4">
                  <c:v>0</c:v>
                </c:pt>
                <c:pt idx="5">
                  <c:v>0</c:v>
                </c:pt>
                <c:pt idx="6">
                  <c:v>1108</c:v>
                </c:pt>
                <c:pt idx="7">
                  <c:v>4462</c:v>
                </c:pt>
                <c:pt idx="8">
                  <c:v>159</c:v>
                </c:pt>
                <c:pt idx="9">
                  <c:v>9436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8-4F7C-B7C3-AACA72428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5"/>
        <c:axId val="1327819327"/>
        <c:axId val="1242935327"/>
      </c:barChart>
      <c:catAx>
        <c:axId val="1327819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2935327"/>
        <c:crosses val="autoZero"/>
        <c:auto val="1"/>
        <c:lblAlgn val="ctr"/>
        <c:lblOffset val="100"/>
        <c:noMultiLvlLbl val="0"/>
      </c:catAx>
      <c:valAx>
        <c:axId val="1242935327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1327819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AF5-4A02-B2C3-C42ABF04DFA7}"/>
              </c:ext>
            </c:extLst>
          </c:dPt>
          <c:dLbls>
            <c:dLbl>
              <c:idx val="0"/>
              <c:numFmt formatCode="&quot;R$&quot;#,##0_);[Red]\(&quot;R$&quot;#,##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ctr" rtl="0">
                    <a:defRPr lang="en-US" sz="900" b="1" i="0" u="none" strike="noStrike" kern="1200" baseline="0">
                      <a:solidFill>
                        <a:sysClr val="window" lastClr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6368858882472604"/>
                      <c:h val="0.2281434031821546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C962-4BA5-BA2B-D5486D7DB798}"/>
                </c:ext>
              </c:extLst>
            </c:dLbl>
            <c:dLbl>
              <c:idx val="1"/>
              <c:numFmt formatCode="&quot;R$&quot;#,##0_);[Red]\(&quot;R$&quot;#,##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900" b="1" i="0" u="none" strike="noStrike" kern="1200" baseline="0">
                      <a:solidFill>
                        <a:sysClr val="window" lastClr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6516135535554906"/>
                      <c:h val="0.2145715894800070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7AF5-4A02-B2C3-C42ABF04DFA7}"/>
                </c:ext>
              </c:extLst>
            </c:dLbl>
            <c:numFmt formatCode="&quot;R$&quot;#,##0_);[Red]\(&quot;R$&quot;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DashBoardFinanceiroAtualRef!$C$31:$D$31</c:f>
              <c:strCache>
                <c:ptCount val="2"/>
                <c:pt idx="0">
                  <c:v>Entradas</c:v>
                </c:pt>
                <c:pt idx="1">
                  <c:v>Saídas</c:v>
                </c:pt>
              </c:strCache>
            </c:strRef>
          </c:cat>
          <c:val>
            <c:numRef>
              <c:f>DashBoardFinanceiroAtualRef!$C$32:$D$32</c:f>
              <c:numCache>
                <c:formatCode>"R$"\ #,##0</c:formatCode>
                <c:ptCount val="2"/>
                <c:pt idx="0">
                  <c:v>271771</c:v>
                </c:pt>
                <c:pt idx="1">
                  <c:v>260299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F5-4A02-B2C3-C42ABF04DFA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"/>
        <c:overlap val="-10"/>
        <c:axId val="245776336"/>
        <c:axId val="239650176"/>
      </c:barChart>
      <c:catAx>
        <c:axId val="24577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9650176"/>
        <c:crosses val="autoZero"/>
        <c:auto val="1"/>
        <c:lblAlgn val="ctr"/>
        <c:lblOffset val="100"/>
        <c:noMultiLvlLbl val="0"/>
      </c:catAx>
      <c:valAx>
        <c:axId val="239650176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24577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etalhaReceita!A1"/><Relationship Id="rId13" Type="http://schemas.openxmlformats.org/officeDocument/2006/relationships/hyperlink" Target="#DashboardFInanceiraAtual!A1"/><Relationship Id="rId3" Type="http://schemas.openxmlformats.org/officeDocument/2006/relationships/hyperlink" Target="#'PCSaidas-N1'!A1"/><Relationship Id="rId7" Type="http://schemas.openxmlformats.org/officeDocument/2006/relationships/hyperlink" Target="#FluxoCaixaConsolidado!A1"/><Relationship Id="rId12" Type="http://schemas.openxmlformats.org/officeDocument/2006/relationships/hyperlink" Target="#ContasReceberVencidas!A1"/><Relationship Id="rId2" Type="http://schemas.openxmlformats.org/officeDocument/2006/relationships/hyperlink" Target="#'PCEntradas-N2'!A1"/><Relationship Id="rId1" Type="http://schemas.openxmlformats.org/officeDocument/2006/relationships/hyperlink" Target="#'PCEntradas-N1'!A1"/><Relationship Id="rId6" Type="http://schemas.openxmlformats.org/officeDocument/2006/relationships/hyperlink" Target="#RegistrosSaida!A1"/><Relationship Id="rId11" Type="http://schemas.openxmlformats.org/officeDocument/2006/relationships/hyperlink" Target="#ContasReceber!A1"/><Relationship Id="rId5" Type="http://schemas.openxmlformats.org/officeDocument/2006/relationships/hyperlink" Target="#RegistrosEntrada!A1"/><Relationship Id="rId15" Type="http://schemas.openxmlformats.org/officeDocument/2006/relationships/image" Target="../media/image1.png"/><Relationship Id="rId10" Type="http://schemas.openxmlformats.org/officeDocument/2006/relationships/hyperlink" Target="#ContasPagar!A1"/><Relationship Id="rId4" Type="http://schemas.openxmlformats.org/officeDocument/2006/relationships/hyperlink" Target="#'PCSaidas-N2'!A1"/><Relationship Id="rId9" Type="http://schemas.openxmlformats.org/officeDocument/2006/relationships/hyperlink" Target="#DetalhaDespesa!A1"/><Relationship Id="rId14" Type="http://schemas.openxmlformats.org/officeDocument/2006/relationships/hyperlink" Target="#DashboardFInanceiraAnual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hyperlink" Target="#In&#237;cio!A1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hyperlink" Target="#In&#237;cio!A1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247653</xdr:rowOff>
    </xdr:from>
    <xdr:to>
      <xdr:col>6</xdr:col>
      <xdr:colOff>300405</xdr:colOff>
      <xdr:row>4</xdr:row>
      <xdr:rowOff>57151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D4E32F5B-CEB7-0BFE-F699-54EB3732ECFB}"/>
            </a:ext>
          </a:extLst>
        </xdr:cNvPr>
        <xdr:cNvSpPr/>
      </xdr:nvSpPr>
      <xdr:spPr>
        <a:xfrm>
          <a:off x="3634154" y="1258768"/>
          <a:ext cx="2652347" cy="307729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CADASTROS</a:t>
          </a:r>
        </a:p>
      </xdr:txBody>
    </xdr:sp>
    <xdr:clientData/>
  </xdr:twoCellAnchor>
  <xdr:twoCellAnchor>
    <xdr:from>
      <xdr:col>6</xdr:col>
      <xdr:colOff>441814</xdr:colOff>
      <xdr:row>2</xdr:row>
      <xdr:rowOff>247653</xdr:rowOff>
    </xdr:from>
    <xdr:to>
      <xdr:col>9</xdr:col>
      <xdr:colOff>742219</xdr:colOff>
      <xdr:row>4</xdr:row>
      <xdr:rowOff>57151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D164D3FB-983F-4268-BD55-024D3E5E9DA5}"/>
            </a:ext>
          </a:extLst>
        </xdr:cNvPr>
        <xdr:cNvSpPr/>
      </xdr:nvSpPr>
      <xdr:spPr>
        <a:xfrm>
          <a:off x="6427910" y="1258768"/>
          <a:ext cx="2652347" cy="307729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RELATÓRIOS</a:t>
          </a:r>
        </a:p>
      </xdr:txBody>
    </xdr:sp>
    <xdr:clientData/>
  </xdr:twoCellAnchor>
  <xdr:twoCellAnchor>
    <xdr:from>
      <xdr:col>10</xdr:col>
      <xdr:colOff>99647</xdr:colOff>
      <xdr:row>2</xdr:row>
      <xdr:rowOff>247653</xdr:rowOff>
    </xdr:from>
    <xdr:to>
      <xdr:col>13</xdr:col>
      <xdr:colOff>400051</xdr:colOff>
      <xdr:row>4</xdr:row>
      <xdr:rowOff>57151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A0150D3D-759F-438B-805E-6CFBB541B7FD}"/>
            </a:ext>
          </a:extLst>
        </xdr:cNvPr>
        <xdr:cNvSpPr/>
      </xdr:nvSpPr>
      <xdr:spPr>
        <a:xfrm>
          <a:off x="9221666" y="1258768"/>
          <a:ext cx="2652347" cy="307729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GRÁFICOS</a:t>
          </a: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6</xdr:col>
      <xdr:colOff>300405</xdr:colOff>
      <xdr:row>6</xdr:row>
      <xdr:rowOff>58614</xdr:rowOff>
    </xdr:to>
    <xdr:sp macro="" textlink="">
      <xdr:nvSpPr>
        <xdr:cNvPr id="5" name="Retângulo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5A0887-0117-43BF-82DF-49FAD390E417}"/>
            </a:ext>
          </a:extLst>
        </xdr:cNvPr>
        <xdr:cNvSpPr/>
      </xdr:nvSpPr>
      <xdr:spPr>
        <a:xfrm>
          <a:off x="3634154" y="1758462"/>
          <a:ext cx="2652347" cy="30772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Entradas - Nível 1</a:t>
          </a:r>
        </a:p>
      </xdr:txBody>
    </xdr:sp>
    <xdr:clientData/>
  </xdr:twoCellAnchor>
  <xdr:twoCellAnchor>
    <xdr:from>
      <xdr:col>3</xdr:col>
      <xdr:colOff>0</xdr:colOff>
      <xdr:row>6</xdr:row>
      <xdr:rowOff>118697</xdr:rowOff>
    </xdr:from>
    <xdr:to>
      <xdr:col>6</xdr:col>
      <xdr:colOff>300405</xdr:colOff>
      <xdr:row>7</xdr:row>
      <xdr:rowOff>177311</xdr:rowOff>
    </xdr:to>
    <xdr:sp macro="" textlink="">
      <xdr:nvSpPr>
        <xdr:cNvPr id="6" name="Retângulo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777F9A2-AB4F-431A-9D3C-5AC40DE4B76A}"/>
            </a:ext>
          </a:extLst>
        </xdr:cNvPr>
        <xdr:cNvSpPr/>
      </xdr:nvSpPr>
      <xdr:spPr>
        <a:xfrm>
          <a:off x="3634154" y="2126274"/>
          <a:ext cx="2652347" cy="30772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Plano de Contas de Entradas - Nível 2</a:t>
          </a:r>
          <a:endParaRPr lang="pt-BR">
            <a:effectLst/>
          </a:endParaRPr>
        </a:p>
      </xdr:txBody>
    </xdr:sp>
    <xdr:clientData/>
  </xdr:twoCellAnchor>
  <xdr:twoCellAnchor>
    <xdr:from>
      <xdr:col>3</xdr:col>
      <xdr:colOff>0</xdr:colOff>
      <xdr:row>7</xdr:row>
      <xdr:rowOff>237394</xdr:rowOff>
    </xdr:from>
    <xdr:to>
      <xdr:col>6</xdr:col>
      <xdr:colOff>300405</xdr:colOff>
      <xdr:row>9</xdr:row>
      <xdr:rowOff>46892</xdr:rowOff>
    </xdr:to>
    <xdr:sp macro="" textlink="">
      <xdr:nvSpPr>
        <xdr:cNvPr id="7" name="Retângulo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D56A974-41A2-4145-A392-C629EF626337}"/>
            </a:ext>
          </a:extLst>
        </xdr:cNvPr>
        <xdr:cNvSpPr/>
      </xdr:nvSpPr>
      <xdr:spPr>
        <a:xfrm>
          <a:off x="3634154" y="2494086"/>
          <a:ext cx="2652347" cy="30772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Plano de Contas de Saídas - Nível 1</a:t>
          </a:r>
          <a:endParaRPr lang="pt-BR">
            <a:effectLst/>
          </a:endParaRPr>
        </a:p>
      </xdr:txBody>
    </xdr:sp>
    <xdr:clientData/>
  </xdr:twoCellAnchor>
  <xdr:twoCellAnchor>
    <xdr:from>
      <xdr:col>3</xdr:col>
      <xdr:colOff>0</xdr:colOff>
      <xdr:row>9</xdr:row>
      <xdr:rowOff>106975</xdr:rowOff>
    </xdr:from>
    <xdr:to>
      <xdr:col>6</xdr:col>
      <xdr:colOff>300405</xdr:colOff>
      <xdr:row>10</xdr:row>
      <xdr:rowOff>165589</xdr:rowOff>
    </xdr:to>
    <xdr:sp macro="" textlink="">
      <xdr:nvSpPr>
        <xdr:cNvPr id="8" name="Retângulo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8B3E13A-205F-4E5D-9D9B-FF7D6067DAAB}"/>
            </a:ext>
          </a:extLst>
        </xdr:cNvPr>
        <xdr:cNvSpPr/>
      </xdr:nvSpPr>
      <xdr:spPr>
        <a:xfrm>
          <a:off x="3634154" y="2861898"/>
          <a:ext cx="2652347" cy="30772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Plano de Contas de Saídas - Nível 2</a:t>
          </a:r>
          <a:endParaRPr lang="pt-BR">
            <a:effectLst/>
          </a:endParaRPr>
        </a:p>
      </xdr:txBody>
    </xdr:sp>
    <xdr:clientData/>
  </xdr:twoCellAnchor>
  <xdr:twoCellAnchor>
    <xdr:from>
      <xdr:col>3</xdr:col>
      <xdr:colOff>0</xdr:colOff>
      <xdr:row>10</xdr:row>
      <xdr:rowOff>225672</xdr:rowOff>
    </xdr:from>
    <xdr:to>
      <xdr:col>6</xdr:col>
      <xdr:colOff>300405</xdr:colOff>
      <xdr:row>12</xdr:row>
      <xdr:rowOff>35170</xdr:rowOff>
    </xdr:to>
    <xdr:sp macro="" textlink="">
      <xdr:nvSpPr>
        <xdr:cNvPr id="9" name="Retângulo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847A816-8A8E-46C1-816D-D71278D52B03}"/>
            </a:ext>
          </a:extLst>
        </xdr:cNvPr>
        <xdr:cNvSpPr/>
      </xdr:nvSpPr>
      <xdr:spPr>
        <a:xfrm>
          <a:off x="3634154" y="3229710"/>
          <a:ext cx="2652347" cy="30772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bg1"/>
              </a:solidFill>
            </a:rPr>
            <a:t>Registro</a:t>
          </a:r>
          <a:r>
            <a:rPr lang="pt-BR" sz="1100" b="0" baseline="0">
              <a:solidFill>
                <a:schemeClr val="bg1"/>
              </a:solidFill>
            </a:rPr>
            <a:t> das Entradas de Caixa</a:t>
          </a:r>
        </a:p>
      </xdr:txBody>
    </xdr:sp>
    <xdr:clientData/>
  </xdr:twoCellAnchor>
  <xdr:twoCellAnchor>
    <xdr:from>
      <xdr:col>3</xdr:col>
      <xdr:colOff>0</xdr:colOff>
      <xdr:row>12</xdr:row>
      <xdr:rowOff>95251</xdr:rowOff>
    </xdr:from>
    <xdr:to>
      <xdr:col>6</xdr:col>
      <xdr:colOff>300405</xdr:colOff>
      <xdr:row>13</xdr:row>
      <xdr:rowOff>153864</xdr:rowOff>
    </xdr:to>
    <xdr:sp macro="" textlink="">
      <xdr:nvSpPr>
        <xdr:cNvPr id="10" name="Retângulo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B7455C2-A6A8-40A7-B4F2-C8289E0191C5}"/>
            </a:ext>
          </a:extLst>
        </xdr:cNvPr>
        <xdr:cNvSpPr/>
      </xdr:nvSpPr>
      <xdr:spPr>
        <a:xfrm>
          <a:off x="3634154" y="3597520"/>
          <a:ext cx="2652347" cy="30772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bg1"/>
              </a:solidFill>
            </a:rPr>
            <a:t>Registro</a:t>
          </a:r>
          <a:r>
            <a:rPr lang="pt-BR" sz="1100" b="0" baseline="0">
              <a:solidFill>
                <a:schemeClr val="bg1"/>
              </a:solidFill>
            </a:rPr>
            <a:t> das Saídas de Caixa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445477</xdr:colOff>
      <xdr:row>5</xdr:row>
      <xdr:rowOff>5862</xdr:rowOff>
    </xdr:from>
    <xdr:to>
      <xdr:col>9</xdr:col>
      <xdr:colOff>745882</xdr:colOff>
      <xdr:row>6</xdr:row>
      <xdr:rowOff>64476</xdr:rowOff>
    </xdr:to>
    <xdr:sp macro="" textlink="">
      <xdr:nvSpPr>
        <xdr:cNvPr id="11" name="Retângulo 1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7575A8F-5BB9-418B-93AE-830D6A84952C}"/>
            </a:ext>
          </a:extLst>
        </xdr:cNvPr>
        <xdr:cNvSpPr/>
      </xdr:nvSpPr>
      <xdr:spPr>
        <a:xfrm>
          <a:off x="6431573" y="1764324"/>
          <a:ext cx="2652347" cy="30772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bg1"/>
              </a:solidFill>
            </a:rPr>
            <a:t>Fluxo de Caixa e Resultado Mensal</a:t>
          </a:r>
        </a:p>
      </xdr:txBody>
    </xdr:sp>
    <xdr:clientData/>
  </xdr:twoCellAnchor>
  <xdr:twoCellAnchor>
    <xdr:from>
      <xdr:col>6</xdr:col>
      <xdr:colOff>445477</xdr:colOff>
      <xdr:row>6</xdr:row>
      <xdr:rowOff>124559</xdr:rowOff>
    </xdr:from>
    <xdr:to>
      <xdr:col>9</xdr:col>
      <xdr:colOff>745882</xdr:colOff>
      <xdr:row>7</xdr:row>
      <xdr:rowOff>183173</xdr:rowOff>
    </xdr:to>
    <xdr:sp macro="" textlink="">
      <xdr:nvSpPr>
        <xdr:cNvPr id="12" name="Retângulo 11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49163684-001D-40A0-8F77-98FF06BC8CB1}"/>
            </a:ext>
          </a:extLst>
        </xdr:cNvPr>
        <xdr:cNvSpPr/>
      </xdr:nvSpPr>
      <xdr:spPr>
        <a:xfrm>
          <a:off x="6431573" y="2132136"/>
          <a:ext cx="2652347" cy="30772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Receita</a:t>
          </a:r>
        </a:p>
      </xdr:txBody>
    </xdr:sp>
    <xdr:clientData/>
  </xdr:twoCellAnchor>
  <xdr:twoCellAnchor>
    <xdr:from>
      <xdr:col>6</xdr:col>
      <xdr:colOff>445477</xdr:colOff>
      <xdr:row>7</xdr:row>
      <xdr:rowOff>243256</xdr:rowOff>
    </xdr:from>
    <xdr:to>
      <xdr:col>9</xdr:col>
      <xdr:colOff>745882</xdr:colOff>
      <xdr:row>9</xdr:row>
      <xdr:rowOff>52754</xdr:rowOff>
    </xdr:to>
    <xdr:sp macro="" textlink="">
      <xdr:nvSpPr>
        <xdr:cNvPr id="13" name="Retângulo 12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AAD4A345-B720-4558-934A-96267955FADE}"/>
            </a:ext>
          </a:extLst>
        </xdr:cNvPr>
        <xdr:cNvSpPr/>
      </xdr:nvSpPr>
      <xdr:spPr>
        <a:xfrm>
          <a:off x="6431573" y="2499948"/>
          <a:ext cx="2652347" cy="30772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</a:t>
          </a:r>
          <a:r>
            <a:rPr lang="pt-BR" sz="1100" b="0" baseline="0">
              <a:solidFill>
                <a:schemeClr val="bg1"/>
              </a:solidFill>
            </a:rPr>
            <a:t> Despesa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445477</xdr:colOff>
      <xdr:row>9</xdr:row>
      <xdr:rowOff>112837</xdr:rowOff>
    </xdr:from>
    <xdr:to>
      <xdr:col>9</xdr:col>
      <xdr:colOff>745882</xdr:colOff>
      <xdr:row>10</xdr:row>
      <xdr:rowOff>171451</xdr:rowOff>
    </xdr:to>
    <xdr:sp macro="" textlink="">
      <xdr:nvSpPr>
        <xdr:cNvPr id="14" name="Retângulo 13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E61ECBE-DC68-4199-B240-C8747F13B2CE}"/>
            </a:ext>
          </a:extLst>
        </xdr:cNvPr>
        <xdr:cNvSpPr/>
      </xdr:nvSpPr>
      <xdr:spPr>
        <a:xfrm>
          <a:off x="6431573" y="2867760"/>
          <a:ext cx="2652347" cy="30772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Pagar</a:t>
          </a:r>
        </a:p>
      </xdr:txBody>
    </xdr:sp>
    <xdr:clientData/>
  </xdr:twoCellAnchor>
  <xdr:twoCellAnchor>
    <xdr:from>
      <xdr:col>6</xdr:col>
      <xdr:colOff>445477</xdr:colOff>
      <xdr:row>10</xdr:row>
      <xdr:rowOff>231534</xdr:rowOff>
    </xdr:from>
    <xdr:to>
      <xdr:col>9</xdr:col>
      <xdr:colOff>745882</xdr:colOff>
      <xdr:row>12</xdr:row>
      <xdr:rowOff>41032</xdr:rowOff>
    </xdr:to>
    <xdr:sp macro="" textlink="">
      <xdr:nvSpPr>
        <xdr:cNvPr id="15" name="Retângulo 14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6D3D1A7E-19E2-40BD-AE49-96041C2BA9D4}"/>
            </a:ext>
          </a:extLst>
        </xdr:cNvPr>
        <xdr:cNvSpPr/>
      </xdr:nvSpPr>
      <xdr:spPr>
        <a:xfrm>
          <a:off x="6431573" y="3235572"/>
          <a:ext cx="2652347" cy="30772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bg1"/>
              </a:solidFill>
            </a:rPr>
            <a:t>Contas</a:t>
          </a:r>
          <a:r>
            <a:rPr lang="pt-BR" sz="1100" b="0" baseline="0">
              <a:solidFill>
                <a:schemeClr val="bg1"/>
              </a:solidFill>
            </a:rPr>
            <a:t> a Receber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445477</xdr:colOff>
      <xdr:row>12</xdr:row>
      <xdr:rowOff>101113</xdr:rowOff>
    </xdr:from>
    <xdr:to>
      <xdr:col>9</xdr:col>
      <xdr:colOff>745882</xdr:colOff>
      <xdr:row>13</xdr:row>
      <xdr:rowOff>159726</xdr:rowOff>
    </xdr:to>
    <xdr:sp macro="" textlink="">
      <xdr:nvSpPr>
        <xdr:cNvPr id="16" name="Retângulo 15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5005B7A-DBE4-4BAE-9752-AFDE15A6663A}"/>
            </a:ext>
          </a:extLst>
        </xdr:cNvPr>
        <xdr:cNvSpPr/>
      </xdr:nvSpPr>
      <xdr:spPr>
        <a:xfrm>
          <a:off x="6431573" y="3603382"/>
          <a:ext cx="2652347" cy="30772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Receber Vencidas</a:t>
          </a:r>
        </a:p>
      </xdr:txBody>
    </xdr:sp>
    <xdr:clientData/>
  </xdr:twoCellAnchor>
  <xdr:twoCellAnchor>
    <xdr:from>
      <xdr:col>10</xdr:col>
      <xdr:colOff>99646</xdr:colOff>
      <xdr:row>5</xdr:row>
      <xdr:rowOff>4397</xdr:rowOff>
    </xdr:from>
    <xdr:to>
      <xdr:col>13</xdr:col>
      <xdr:colOff>400050</xdr:colOff>
      <xdr:row>6</xdr:row>
      <xdr:rowOff>63011</xdr:rowOff>
    </xdr:to>
    <xdr:sp macro="" textlink="">
      <xdr:nvSpPr>
        <xdr:cNvPr id="17" name="Retângulo 16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CC57CD54-B71C-41CF-96AF-E6247598306A}"/>
            </a:ext>
          </a:extLst>
        </xdr:cNvPr>
        <xdr:cNvSpPr/>
      </xdr:nvSpPr>
      <xdr:spPr>
        <a:xfrm>
          <a:off x="9221665" y="1762859"/>
          <a:ext cx="2652347" cy="30772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</a:t>
          </a:r>
          <a:r>
            <a:rPr lang="pt-BR" sz="1100" b="0" baseline="0">
              <a:solidFill>
                <a:schemeClr val="bg1"/>
              </a:solidFill>
            </a:rPr>
            <a:t> FInanceiro - Posição Atual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99646</xdr:colOff>
      <xdr:row>6</xdr:row>
      <xdr:rowOff>123094</xdr:rowOff>
    </xdr:from>
    <xdr:to>
      <xdr:col>13</xdr:col>
      <xdr:colOff>400050</xdr:colOff>
      <xdr:row>7</xdr:row>
      <xdr:rowOff>181708</xdr:rowOff>
    </xdr:to>
    <xdr:sp macro="" textlink="">
      <xdr:nvSpPr>
        <xdr:cNvPr id="18" name="Retângulo 17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830A0C8B-8145-4660-88E9-F9ED59AB42BD}"/>
            </a:ext>
          </a:extLst>
        </xdr:cNvPr>
        <xdr:cNvSpPr/>
      </xdr:nvSpPr>
      <xdr:spPr>
        <a:xfrm>
          <a:off x="9221665" y="2130671"/>
          <a:ext cx="2652347" cy="30772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Dashboard</a:t>
          </a:r>
          <a:r>
            <a:rPr lang="pt-BR" sz="11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FInanceiro - Posição Anual</a:t>
          </a:r>
          <a:endParaRPr lang="pt-BR">
            <a:effectLst/>
          </a:endParaRPr>
        </a:p>
      </xdr:txBody>
    </xdr:sp>
    <xdr:clientData/>
  </xdr:twoCellAnchor>
  <xdr:twoCellAnchor editAs="oneCell">
    <xdr:from>
      <xdr:col>1</xdr:col>
      <xdr:colOff>224353</xdr:colOff>
      <xdr:row>8</xdr:row>
      <xdr:rowOff>83247</xdr:rowOff>
    </xdr:from>
    <xdr:to>
      <xdr:col>1</xdr:col>
      <xdr:colOff>2491959</xdr:colOff>
      <xdr:row>14</xdr:row>
      <xdr:rowOff>134536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30F136B5-2CC4-C832-E387-B1ECA65DDC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6238" y="2589055"/>
          <a:ext cx="2267606" cy="154598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65943</xdr:rowOff>
    </xdr:from>
    <xdr:to>
      <xdr:col>1</xdr:col>
      <xdr:colOff>1080001</xdr:colOff>
      <xdr:row>1</xdr:row>
      <xdr:rowOff>373672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CBBD93-D235-40F0-A1FF-DC0B0162592C}"/>
            </a:ext>
          </a:extLst>
        </xdr:cNvPr>
        <xdr:cNvSpPr/>
      </xdr:nvSpPr>
      <xdr:spPr>
        <a:xfrm>
          <a:off x="131886" y="571501"/>
          <a:ext cx="1080000" cy="30772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absolute">
    <xdr:from>
      <xdr:col>3</xdr:col>
      <xdr:colOff>312856</xdr:colOff>
      <xdr:row>1</xdr:row>
      <xdr:rowOff>52022</xdr:rowOff>
    </xdr:from>
    <xdr:to>
      <xdr:col>9</xdr:col>
      <xdr:colOff>288971</xdr:colOff>
      <xdr:row>1</xdr:row>
      <xdr:rowOff>664022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Competência">
              <a:extLst>
                <a:ext uri="{FF2B5EF4-FFF2-40B4-BE49-F238E27FC236}">
                  <a16:creationId xmlns:a16="http://schemas.microsoft.com/office/drawing/2014/main" id="{CFB6B54A-0F9A-B91D-BAF7-CE2323FBCA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41048" y="557580"/>
              <a:ext cx="4680000" cy="61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1146774</xdr:colOff>
      <xdr:row>1</xdr:row>
      <xdr:rowOff>48357</xdr:rowOff>
    </xdr:from>
    <xdr:to>
      <xdr:col>3</xdr:col>
      <xdr:colOff>250467</xdr:colOff>
      <xdr:row>1</xdr:row>
      <xdr:rowOff>660357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">
              <a:extLst>
                <a:ext uri="{FF2B5EF4-FFF2-40B4-BE49-F238E27FC236}">
                  <a16:creationId xmlns:a16="http://schemas.microsoft.com/office/drawing/2014/main" id="{9775DE06-1A23-85D1-D716-0401CEE1F7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8659" y="553915"/>
              <a:ext cx="1800000" cy="61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65943</xdr:rowOff>
    </xdr:from>
    <xdr:to>
      <xdr:col>1</xdr:col>
      <xdr:colOff>1080001</xdr:colOff>
      <xdr:row>1</xdr:row>
      <xdr:rowOff>373672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45DEA1-9B0B-419E-846F-9225A7FDE6A5}"/>
            </a:ext>
          </a:extLst>
        </xdr:cNvPr>
        <xdr:cNvSpPr/>
      </xdr:nvSpPr>
      <xdr:spPr>
        <a:xfrm>
          <a:off x="131886" y="571501"/>
          <a:ext cx="1080000" cy="30772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3</xdr:col>
      <xdr:colOff>310660</xdr:colOff>
      <xdr:row>1</xdr:row>
      <xdr:rowOff>65210</xdr:rowOff>
    </xdr:from>
    <xdr:to>
      <xdr:col>9</xdr:col>
      <xdr:colOff>286775</xdr:colOff>
      <xdr:row>1</xdr:row>
      <xdr:rowOff>677210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Competência 1">
              <a:extLst>
                <a:ext uri="{FF2B5EF4-FFF2-40B4-BE49-F238E27FC236}">
                  <a16:creationId xmlns:a16="http://schemas.microsoft.com/office/drawing/2014/main" id="{C857CE96-F455-A5A8-04C3-85319C4F0B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Competênc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38852" y="570768"/>
              <a:ext cx="4680000" cy="61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1145676</xdr:colOff>
      <xdr:row>1</xdr:row>
      <xdr:rowOff>65210</xdr:rowOff>
    </xdr:from>
    <xdr:to>
      <xdr:col>3</xdr:col>
      <xdr:colOff>249369</xdr:colOff>
      <xdr:row>1</xdr:row>
      <xdr:rowOff>677210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 1">
              <a:extLst>
                <a:ext uri="{FF2B5EF4-FFF2-40B4-BE49-F238E27FC236}">
                  <a16:creationId xmlns:a16="http://schemas.microsoft.com/office/drawing/2014/main" id="{4F037AF0-C094-2DA5-4C3D-27D5281378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7561" y="570768"/>
              <a:ext cx="1800000" cy="61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65943</xdr:rowOff>
    </xdr:from>
    <xdr:to>
      <xdr:col>1</xdr:col>
      <xdr:colOff>1080001</xdr:colOff>
      <xdr:row>1</xdr:row>
      <xdr:rowOff>373672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486146-5786-454F-8597-C7DEEA41BF28}"/>
            </a:ext>
          </a:extLst>
        </xdr:cNvPr>
        <xdr:cNvSpPr/>
      </xdr:nvSpPr>
      <xdr:spPr>
        <a:xfrm>
          <a:off x="131886" y="571501"/>
          <a:ext cx="1080000" cy="30772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3</xdr:col>
      <xdr:colOff>305531</xdr:colOff>
      <xdr:row>1</xdr:row>
      <xdr:rowOff>50555</xdr:rowOff>
    </xdr:from>
    <xdr:to>
      <xdr:col>8</xdr:col>
      <xdr:colOff>735915</xdr:colOff>
      <xdr:row>1</xdr:row>
      <xdr:rowOff>662555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Previsto 1">
              <a:extLst>
                <a:ext uri="{FF2B5EF4-FFF2-40B4-BE49-F238E27FC236}">
                  <a16:creationId xmlns:a16="http://schemas.microsoft.com/office/drawing/2014/main" id="{265D1E81-D324-3965-931A-25D07BEB84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38877" y="556113"/>
              <a:ext cx="4680000" cy="61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1212718</xdr:colOff>
      <xdr:row>1</xdr:row>
      <xdr:rowOff>50555</xdr:rowOff>
    </xdr:from>
    <xdr:to>
      <xdr:col>3</xdr:col>
      <xdr:colOff>111257</xdr:colOff>
      <xdr:row>1</xdr:row>
      <xdr:rowOff>662555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Previsto 1">
              <a:extLst>
                <a:ext uri="{FF2B5EF4-FFF2-40B4-BE49-F238E27FC236}">
                  <a16:creationId xmlns:a16="http://schemas.microsoft.com/office/drawing/2014/main" id="{B4BB9531-59DA-2DD4-5261-5FD35E50DE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Previs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4603" y="556113"/>
              <a:ext cx="1800000" cy="61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65943</xdr:rowOff>
    </xdr:from>
    <xdr:to>
      <xdr:col>1</xdr:col>
      <xdr:colOff>1080001</xdr:colOff>
      <xdr:row>1</xdr:row>
      <xdr:rowOff>373672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46F2B9-0211-425F-BB5F-C6990FFC8EDE}"/>
            </a:ext>
          </a:extLst>
        </xdr:cNvPr>
        <xdr:cNvSpPr/>
      </xdr:nvSpPr>
      <xdr:spPr>
        <a:xfrm>
          <a:off x="131886" y="571501"/>
          <a:ext cx="1080000" cy="30772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1</xdr:col>
      <xdr:colOff>1192569</xdr:colOff>
      <xdr:row>1</xdr:row>
      <xdr:rowOff>68872</xdr:rowOff>
    </xdr:from>
    <xdr:to>
      <xdr:col>3</xdr:col>
      <xdr:colOff>91108</xdr:colOff>
      <xdr:row>1</xdr:row>
      <xdr:rowOff>680872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Previsto">
              <a:extLst>
                <a:ext uri="{FF2B5EF4-FFF2-40B4-BE49-F238E27FC236}">
                  <a16:creationId xmlns:a16="http://schemas.microsoft.com/office/drawing/2014/main" id="{EE90C635-C39D-7AB3-C8EB-4F97FE57D5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Previs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4454" y="574430"/>
              <a:ext cx="1800000" cy="61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265233</xdr:colOff>
      <xdr:row>1</xdr:row>
      <xdr:rowOff>68872</xdr:rowOff>
    </xdr:from>
    <xdr:to>
      <xdr:col>8</xdr:col>
      <xdr:colOff>695617</xdr:colOff>
      <xdr:row>1</xdr:row>
      <xdr:rowOff>680872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ês Previsto">
              <a:extLst>
                <a:ext uri="{FF2B5EF4-FFF2-40B4-BE49-F238E27FC236}">
                  <a16:creationId xmlns:a16="http://schemas.microsoft.com/office/drawing/2014/main" id="{78B91FF5-4EE1-995C-54F4-C2A3142E78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98579" y="574430"/>
              <a:ext cx="4680000" cy="61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65943</xdr:rowOff>
    </xdr:from>
    <xdr:to>
      <xdr:col>1</xdr:col>
      <xdr:colOff>1080001</xdr:colOff>
      <xdr:row>1</xdr:row>
      <xdr:rowOff>373672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09EE3F-98E3-4342-A2E3-2812E883A37B}"/>
            </a:ext>
          </a:extLst>
        </xdr:cNvPr>
        <xdr:cNvSpPr/>
      </xdr:nvSpPr>
      <xdr:spPr>
        <a:xfrm>
          <a:off x="131886" y="571501"/>
          <a:ext cx="1080000" cy="30772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1</xdr:col>
      <xdr:colOff>1225061</xdr:colOff>
      <xdr:row>1</xdr:row>
      <xdr:rowOff>65209</xdr:rowOff>
    </xdr:from>
    <xdr:to>
      <xdr:col>3</xdr:col>
      <xdr:colOff>577869</xdr:colOff>
      <xdr:row>1</xdr:row>
      <xdr:rowOff>677209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 2">
              <a:extLst>
                <a:ext uri="{FF2B5EF4-FFF2-40B4-BE49-F238E27FC236}">
                  <a16:creationId xmlns:a16="http://schemas.microsoft.com/office/drawing/2014/main" id="{C74A2BFE-7E78-D4EC-34F8-7B9979ABD5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6946" y="570767"/>
              <a:ext cx="1800000" cy="61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65943</xdr:rowOff>
    </xdr:from>
    <xdr:to>
      <xdr:col>1</xdr:col>
      <xdr:colOff>1080001</xdr:colOff>
      <xdr:row>1</xdr:row>
      <xdr:rowOff>373672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E2FC63-232C-4F39-A9D2-B192CAD81658}"/>
            </a:ext>
          </a:extLst>
        </xdr:cNvPr>
        <xdr:cNvSpPr/>
      </xdr:nvSpPr>
      <xdr:spPr>
        <a:xfrm>
          <a:off x="131886" y="571501"/>
          <a:ext cx="1080000" cy="30772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>
    <xdr:from>
      <xdr:col>5</xdr:col>
      <xdr:colOff>73269</xdr:colOff>
      <xdr:row>4</xdr:row>
      <xdr:rowOff>21981</xdr:rowOff>
    </xdr:from>
    <xdr:to>
      <xdr:col>10</xdr:col>
      <xdr:colOff>0</xdr:colOff>
      <xdr:row>10</xdr:row>
      <xdr:rowOff>205154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AC56CF2-3472-4857-B3D3-0F43BFA2D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36635</xdr:colOff>
      <xdr:row>12</xdr:row>
      <xdr:rowOff>227135</xdr:rowOff>
    </xdr:from>
    <xdr:to>
      <xdr:col>3</xdr:col>
      <xdr:colOff>2022231</xdr:colOff>
      <xdr:row>18</xdr:row>
      <xdr:rowOff>322383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DF86774-62FC-4888-BD8C-89B4E6D73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21981</xdr:colOff>
      <xdr:row>13</xdr:row>
      <xdr:rowOff>227135</xdr:rowOff>
    </xdr:from>
    <xdr:to>
      <xdr:col>8</xdr:col>
      <xdr:colOff>2278673</xdr:colOff>
      <xdr:row>18</xdr:row>
      <xdr:rowOff>322385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292E585-B030-4384-B368-8F18CDFCA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29308</xdr:colOff>
      <xdr:row>15</xdr:row>
      <xdr:rowOff>0</xdr:rowOff>
    </xdr:from>
    <xdr:to>
      <xdr:col>10</xdr:col>
      <xdr:colOff>2483826</xdr:colOff>
      <xdr:row>18</xdr:row>
      <xdr:rowOff>322385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D14F89D-846B-4C42-AF10-C3B5EC3A28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65943</xdr:rowOff>
    </xdr:from>
    <xdr:to>
      <xdr:col>1</xdr:col>
      <xdr:colOff>1080001</xdr:colOff>
      <xdr:row>1</xdr:row>
      <xdr:rowOff>373672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351C95-9E8B-48E1-AAE4-27A4B0C1CD57}"/>
            </a:ext>
          </a:extLst>
        </xdr:cNvPr>
        <xdr:cNvSpPr/>
      </xdr:nvSpPr>
      <xdr:spPr>
        <a:xfrm>
          <a:off x="133351" y="570768"/>
          <a:ext cx="1080000" cy="30772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>
    <xdr:from>
      <xdr:col>5</xdr:col>
      <xdr:colOff>73269</xdr:colOff>
      <xdr:row>4</xdr:row>
      <xdr:rowOff>21981</xdr:rowOff>
    </xdr:from>
    <xdr:to>
      <xdr:col>10</xdr:col>
      <xdr:colOff>0</xdr:colOff>
      <xdr:row>10</xdr:row>
      <xdr:rowOff>205154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D1A8DCD-2B99-4765-AAAF-CEF6EE8CFE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36635</xdr:colOff>
      <xdr:row>12</xdr:row>
      <xdr:rowOff>227135</xdr:rowOff>
    </xdr:from>
    <xdr:to>
      <xdr:col>3</xdr:col>
      <xdr:colOff>2022231</xdr:colOff>
      <xdr:row>18</xdr:row>
      <xdr:rowOff>322383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AD59865-D3D2-4232-815F-D44DE776D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29308</xdr:colOff>
      <xdr:row>15</xdr:row>
      <xdr:rowOff>0</xdr:rowOff>
    </xdr:from>
    <xdr:to>
      <xdr:col>10</xdr:col>
      <xdr:colOff>2483826</xdr:colOff>
      <xdr:row>18</xdr:row>
      <xdr:rowOff>322385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846D968-BF26-444A-A89F-0E810F22C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29307</xdr:colOff>
      <xdr:row>13</xdr:row>
      <xdr:rowOff>227134</xdr:rowOff>
    </xdr:from>
    <xdr:to>
      <xdr:col>8</xdr:col>
      <xdr:colOff>2271346</xdr:colOff>
      <xdr:row>18</xdr:row>
      <xdr:rowOff>322383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4125D9B-F52D-4F3B-BB02-2BE7760890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65943</xdr:rowOff>
    </xdr:from>
    <xdr:to>
      <xdr:col>1</xdr:col>
      <xdr:colOff>1084385</xdr:colOff>
      <xdr:row>1</xdr:row>
      <xdr:rowOff>373672</xdr:rowOff>
    </xdr:to>
    <xdr:sp macro="" textlink="">
      <xdr:nvSpPr>
        <xdr:cNvPr id="20" name="Retângulo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0AB0A5-8F03-4825-B8E7-4C9B98B7D69B}"/>
            </a:ext>
          </a:extLst>
        </xdr:cNvPr>
        <xdr:cNvSpPr/>
      </xdr:nvSpPr>
      <xdr:spPr>
        <a:xfrm>
          <a:off x="131886" y="571501"/>
          <a:ext cx="1084384" cy="30772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65943</xdr:rowOff>
    </xdr:from>
    <xdr:to>
      <xdr:col>1</xdr:col>
      <xdr:colOff>1080001</xdr:colOff>
      <xdr:row>1</xdr:row>
      <xdr:rowOff>373672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A1246A-274D-48C5-98D8-F512762E267B}"/>
            </a:ext>
          </a:extLst>
        </xdr:cNvPr>
        <xdr:cNvSpPr/>
      </xdr:nvSpPr>
      <xdr:spPr>
        <a:xfrm>
          <a:off x="131886" y="571501"/>
          <a:ext cx="1080000" cy="30772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65943</xdr:rowOff>
    </xdr:from>
    <xdr:to>
      <xdr:col>1</xdr:col>
      <xdr:colOff>1080001</xdr:colOff>
      <xdr:row>1</xdr:row>
      <xdr:rowOff>373672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DD9717-D4B8-45E3-B6CC-E6BA7EDDBB0E}"/>
            </a:ext>
          </a:extLst>
        </xdr:cNvPr>
        <xdr:cNvSpPr/>
      </xdr:nvSpPr>
      <xdr:spPr>
        <a:xfrm>
          <a:off x="131886" y="571501"/>
          <a:ext cx="1080000" cy="30772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65943</xdr:rowOff>
    </xdr:from>
    <xdr:to>
      <xdr:col>1</xdr:col>
      <xdr:colOff>1080001</xdr:colOff>
      <xdr:row>1</xdr:row>
      <xdr:rowOff>373672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3FF2E2-1082-41D4-A855-6D31DDD39AA8}"/>
            </a:ext>
          </a:extLst>
        </xdr:cNvPr>
        <xdr:cNvSpPr/>
      </xdr:nvSpPr>
      <xdr:spPr>
        <a:xfrm>
          <a:off x="131886" y="571501"/>
          <a:ext cx="1080000" cy="30772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65943</xdr:rowOff>
    </xdr:from>
    <xdr:to>
      <xdr:col>1</xdr:col>
      <xdr:colOff>1080001</xdr:colOff>
      <xdr:row>1</xdr:row>
      <xdr:rowOff>373672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A6C09C-0452-4DBE-8B6B-7E07467695AC}"/>
            </a:ext>
          </a:extLst>
        </xdr:cNvPr>
        <xdr:cNvSpPr/>
      </xdr:nvSpPr>
      <xdr:spPr>
        <a:xfrm>
          <a:off x="131886" y="571501"/>
          <a:ext cx="1080000" cy="30772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65943</xdr:rowOff>
    </xdr:from>
    <xdr:to>
      <xdr:col>1</xdr:col>
      <xdr:colOff>1080000</xdr:colOff>
      <xdr:row>1</xdr:row>
      <xdr:rowOff>373672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C29F45-29D1-4D5B-8CA2-EDC2D4FD47DD}"/>
            </a:ext>
          </a:extLst>
        </xdr:cNvPr>
        <xdr:cNvSpPr/>
      </xdr:nvSpPr>
      <xdr:spPr>
        <a:xfrm>
          <a:off x="131885" y="571501"/>
          <a:ext cx="1080000" cy="30772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131884</xdr:colOff>
      <xdr:row>1</xdr:row>
      <xdr:rowOff>65943</xdr:rowOff>
    </xdr:from>
    <xdr:to>
      <xdr:col>1</xdr:col>
      <xdr:colOff>1079999</xdr:colOff>
      <xdr:row>1</xdr:row>
      <xdr:rowOff>373672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9AC67D-E7DB-42EC-B7E3-B6FECDD79C46}"/>
            </a:ext>
          </a:extLst>
        </xdr:cNvPr>
        <xdr:cNvSpPr/>
      </xdr:nvSpPr>
      <xdr:spPr>
        <a:xfrm>
          <a:off x="131884" y="571501"/>
          <a:ext cx="1080000" cy="30772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65943</xdr:rowOff>
    </xdr:from>
    <xdr:to>
      <xdr:col>1</xdr:col>
      <xdr:colOff>1080001</xdr:colOff>
      <xdr:row>1</xdr:row>
      <xdr:rowOff>373672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4E31ED-E084-4091-AB57-2984AADD9BF0}"/>
            </a:ext>
          </a:extLst>
        </xdr:cNvPr>
        <xdr:cNvSpPr/>
      </xdr:nvSpPr>
      <xdr:spPr>
        <a:xfrm>
          <a:off x="131886" y="571501"/>
          <a:ext cx="1080000" cy="30772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ilherme Neves" refreshedDate="45214.612967939815" createdVersion="8" refreshedVersion="8" minRefreshableVersion="3" recordCount="229" xr:uid="{C20CD080-AB14-4F72-BC77-DC1ED8DB83A9}">
  <cacheSource type="worksheet">
    <worksheetSource name="RegistroSaidas"/>
  </cacheSource>
  <cacheFields count="13">
    <cacheField name="Data do Caixa Realizado" numFmtId="14">
      <sharedItems containsDate="1" containsMixedTypes="1" minDate="2017-09-02T08:36:39" maxDate="2019-10-03T12:11:49"/>
    </cacheField>
    <cacheField name="Data da Competência" numFmtId="14">
      <sharedItems containsSemiMixedTypes="0" containsNonDate="0" containsDate="1" containsString="0" minDate="2017-08-10T00:00:00" maxDate="2019-07-01T00:00:00"/>
    </cacheField>
    <cacheField name="Data do Caixa Previsto" numFmtId="14">
      <sharedItems containsSemiMixedTypes="0" containsNonDate="0" containsDate="1" containsString="0" minDate="2017-09-02T08:36:39" maxDate="2019-08-20T22:17:49"/>
    </cacheField>
    <cacheField name="Conta Nível 1" numFmtId="0">
      <sharedItems count="1">
        <s v="Compra de mercadorias"/>
      </sharedItems>
    </cacheField>
    <cacheField name="Conta Nível 2" numFmtId="0">
      <sharedItems count="5">
        <s v="Som e imagem"/>
        <s v="Vestuário"/>
        <s v="Informática"/>
        <s v="Livros"/>
        <s v="Eletrodomésticos"/>
      </sharedItems>
    </cacheField>
    <cacheField name="Histórico" numFmtId="0">
      <sharedItems/>
    </cacheField>
    <cacheField name="Valor" numFmtId="164">
      <sharedItems containsSemiMixedTypes="0" containsString="0" containsNumber="1" containsInteger="1" minValue="131" maxValue="4947"/>
    </cacheField>
    <cacheField name="Mês Caixa" numFmtId="0">
      <sharedItems containsSemiMixedTypes="0" containsString="0" containsNumber="1" containsInteger="1" minValue="0" maxValue="12" count="13">
        <n v="10"/>
        <n v="9"/>
        <n v="0"/>
        <n v="11"/>
        <n v="1"/>
        <n v="2"/>
        <n v="12"/>
        <n v="3"/>
        <n v="5"/>
        <n v="4"/>
        <n v="7"/>
        <n v="6"/>
        <n v="8"/>
      </sharedItems>
    </cacheField>
    <cacheField name="Ano Caixa" numFmtId="0">
      <sharedItems containsSemiMixedTypes="0" containsString="0" containsNumber="1" containsInteger="1" minValue="0" maxValue="2019"/>
    </cacheField>
    <cacheField name="Mês Competência" numFmtId="1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ência" numFmtId="1">
      <sharedItems containsSemiMixedTypes="0" containsString="0" containsNumber="1" containsInteger="1" minValue="2017" maxValue="2019" count="3">
        <n v="2017"/>
        <n v="2018"/>
        <n v="2019"/>
      </sharedItems>
    </cacheField>
    <cacheField name="Mês Previsto" numFmtId="1">
      <sharedItems containsSemiMixedTypes="0" containsString="0" containsNumber="1" containsInteger="1" minValue="1" maxValue="12" count="12">
        <n v="10"/>
        <n v="9"/>
        <n v="11"/>
        <n v="12"/>
        <n v="1"/>
        <n v="2"/>
        <n v="3"/>
        <n v="4"/>
        <n v="5"/>
        <n v="6"/>
        <n v="7"/>
        <n v="8"/>
      </sharedItems>
    </cacheField>
    <cacheField name="Ano Previsto" numFmtId="1">
      <sharedItems containsSemiMixedTypes="0" containsString="0" containsNumber="1" containsInteger="1" minValue="2017" maxValue="2019" count="3">
        <n v="2017"/>
        <n v="2018"/>
        <n v="2019"/>
      </sharedItems>
    </cacheField>
  </cacheFields>
  <extLst>
    <ext xmlns:x14="http://schemas.microsoft.com/office/spreadsheetml/2009/9/main" uri="{725AE2AE-9491-48be-B2B4-4EB974FC3084}">
      <x14:pivotCacheDefinition pivotCacheId="913117080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ilherme Neves" refreshedDate="45214.691227083335" createdVersion="8" refreshedVersion="8" minRefreshableVersion="3" recordCount="231" xr:uid="{8226EFED-805A-4534-B66B-819ED7F6DE94}">
  <cacheSource type="worksheet">
    <worksheetSource name="RegistroEntradas"/>
  </cacheSource>
  <cacheFields count="16">
    <cacheField name="Data do Caixa Realizado" numFmtId="14">
      <sharedItems containsDate="1" containsMixedTypes="1" minDate="2017-09-07T22:06:21" maxDate="2019-10-03T03:26:59"/>
    </cacheField>
    <cacheField name="Data da Competência" numFmtId="14">
      <sharedItems containsSemiMixedTypes="0" containsNonDate="0" containsDate="1" containsString="0" minDate="2017-08-10T00:00:00" maxDate="2019-06-30T00:00:00"/>
    </cacheField>
    <cacheField name="Data do Caixa Previsto" numFmtId="14">
      <sharedItems containsSemiMixedTypes="0" containsNonDate="0" containsDate="1" containsString="0" minDate="2017-08-25T17:31:36" maxDate="2019-08-10T13:42:12"/>
    </cacheField>
    <cacheField name="Conta Nível 1" numFmtId="0">
      <sharedItems count="1">
        <s v="Vendas de mercadorias"/>
      </sharedItems>
    </cacheField>
    <cacheField name="Conta Nível 2" numFmtId="0">
      <sharedItems count="5">
        <s v="Informática"/>
        <s v="Móveis"/>
        <s v="Som e imagem"/>
        <s v="Eletrodomésticos"/>
        <s v="Livros"/>
      </sharedItems>
    </cacheField>
    <cacheField name="Histórico" numFmtId="0">
      <sharedItems/>
    </cacheField>
    <cacheField name="Valor" numFmtId="164">
      <sharedItems containsSemiMixedTypes="0" containsString="0" containsNumber="1" containsInteger="1" minValue="164" maxValue="4993"/>
    </cacheField>
    <cacheField name="Mês Caixa" numFmtId="0">
      <sharedItems containsSemiMixedTypes="0" containsString="0" containsNumber="1" containsInteger="1" minValue="0" maxValue="12" count="13">
        <n v="9"/>
        <n v="10"/>
        <n v="11"/>
        <n v="12"/>
        <n v="0"/>
        <n v="2"/>
        <n v="1"/>
        <n v="3"/>
        <n v="5"/>
        <n v="4"/>
        <n v="6"/>
        <n v="7"/>
        <n v="8"/>
      </sharedItems>
    </cacheField>
    <cacheField name="Ano Caixa" numFmtId="0">
      <sharedItems containsSemiMixedTypes="0" containsString="0" containsNumber="1" containsInteger="1" minValue="0" maxValue="2019"/>
    </cacheField>
    <cacheField name="Mês Competência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ência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Mês Previsto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Previsto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Conta Vencida" numFmtId="0">
      <sharedItems count="2">
        <s v="Paga"/>
        <s v="Vencida"/>
      </sharedItems>
    </cacheField>
    <cacheField name="Venda à Vista" numFmtId="0">
      <sharedItems/>
    </cacheField>
    <cacheField name="Dias de Atraso" numFmtId="1">
      <sharedItems containsSemiMixedTypes="0" containsString="0" containsNumber="1" minValue="0" maxValue="2200.0456953517423"/>
    </cacheField>
  </cacheFields>
  <extLst>
    <ext xmlns:x14="http://schemas.microsoft.com/office/spreadsheetml/2009/9/main" uri="{725AE2AE-9491-48be-B2B4-4EB974FC3084}">
      <x14:pivotCacheDefinition pivotCacheId="95377344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9">
  <r>
    <d v="2017-10-07T16:32:18"/>
    <d v="2017-08-10T00:00:00"/>
    <d v="2017-10-07T16:32:18"/>
    <x v="0"/>
    <x v="0"/>
    <s v="NF4400"/>
    <n v="4021"/>
    <x v="0"/>
    <n v="2017"/>
    <x v="0"/>
    <x v="0"/>
    <x v="0"/>
    <x v="0"/>
  </r>
  <r>
    <d v="2017-09-17T19:57:23"/>
    <d v="2017-08-13T00:00:00"/>
    <d v="2017-09-17T19:57:23"/>
    <x v="0"/>
    <x v="1"/>
    <s v="NF5356"/>
    <n v="651"/>
    <x v="1"/>
    <n v="2017"/>
    <x v="0"/>
    <x v="0"/>
    <x v="1"/>
    <x v="0"/>
  </r>
  <r>
    <d v="2017-09-05T19:43:29"/>
    <d v="2017-08-18T00:00:00"/>
    <d v="2017-09-05T19:43:29"/>
    <x v="0"/>
    <x v="0"/>
    <s v="NF1847"/>
    <n v="131"/>
    <x v="1"/>
    <n v="2017"/>
    <x v="0"/>
    <x v="0"/>
    <x v="1"/>
    <x v="0"/>
  </r>
  <r>
    <d v="2017-09-26T09:36:33"/>
    <d v="2017-08-23T00:00:00"/>
    <d v="2017-09-26T09:36:33"/>
    <x v="0"/>
    <x v="0"/>
    <s v="NF7011"/>
    <n v="803"/>
    <x v="1"/>
    <n v="2017"/>
    <x v="0"/>
    <x v="0"/>
    <x v="1"/>
    <x v="0"/>
  </r>
  <r>
    <d v="2017-09-24T01:23:44"/>
    <d v="2017-08-24T00:00:00"/>
    <d v="2017-09-24T01:23:44"/>
    <x v="0"/>
    <x v="1"/>
    <s v="NF7746"/>
    <n v="4460"/>
    <x v="1"/>
    <n v="2017"/>
    <x v="0"/>
    <x v="0"/>
    <x v="1"/>
    <x v="0"/>
  </r>
  <r>
    <d v="2017-09-02T08:36:39"/>
    <d v="2017-08-25T00:00:00"/>
    <d v="2017-09-02T08:36:39"/>
    <x v="0"/>
    <x v="2"/>
    <s v="NF1507"/>
    <n v="299"/>
    <x v="1"/>
    <n v="2017"/>
    <x v="0"/>
    <x v="0"/>
    <x v="1"/>
    <x v="0"/>
  </r>
  <r>
    <d v="2017-10-06T14:20:21"/>
    <d v="2017-08-29T00:00:00"/>
    <d v="2017-10-06T14:20:21"/>
    <x v="0"/>
    <x v="1"/>
    <s v="NF5445"/>
    <n v="618"/>
    <x v="0"/>
    <n v="2017"/>
    <x v="0"/>
    <x v="0"/>
    <x v="0"/>
    <x v="0"/>
  </r>
  <r>
    <d v="2017-09-12T02:40:54"/>
    <d v="2017-09-01T00:00:00"/>
    <d v="2017-09-02T13:21:31"/>
    <x v="0"/>
    <x v="1"/>
    <s v="NF7526"/>
    <n v="2505"/>
    <x v="1"/>
    <n v="2017"/>
    <x v="1"/>
    <x v="0"/>
    <x v="1"/>
    <x v="0"/>
  </r>
  <r>
    <d v="2017-09-09T10:01:19"/>
    <d v="2017-09-04T00:00:00"/>
    <d v="2017-09-09T10:01:19"/>
    <x v="0"/>
    <x v="0"/>
    <s v="NF7559"/>
    <n v="817"/>
    <x v="1"/>
    <n v="2017"/>
    <x v="1"/>
    <x v="0"/>
    <x v="1"/>
    <x v="0"/>
  </r>
  <r>
    <s v=""/>
    <d v="2017-09-06T00:00:00"/>
    <d v="2017-09-06T16:52:20"/>
    <x v="0"/>
    <x v="2"/>
    <s v="NF9357"/>
    <n v="1565"/>
    <x v="2"/>
    <n v="0"/>
    <x v="1"/>
    <x v="0"/>
    <x v="1"/>
    <x v="0"/>
  </r>
  <r>
    <s v=""/>
    <d v="2017-09-12T00:00:00"/>
    <d v="2017-10-12T05:36:22"/>
    <x v="0"/>
    <x v="3"/>
    <s v="NF3898"/>
    <n v="1357"/>
    <x v="2"/>
    <n v="0"/>
    <x v="1"/>
    <x v="0"/>
    <x v="0"/>
    <x v="0"/>
  </r>
  <r>
    <d v="2017-10-17T07:52:04"/>
    <d v="2017-09-13T00:00:00"/>
    <d v="2017-10-17T07:52:04"/>
    <x v="0"/>
    <x v="3"/>
    <s v="NF7275"/>
    <n v="4739"/>
    <x v="0"/>
    <n v="2017"/>
    <x v="1"/>
    <x v="0"/>
    <x v="0"/>
    <x v="0"/>
  </r>
  <r>
    <d v="2017-09-30T14:22:47"/>
    <d v="2017-09-14T00:00:00"/>
    <d v="2017-09-30T14:22:47"/>
    <x v="0"/>
    <x v="0"/>
    <s v="NF9591"/>
    <n v="4675"/>
    <x v="1"/>
    <n v="2017"/>
    <x v="1"/>
    <x v="0"/>
    <x v="1"/>
    <x v="0"/>
  </r>
  <r>
    <d v="2017-09-26T03:10:09"/>
    <d v="2017-09-19T00:00:00"/>
    <d v="2017-09-26T03:10:09"/>
    <x v="0"/>
    <x v="1"/>
    <s v="NF3104"/>
    <n v="1797"/>
    <x v="1"/>
    <n v="2017"/>
    <x v="1"/>
    <x v="0"/>
    <x v="1"/>
    <x v="0"/>
  </r>
  <r>
    <d v="2017-11-04T23:27:43"/>
    <d v="2017-09-24T00:00:00"/>
    <d v="2017-11-04T23:27:43"/>
    <x v="0"/>
    <x v="3"/>
    <s v="NF3440"/>
    <n v="888"/>
    <x v="3"/>
    <n v="2017"/>
    <x v="1"/>
    <x v="0"/>
    <x v="2"/>
    <x v="0"/>
  </r>
  <r>
    <d v="2017-10-07T21:33:11"/>
    <d v="2017-09-25T00:00:00"/>
    <d v="2017-10-07T21:33:11"/>
    <x v="0"/>
    <x v="1"/>
    <s v="NF9195"/>
    <n v="2784"/>
    <x v="0"/>
    <n v="2017"/>
    <x v="1"/>
    <x v="0"/>
    <x v="0"/>
    <x v="0"/>
  </r>
  <r>
    <d v="2017-10-02T22:40:07"/>
    <d v="2017-09-25T00:00:00"/>
    <d v="2017-10-02T22:40:07"/>
    <x v="0"/>
    <x v="2"/>
    <s v="NF1821"/>
    <n v="707"/>
    <x v="0"/>
    <n v="2017"/>
    <x v="1"/>
    <x v="0"/>
    <x v="0"/>
    <x v="0"/>
  </r>
  <r>
    <d v="2018-01-18T20:49:17"/>
    <d v="2017-09-28T00:00:00"/>
    <d v="2017-11-03T14:25:06"/>
    <x v="0"/>
    <x v="2"/>
    <s v="NF5625"/>
    <n v="229"/>
    <x v="4"/>
    <n v="2018"/>
    <x v="1"/>
    <x v="0"/>
    <x v="2"/>
    <x v="0"/>
  </r>
  <r>
    <d v="2017-11-20T07:27:14"/>
    <d v="2017-10-01T00:00:00"/>
    <d v="2017-11-20T07:27:14"/>
    <x v="0"/>
    <x v="1"/>
    <s v="NF7471"/>
    <n v="2894"/>
    <x v="3"/>
    <n v="2017"/>
    <x v="2"/>
    <x v="0"/>
    <x v="2"/>
    <x v="0"/>
  </r>
  <r>
    <s v=""/>
    <d v="2017-10-04T00:00:00"/>
    <d v="2017-10-22T07:03:06"/>
    <x v="0"/>
    <x v="3"/>
    <s v="NF9225"/>
    <n v="4516"/>
    <x v="2"/>
    <n v="0"/>
    <x v="2"/>
    <x v="0"/>
    <x v="0"/>
    <x v="0"/>
  </r>
  <r>
    <d v="2017-10-23T01:23:23"/>
    <d v="2017-10-06T00:00:00"/>
    <d v="2017-10-23T01:23:23"/>
    <x v="0"/>
    <x v="3"/>
    <s v="NF3883"/>
    <n v="885"/>
    <x v="0"/>
    <n v="2017"/>
    <x v="2"/>
    <x v="0"/>
    <x v="0"/>
    <x v="0"/>
  </r>
  <r>
    <d v="2017-11-12T13:56:26"/>
    <d v="2017-10-09T00:00:00"/>
    <d v="2017-11-07T23:41:34"/>
    <x v="0"/>
    <x v="4"/>
    <s v="NF9408"/>
    <n v="1509"/>
    <x v="3"/>
    <n v="2017"/>
    <x v="2"/>
    <x v="0"/>
    <x v="2"/>
    <x v="0"/>
  </r>
  <r>
    <d v="2018-02-03T05:45:33"/>
    <d v="2017-10-14T00:00:00"/>
    <d v="2017-11-06T01:00:26"/>
    <x v="0"/>
    <x v="1"/>
    <s v="NF1517"/>
    <n v="145"/>
    <x v="5"/>
    <n v="2018"/>
    <x v="2"/>
    <x v="0"/>
    <x v="2"/>
    <x v="0"/>
  </r>
  <r>
    <d v="2017-11-12T07:13:39"/>
    <d v="2017-10-16T00:00:00"/>
    <d v="2017-10-23T05:53:31"/>
    <x v="0"/>
    <x v="1"/>
    <s v="NF8626"/>
    <n v="1311"/>
    <x v="3"/>
    <n v="2017"/>
    <x v="2"/>
    <x v="0"/>
    <x v="0"/>
    <x v="0"/>
  </r>
  <r>
    <d v="2017-11-20T08:40:45"/>
    <d v="2017-10-18T00:00:00"/>
    <d v="2017-11-20T08:40:45"/>
    <x v="0"/>
    <x v="1"/>
    <s v="NF4936"/>
    <n v="4182"/>
    <x v="3"/>
    <n v="2017"/>
    <x v="2"/>
    <x v="0"/>
    <x v="2"/>
    <x v="0"/>
  </r>
  <r>
    <d v="2017-10-29T09:31:32"/>
    <d v="2017-10-24T00:00:00"/>
    <d v="2017-10-29T09:31:32"/>
    <x v="0"/>
    <x v="2"/>
    <s v="NF7062"/>
    <n v="339"/>
    <x v="0"/>
    <n v="2017"/>
    <x v="2"/>
    <x v="0"/>
    <x v="0"/>
    <x v="0"/>
  </r>
  <r>
    <d v="2018-01-30T23:32:10"/>
    <d v="2017-10-29T00:00:00"/>
    <d v="2017-11-29T04:12:14"/>
    <x v="0"/>
    <x v="4"/>
    <s v="NF3172"/>
    <n v="1788"/>
    <x v="4"/>
    <n v="2018"/>
    <x v="2"/>
    <x v="0"/>
    <x v="2"/>
    <x v="0"/>
  </r>
  <r>
    <d v="2017-12-20T01:06:12"/>
    <d v="2017-11-03T00:00:00"/>
    <d v="2017-12-20T01:06:12"/>
    <x v="0"/>
    <x v="3"/>
    <s v="NF5821"/>
    <n v="1171"/>
    <x v="6"/>
    <n v="2017"/>
    <x v="3"/>
    <x v="0"/>
    <x v="3"/>
    <x v="0"/>
  </r>
  <r>
    <d v="2017-11-14T19:11:45"/>
    <d v="2017-11-05T00:00:00"/>
    <d v="2017-11-14T19:11:45"/>
    <x v="0"/>
    <x v="1"/>
    <s v="NF8137"/>
    <n v="4059"/>
    <x v="3"/>
    <n v="2017"/>
    <x v="3"/>
    <x v="0"/>
    <x v="2"/>
    <x v="0"/>
  </r>
  <r>
    <d v="2017-12-11T01:38:17"/>
    <d v="2017-11-08T00:00:00"/>
    <d v="2017-12-11T01:38:17"/>
    <x v="0"/>
    <x v="0"/>
    <s v="NF8083"/>
    <n v="4919"/>
    <x v="6"/>
    <n v="2017"/>
    <x v="3"/>
    <x v="0"/>
    <x v="3"/>
    <x v="0"/>
  </r>
  <r>
    <d v="2017-12-28T10:48:36"/>
    <d v="2017-11-12T00:00:00"/>
    <d v="2017-12-18T12:17:45"/>
    <x v="0"/>
    <x v="1"/>
    <s v="NF9597"/>
    <n v="3224"/>
    <x v="6"/>
    <n v="2017"/>
    <x v="3"/>
    <x v="0"/>
    <x v="3"/>
    <x v="0"/>
  </r>
  <r>
    <d v="2017-12-26T03:29:57"/>
    <d v="2017-11-15T00:00:00"/>
    <d v="2017-12-26T03:29:57"/>
    <x v="0"/>
    <x v="3"/>
    <s v="NF2065"/>
    <n v="3725"/>
    <x v="6"/>
    <n v="2017"/>
    <x v="3"/>
    <x v="0"/>
    <x v="3"/>
    <x v="0"/>
  </r>
  <r>
    <d v="2017-12-16T06:54:15"/>
    <d v="2017-11-17T00:00:00"/>
    <d v="2017-12-16T06:54:15"/>
    <x v="0"/>
    <x v="3"/>
    <s v="NF3192"/>
    <n v="312"/>
    <x v="6"/>
    <n v="2017"/>
    <x v="3"/>
    <x v="0"/>
    <x v="3"/>
    <x v="0"/>
  </r>
  <r>
    <d v="2018-01-12T16:03:24"/>
    <d v="2017-11-18T00:00:00"/>
    <d v="2018-01-12T16:03:24"/>
    <x v="0"/>
    <x v="1"/>
    <s v="NF1977"/>
    <n v="4773"/>
    <x v="4"/>
    <n v="2018"/>
    <x v="3"/>
    <x v="0"/>
    <x v="4"/>
    <x v="1"/>
  </r>
  <r>
    <d v="2017-12-07T15:16:42"/>
    <d v="2017-11-19T00:00:00"/>
    <d v="2017-12-07T15:16:42"/>
    <x v="0"/>
    <x v="0"/>
    <s v="NF3208"/>
    <n v="228"/>
    <x v="6"/>
    <n v="2017"/>
    <x v="3"/>
    <x v="0"/>
    <x v="3"/>
    <x v="0"/>
  </r>
  <r>
    <d v="2017-12-28T18:38:36"/>
    <d v="2017-11-22T00:00:00"/>
    <d v="2017-12-28T18:38:36"/>
    <x v="0"/>
    <x v="1"/>
    <s v="NF9545"/>
    <n v="450"/>
    <x v="6"/>
    <n v="2017"/>
    <x v="3"/>
    <x v="0"/>
    <x v="3"/>
    <x v="0"/>
  </r>
  <r>
    <s v=""/>
    <d v="2017-11-23T00:00:00"/>
    <d v="2018-01-03T09:48:25"/>
    <x v="0"/>
    <x v="1"/>
    <s v="NF3100"/>
    <n v="1155"/>
    <x v="2"/>
    <n v="0"/>
    <x v="3"/>
    <x v="0"/>
    <x v="4"/>
    <x v="1"/>
  </r>
  <r>
    <s v=""/>
    <d v="2017-11-30T00:00:00"/>
    <d v="2017-12-01T00:35:34"/>
    <x v="0"/>
    <x v="1"/>
    <s v="NF7746"/>
    <n v="1967"/>
    <x v="2"/>
    <n v="0"/>
    <x v="3"/>
    <x v="0"/>
    <x v="3"/>
    <x v="0"/>
  </r>
  <r>
    <d v="2018-02-28T22:08:26"/>
    <d v="2017-12-01T00:00:00"/>
    <d v="2017-12-27T02:18:23"/>
    <x v="0"/>
    <x v="4"/>
    <s v="NF1179"/>
    <n v="2741"/>
    <x v="5"/>
    <n v="2018"/>
    <x v="4"/>
    <x v="0"/>
    <x v="3"/>
    <x v="0"/>
  </r>
  <r>
    <d v="2018-01-25T08:17:33"/>
    <d v="2017-12-02T00:00:00"/>
    <d v="2018-01-25T08:17:33"/>
    <x v="0"/>
    <x v="2"/>
    <s v="NF3829"/>
    <n v="1130"/>
    <x v="4"/>
    <n v="2018"/>
    <x v="4"/>
    <x v="0"/>
    <x v="4"/>
    <x v="1"/>
  </r>
  <r>
    <d v="2018-01-18T12:48:48"/>
    <d v="2017-12-06T00:00:00"/>
    <d v="2018-01-18T12:48:48"/>
    <x v="0"/>
    <x v="3"/>
    <s v="NF6865"/>
    <n v="4835"/>
    <x v="4"/>
    <n v="2018"/>
    <x v="4"/>
    <x v="0"/>
    <x v="4"/>
    <x v="1"/>
  </r>
  <r>
    <d v="2018-01-29T01:49:50"/>
    <d v="2017-12-08T00:00:00"/>
    <d v="2018-01-29T01:49:50"/>
    <x v="0"/>
    <x v="4"/>
    <s v="NF4400"/>
    <n v="1411"/>
    <x v="4"/>
    <n v="2018"/>
    <x v="4"/>
    <x v="0"/>
    <x v="4"/>
    <x v="1"/>
  </r>
  <r>
    <d v="2017-12-30T15:10:06"/>
    <d v="2017-12-10T00:00:00"/>
    <d v="2017-12-30T15:10:06"/>
    <x v="0"/>
    <x v="1"/>
    <s v="NF9617"/>
    <n v="457"/>
    <x v="6"/>
    <n v="2017"/>
    <x v="4"/>
    <x v="0"/>
    <x v="3"/>
    <x v="0"/>
  </r>
  <r>
    <d v="2018-02-11T14:39:25"/>
    <d v="2017-12-15T00:00:00"/>
    <d v="2018-02-11T14:39:25"/>
    <x v="0"/>
    <x v="2"/>
    <s v="NF5659"/>
    <n v="2623"/>
    <x v="5"/>
    <n v="2018"/>
    <x v="4"/>
    <x v="0"/>
    <x v="5"/>
    <x v="1"/>
  </r>
  <r>
    <d v="2017-12-29T04:49:13"/>
    <d v="2017-12-17T00:00:00"/>
    <d v="2017-12-29T04:49:13"/>
    <x v="0"/>
    <x v="4"/>
    <s v="NF6102"/>
    <n v="3440"/>
    <x v="6"/>
    <n v="2017"/>
    <x v="4"/>
    <x v="0"/>
    <x v="3"/>
    <x v="0"/>
  </r>
  <r>
    <d v="2018-01-11T01:07:19"/>
    <d v="2017-12-20T00:00:00"/>
    <d v="2018-01-11T01:07:19"/>
    <x v="0"/>
    <x v="1"/>
    <s v="NF8162"/>
    <n v="3993"/>
    <x v="4"/>
    <n v="2018"/>
    <x v="4"/>
    <x v="0"/>
    <x v="4"/>
    <x v="1"/>
  </r>
  <r>
    <d v="2018-02-17T01:10:28"/>
    <d v="2017-12-21T00:00:00"/>
    <d v="2018-02-17T01:10:28"/>
    <x v="0"/>
    <x v="1"/>
    <s v="NF4573"/>
    <n v="3273"/>
    <x v="5"/>
    <n v="2018"/>
    <x v="4"/>
    <x v="0"/>
    <x v="5"/>
    <x v="1"/>
  </r>
  <r>
    <d v="2018-02-04T06:22:55"/>
    <d v="2017-12-25T00:00:00"/>
    <d v="2018-02-04T06:22:55"/>
    <x v="0"/>
    <x v="4"/>
    <s v="NF8503"/>
    <n v="4494"/>
    <x v="5"/>
    <n v="2018"/>
    <x v="4"/>
    <x v="0"/>
    <x v="5"/>
    <x v="1"/>
  </r>
  <r>
    <d v="2018-01-24T22:12:42"/>
    <d v="2017-12-27T00:00:00"/>
    <d v="2018-01-24T22:12:42"/>
    <x v="0"/>
    <x v="0"/>
    <s v="NF3380"/>
    <n v="2511"/>
    <x v="4"/>
    <n v="2018"/>
    <x v="4"/>
    <x v="0"/>
    <x v="4"/>
    <x v="1"/>
  </r>
  <r>
    <d v="2018-02-12T23:45:29"/>
    <d v="2017-12-29T00:00:00"/>
    <d v="2018-02-12T23:45:29"/>
    <x v="0"/>
    <x v="2"/>
    <s v="NF6566"/>
    <n v="2015"/>
    <x v="5"/>
    <n v="2018"/>
    <x v="4"/>
    <x v="0"/>
    <x v="5"/>
    <x v="1"/>
  </r>
  <r>
    <d v="2018-03-21T07:29:39"/>
    <d v="2017-12-31T00:00:00"/>
    <d v="2018-02-20T08:29:43"/>
    <x v="0"/>
    <x v="3"/>
    <s v="NF5838"/>
    <n v="3413"/>
    <x v="7"/>
    <n v="2018"/>
    <x v="4"/>
    <x v="0"/>
    <x v="5"/>
    <x v="1"/>
  </r>
  <r>
    <d v="2018-02-13T19:04:58"/>
    <d v="2018-01-03T00:00:00"/>
    <d v="2018-01-08T20:21:58"/>
    <x v="0"/>
    <x v="0"/>
    <s v="NF1174"/>
    <n v="4087"/>
    <x v="5"/>
    <n v="2018"/>
    <x v="5"/>
    <x v="1"/>
    <x v="4"/>
    <x v="1"/>
  </r>
  <r>
    <d v="2018-01-17T08:55:33"/>
    <d v="2018-01-06T00:00:00"/>
    <d v="2018-01-17T08:55:33"/>
    <x v="0"/>
    <x v="1"/>
    <s v="NF2942"/>
    <n v="2441"/>
    <x v="4"/>
    <n v="2018"/>
    <x v="5"/>
    <x v="1"/>
    <x v="4"/>
    <x v="1"/>
  </r>
  <r>
    <d v="2018-01-27T17:25:05"/>
    <d v="2018-01-09T00:00:00"/>
    <d v="2018-01-27T17:25:05"/>
    <x v="0"/>
    <x v="2"/>
    <s v="NF8563"/>
    <n v="3598"/>
    <x v="4"/>
    <n v="2018"/>
    <x v="5"/>
    <x v="1"/>
    <x v="4"/>
    <x v="1"/>
  </r>
  <r>
    <d v="2018-01-18T19:45:35"/>
    <d v="2018-01-10T00:00:00"/>
    <d v="2018-01-18T19:45:35"/>
    <x v="0"/>
    <x v="1"/>
    <s v="NF8237"/>
    <n v="4895"/>
    <x v="4"/>
    <n v="2018"/>
    <x v="5"/>
    <x v="1"/>
    <x v="4"/>
    <x v="1"/>
  </r>
  <r>
    <d v="2018-03-08T13:03:51"/>
    <d v="2018-01-12T00:00:00"/>
    <d v="2018-03-08T13:03:51"/>
    <x v="0"/>
    <x v="1"/>
    <s v="NF4859"/>
    <n v="971"/>
    <x v="7"/>
    <n v="2018"/>
    <x v="5"/>
    <x v="1"/>
    <x v="6"/>
    <x v="1"/>
  </r>
  <r>
    <d v="2018-02-06T01:03:18"/>
    <d v="2018-01-13T00:00:00"/>
    <d v="2018-02-06T01:03:18"/>
    <x v="0"/>
    <x v="0"/>
    <s v="NF1529"/>
    <n v="556"/>
    <x v="5"/>
    <n v="2018"/>
    <x v="5"/>
    <x v="1"/>
    <x v="5"/>
    <x v="1"/>
  </r>
  <r>
    <d v="2018-02-13T21:09:50"/>
    <d v="2018-01-14T00:00:00"/>
    <d v="2018-02-13T21:09:50"/>
    <x v="0"/>
    <x v="0"/>
    <s v="NF6931"/>
    <n v="1977"/>
    <x v="5"/>
    <n v="2018"/>
    <x v="5"/>
    <x v="1"/>
    <x v="5"/>
    <x v="1"/>
  </r>
  <r>
    <d v="2018-01-27T08:34:59"/>
    <d v="2018-01-16T00:00:00"/>
    <d v="2018-01-27T08:34:59"/>
    <x v="0"/>
    <x v="1"/>
    <s v="NF7559"/>
    <n v="2951"/>
    <x v="4"/>
    <n v="2018"/>
    <x v="5"/>
    <x v="1"/>
    <x v="4"/>
    <x v="1"/>
  </r>
  <r>
    <d v="2018-03-05T09:47:40"/>
    <d v="2018-01-20T00:00:00"/>
    <d v="2018-03-05T09:47:40"/>
    <x v="0"/>
    <x v="1"/>
    <s v="NF9620"/>
    <n v="2535"/>
    <x v="7"/>
    <n v="2018"/>
    <x v="5"/>
    <x v="1"/>
    <x v="6"/>
    <x v="1"/>
  </r>
  <r>
    <d v="2018-02-10T13:54:37"/>
    <d v="2018-01-21T00:00:00"/>
    <d v="2018-02-10T13:54:37"/>
    <x v="0"/>
    <x v="4"/>
    <s v="NF4547"/>
    <n v="3057"/>
    <x v="5"/>
    <n v="2018"/>
    <x v="5"/>
    <x v="1"/>
    <x v="5"/>
    <x v="1"/>
  </r>
  <r>
    <d v="2018-02-09T12:37:33"/>
    <d v="2018-01-23T00:00:00"/>
    <d v="2018-02-09T12:37:33"/>
    <x v="0"/>
    <x v="0"/>
    <s v="NF6004"/>
    <n v="3152"/>
    <x v="5"/>
    <n v="2018"/>
    <x v="5"/>
    <x v="1"/>
    <x v="5"/>
    <x v="1"/>
  </r>
  <r>
    <d v="2018-03-08T03:16:39"/>
    <d v="2018-01-25T00:00:00"/>
    <d v="2018-03-08T03:16:39"/>
    <x v="0"/>
    <x v="3"/>
    <s v="NF3415"/>
    <n v="2247"/>
    <x v="7"/>
    <n v="2018"/>
    <x v="5"/>
    <x v="1"/>
    <x v="6"/>
    <x v="1"/>
  </r>
  <r>
    <d v="2018-03-21T01:55:31"/>
    <d v="2018-01-27T00:00:00"/>
    <d v="2018-03-21T01:55:31"/>
    <x v="0"/>
    <x v="2"/>
    <s v="NF1603"/>
    <n v="2456"/>
    <x v="7"/>
    <n v="2018"/>
    <x v="5"/>
    <x v="1"/>
    <x v="6"/>
    <x v="1"/>
  </r>
  <r>
    <d v="2018-02-22T13:23:19"/>
    <d v="2018-01-29T00:00:00"/>
    <d v="2018-02-11T14:14:40"/>
    <x v="0"/>
    <x v="1"/>
    <s v="NF8784"/>
    <n v="3801"/>
    <x v="5"/>
    <n v="2018"/>
    <x v="5"/>
    <x v="1"/>
    <x v="5"/>
    <x v="1"/>
  </r>
  <r>
    <d v="2018-02-13T09:01:19"/>
    <d v="2018-01-31T00:00:00"/>
    <d v="2018-02-13T09:01:19"/>
    <x v="0"/>
    <x v="0"/>
    <s v="NF1826"/>
    <n v="3049"/>
    <x v="5"/>
    <n v="2018"/>
    <x v="5"/>
    <x v="1"/>
    <x v="5"/>
    <x v="1"/>
  </r>
  <r>
    <d v="2018-03-29T23:53:02"/>
    <d v="2018-02-04T00:00:00"/>
    <d v="2018-03-11T03:08:27"/>
    <x v="0"/>
    <x v="4"/>
    <s v="NF7390"/>
    <n v="3255"/>
    <x v="7"/>
    <n v="2018"/>
    <x v="6"/>
    <x v="1"/>
    <x v="6"/>
    <x v="1"/>
  </r>
  <r>
    <d v="2018-03-20T14:43:41"/>
    <d v="2018-02-05T00:00:00"/>
    <d v="2018-03-17T04:59:05"/>
    <x v="0"/>
    <x v="1"/>
    <s v="NF7009"/>
    <n v="2074"/>
    <x v="7"/>
    <n v="2018"/>
    <x v="6"/>
    <x v="1"/>
    <x v="6"/>
    <x v="1"/>
  </r>
  <r>
    <d v="2018-03-16T07:02:49"/>
    <d v="2018-02-06T00:00:00"/>
    <d v="2018-03-16T07:02:49"/>
    <x v="0"/>
    <x v="1"/>
    <s v="NF7629"/>
    <n v="3606"/>
    <x v="7"/>
    <n v="2018"/>
    <x v="6"/>
    <x v="1"/>
    <x v="6"/>
    <x v="1"/>
  </r>
  <r>
    <d v="2018-03-18T07:54:53"/>
    <d v="2018-02-07T00:00:00"/>
    <d v="2018-03-18T07:54:53"/>
    <x v="0"/>
    <x v="2"/>
    <s v="NF2748"/>
    <n v="4867"/>
    <x v="7"/>
    <n v="2018"/>
    <x v="6"/>
    <x v="1"/>
    <x v="6"/>
    <x v="1"/>
  </r>
  <r>
    <d v="2018-03-16T00:06:55"/>
    <d v="2018-02-09T00:00:00"/>
    <d v="2018-03-16T00:06:55"/>
    <x v="0"/>
    <x v="3"/>
    <s v="NF5961"/>
    <n v="702"/>
    <x v="7"/>
    <n v="2018"/>
    <x v="6"/>
    <x v="1"/>
    <x v="6"/>
    <x v="1"/>
  </r>
  <r>
    <d v="2018-05-18T00:10:35"/>
    <d v="2018-02-14T00:00:00"/>
    <d v="2018-02-19T10:57:20"/>
    <x v="0"/>
    <x v="3"/>
    <s v="NF7680"/>
    <n v="2801"/>
    <x v="8"/>
    <n v="2018"/>
    <x v="6"/>
    <x v="1"/>
    <x v="5"/>
    <x v="1"/>
  </r>
  <r>
    <s v=""/>
    <d v="2018-02-15T00:00:00"/>
    <d v="2018-03-10T18:40:49"/>
    <x v="0"/>
    <x v="1"/>
    <s v="NF9629"/>
    <n v="4438"/>
    <x v="2"/>
    <n v="0"/>
    <x v="6"/>
    <x v="1"/>
    <x v="6"/>
    <x v="1"/>
  </r>
  <r>
    <d v="2018-04-08T05:09:48"/>
    <d v="2018-02-20T00:00:00"/>
    <d v="2018-04-08T05:09:48"/>
    <x v="0"/>
    <x v="2"/>
    <s v="NF5978"/>
    <n v="3835"/>
    <x v="9"/>
    <n v="2018"/>
    <x v="6"/>
    <x v="1"/>
    <x v="7"/>
    <x v="1"/>
  </r>
  <r>
    <d v="2018-04-09T09:13:30"/>
    <d v="2018-03-01T00:00:00"/>
    <d v="2018-04-09T09:13:30"/>
    <x v="0"/>
    <x v="1"/>
    <s v="NF5651"/>
    <n v="3893"/>
    <x v="9"/>
    <n v="2018"/>
    <x v="7"/>
    <x v="1"/>
    <x v="7"/>
    <x v="1"/>
  </r>
  <r>
    <d v="2018-03-25T08:28:33"/>
    <d v="2018-03-04T00:00:00"/>
    <d v="2018-03-25T08:28:33"/>
    <x v="0"/>
    <x v="1"/>
    <s v="NF7772"/>
    <n v="1970"/>
    <x v="7"/>
    <n v="2018"/>
    <x v="7"/>
    <x v="1"/>
    <x v="6"/>
    <x v="1"/>
  </r>
  <r>
    <d v="2018-04-29T08:19:53"/>
    <d v="2018-03-05T00:00:00"/>
    <d v="2018-04-29T08:19:53"/>
    <x v="0"/>
    <x v="3"/>
    <s v="NF5401"/>
    <n v="729"/>
    <x v="9"/>
    <n v="2018"/>
    <x v="7"/>
    <x v="1"/>
    <x v="7"/>
    <x v="1"/>
  </r>
  <r>
    <d v="2018-03-29T23:02:23"/>
    <d v="2018-03-07T00:00:00"/>
    <d v="2018-03-29T23:02:23"/>
    <x v="0"/>
    <x v="2"/>
    <s v="NF9115"/>
    <n v="474"/>
    <x v="7"/>
    <n v="2018"/>
    <x v="7"/>
    <x v="1"/>
    <x v="6"/>
    <x v="1"/>
  </r>
  <r>
    <d v="2018-04-07T20:13:31"/>
    <d v="2018-03-09T00:00:00"/>
    <d v="2018-04-07T20:13:31"/>
    <x v="0"/>
    <x v="3"/>
    <s v="NF4115"/>
    <n v="3164"/>
    <x v="9"/>
    <n v="2018"/>
    <x v="7"/>
    <x v="1"/>
    <x v="7"/>
    <x v="1"/>
  </r>
  <r>
    <d v="2018-05-08T17:13:02"/>
    <d v="2018-03-14T00:00:00"/>
    <d v="2018-05-08T17:13:02"/>
    <x v="0"/>
    <x v="1"/>
    <s v="NF5683"/>
    <n v="3113"/>
    <x v="8"/>
    <n v="2018"/>
    <x v="7"/>
    <x v="1"/>
    <x v="8"/>
    <x v="1"/>
  </r>
  <r>
    <d v="2018-07-07T06:27:25"/>
    <d v="2018-03-17T00:00:00"/>
    <d v="2018-04-11T13:42:41"/>
    <x v="0"/>
    <x v="4"/>
    <s v="NF7027"/>
    <n v="789"/>
    <x v="10"/>
    <n v="2018"/>
    <x v="7"/>
    <x v="1"/>
    <x v="7"/>
    <x v="1"/>
  </r>
  <r>
    <d v="2018-04-01T13:26:12"/>
    <d v="2018-03-21T00:00:00"/>
    <d v="2018-04-01T13:26:12"/>
    <x v="0"/>
    <x v="4"/>
    <s v="NF7168"/>
    <n v="3521"/>
    <x v="9"/>
    <n v="2018"/>
    <x v="7"/>
    <x v="1"/>
    <x v="7"/>
    <x v="1"/>
  </r>
  <r>
    <d v="2018-03-28T17:37:56"/>
    <d v="2018-03-24T00:00:00"/>
    <d v="2018-03-28T17:37:56"/>
    <x v="0"/>
    <x v="1"/>
    <s v="NF4972"/>
    <n v="4947"/>
    <x v="7"/>
    <n v="2018"/>
    <x v="7"/>
    <x v="1"/>
    <x v="6"/>
    <x v="1"/>
  </r>
  <r>
    <d v="2018-05-03T14:57:10"/>
    <d v="2018-03-25T00:00:00"/>
    <d v="2018-05-03T14:57:10"/>
    <x v="0"/>
    <x v="4"/>
    <s v="NF7283"/>
    <n v="1527"/>
    <x v="8"/>
    <n v="2018"/>
    <x v="7"/>
    <x v="1"/>
    <x v="8"/>
    <x v="1"/>
  </r>
  <r>
    <d v="2018-05-14T12:32:29"/>
    <d v="2018-04-01T00:00:00"/>
    <d v="2018-05-14T12:32:29"/>
    <x v="0"/>
    <x v="4"/>
    <s v="NF6320"/>
    <n v="764"/>
    <x v="8"/>
    <n v="2018"/>
    <x v="8"/>
    <x v="1"/>
    <x v="8"/>
    <x v="1"/>
  </r>
  <r>
    <d v="2018-04-12T02:48:23"/>
    <d v="2018-04-03T00:00:00"/>
    <d v="2018-04-12T02:48:23"/>
    <x v="0"/>
    <x v="2"/>
    <s v="NF7850"/>
    <n v="2463"/>
    <x v="9"/>
    <n v="2018"/>
    <x v="8"/>
    <x v="1"/>
    <x v="7"/>
    <x v="1"/>
  </r>
  <r>
    <d v="2018-04-30T01:56:26"/>
    <d v="2018-04-05T00:00:00"/>
    <d v="2018-04-25T16:44:12"/>
    <x v="0"/>
    <x v="3"/>
    <s v="NF2420"/>
    <n v="2111"/>
    <x v="9"/>
    <n v="2018"/>
    <x v="8"/>
    <x v="1"/>
    <x v="7"/>
    <x v="1"/>
  </r>
  <r>
    <d v="2018-05-01T13:42:29"/>
    <d v="2018-04-06T00:00:00"/>
    <d v="2018-05-01T13:42:29"/>
    <x v="0"/>
    <x v="1"/>
    <s v="NF6764"/>
    <n v="1144"/>
    <x v="8"/>
    <n v="2018"/>
    <x v="8"/>
    <x v="1"/>
    <x v="8"/>
    <x v="1"/>
  </r>
  <r>
    <d v="2018-05-20T16:28:59"/>
    <d v="2018-04-10T00:00:00"/>
    <d v="2018-05-20T16:28:59"/>
    <x v="0"/>
    <x v="3"/>
    <s v="NF6382"/>
    <n v="597"/>
    <x v="8"/>
    <n v="2018"/>
    <x v="8"/>
    <x v="1"/>
    <x v="8"/>
    <x v="1"/>
  </r>
  <r>
    <d v="2018-07-09T07:24:13"/>
    <d v="2018-04-16T00:00:00"/>
    <d v="2018-04-19T02:53:39"/>
    <x v="0"/>
    <x v="1"/>
    <s v="NF8079"/>
    <n v="3445"/>
    <x v="10"/>
    <n v="2018"/>
    <x v="8"/>
    <x v="1"/>
    <x v="7"/>
    <x v="1"/>
  </r>
  <r>
    <d v="2018-05-02T07:19:37"/>
    <d v="2018-04-22T00:00:00"/>
    <d v="2018-05-02T07:19:37"/>
    <x v="0"/>
    <x v="4"/>
    <s v="NF2434"/>
    <n v="1996"/>
    <x v="8"/>
    <n v="2018"/>
    <x v="8"/>
    <x v="1"/>
    <x v="8"/>
    <x v="1"/>
  </r>
  <r>
    <d v="2018-05-12T18:26:56"/>
    <d v="2018-04-28T00:00:00"/>
    <d v="2018-05-12T18:26:56"/>
    <x v="0"/>
    <x v="3"/>
    <s v="NF3230"/>
    <n v="1254"/>
    <x v="8"/>
    <n v="2018"/>
    <x v="8"/>
    <x v="1"/>
    <x v="8"/>
    <x v="1"/>
  </r>
  <r>
    <d v="2018-05-21T03:30:05"/>
    <d v="2018-04-29T00:00:00"/>
    <d v="2018-05-03T19:21:01"/>
    <x v="0"/>
    <x v="3"/>
    <s v="NF8847"/>
    <n v="905"/>
    <x v="8"/>
    <n v="2018"/>
    <x v="8"/>
    <x v="1"/>
    <x v="8"/>
    <x v="1"/>
  </r>
  <r>
    <d v="2018-05-31T14:47:54"/>
    <d v="2018-05-02T00:00:00"/>
    <d v="2018-05-31T14:47:54"/>
    <x v="0"/>
    <x v="2"/>
    <s v="NF8053"/>
    <n v="2975"/>
    <x v="8"/>
    <n v="2018"/>
    <x v="9"/>
    <x v="1"/>
    <x v="8"/>
    <x v="1"/>
  </r>
  <r>
    <d v="2018-05-08T16:17:57"/>
    <d v="2018-05-03T00:00:00"/>
    <d v="2018-05-08T16:17:57"/>
    <x v="0"/>
    <x v="1"/>
    <s v="NF2454"/>
    <n v="4807"/>
    <x v="8"/>
    <n v="2018"/>
    <x v="9"/>
    <x v="1"/>
    <x v="8"/>
    <x v="1"/>
  </r>
  <r>
    <d v="2018-06-13T07:07:36"/>
    <d v="2018-05-10T00:00:00"/>
    <d v="2018-06-13T07:07:36"/>
    <x v="0"/>
    <x v="4"/>
    <s v="NF8252"/>
    <n v="1882"/>
    <x v="11"/>
    <n v="2018"/>
    <x v="9"/>
    <x v="1"/>
    <x v="9"/>
    <x v="1"/>
  </r>
  <r>
    <d v="2018-06-27T19:00:08"/>
    <d v="2018-05-15T00:00:00"/>
    <d v="2018-06-27T19:00:08"/>
    <x v="0"/>
    <x v="0"/>
    <s v="NF6573"/>
    <n v="3932"/>
    <x v="11"/>
    <n v="2018"/>
    <x v="9"/>
    <x v="1"/>
    <x v="9"/>
    <x v="1"/>
  </r>
  <r>
    <s v=""/>
    <d v="2018-05-18T00:00:00"/>
    <d v="2018-06-02T02:25:53"/>
    <x v="0"/>
    <x v="1"/>
    <s v="NF8780"/>
    <n v="701"/>
    <x v="2"/>
    <n v="0"/>
    <x v="9"/>
    <x v="1"/>
    <x v="9"/>
    <x v="1"/>
  </r>
  <r>
    <d v="2018-06-27T06:00:26"/>
    <d v="2018-05-19T00:00:00"/>
    <d v="2018-06-27T06:00:26"/>
    <x v="0"/>
    <x v="1"/>
    <s v="NF6166"/>
    <n v="2651"/>
    <x v="11"/>
    <n v="2018"/>
    <x v="9"/>
    <x v="1"/>
    <x v="9"/>
    <x v="1"/>
  </r>
  <r>
    <d v="2018-09-07T07:57:31"/>
    <d v="2018-05-26T00:00:00"/>
    <d v="2018-07-01T19:37:16"/>
    <x v="0"/>
    <x v="1"/>
    <s v="NF8437"/>
    <n v="3792"/>
    <x v="1"/>
    <n v="2018"/>
    <x v="9"/>
    <x v="1"/>
    <x v="10"/>
    <x v="1"/>
  </r>
  <r>
    <d v="2018-08-22T00:57:34"/>
    <d v="2018-05-28T00:00:00"/>
    <d v="2018-07-25T13:16:52"/>
    <x v="0"/>
    <x v="0"/>
    <s v="NF6635"/>
    <n v="611"/>
    <x v="12"/>
    <n v="2018"/>
    <x v="9"/>
    <x v="1"/>
    <x v="10"/>
    <x v="1"/>
  </r>
  <r>
    <d v="2018-07-11T14:55:40"/>
    <d v="2018-05-31T00:00:00"/>
    <d v="2018-07-11T14:55:40"/>
    <x v="0"/>
    <x v="2"/>
    <s v="NF8734"/>
    <n v="3431"/>
    <x v="10"/>
    <n v="2018"/>
    <x v="9"/>
    <x v="1"/>
    <x v="10"/>
    <x v="1"/>
  </r>
  <r>
    <d v="2018-06-28T01:37:59"/>
    <d v="2018-06-02T00:00:00"/>
    <d v="2018-06-28T01:37:59"/>
    <x v="0"/>
    <x v="1"/>
    <s v="NF4208"/>
    <n v="3670"/>
    <x v="11"/>
    <n v="2018"/>
    <x v="10"/>
    <x v="1"/>
    <x v="9"/>
    <x v="1"/>
  </r>
  <r>
    <d v="2018-06-08T16:00:01"/>
    <d v="2018-06-04T00:00:00"/>
    <d v="2018-06-08T16:00:01"/>
    <x v="0"/>
    <x v="1"/>
    <s v="NF4923"/>
    <n v="4320"/>
    <x v="11"/>
    <n v="2018"/>
    <x v="10"/>
    <x v="1"/>
    <x v="9"/>
    <x v="1"/>
  </r>
  <r>
    <d v="2018-07-01T16:18:26"/>
    <d v="2018-06-05T00:00:00"/>
    <d v="2018-07-01T16:18:26"/>
    <x v="0"/>
    <x v="2"/>
    <s v="NF6782"/>
    <n v="1809"/>
    <x v="10"/>
    <n v="2018"/>
    <x v="10"/>
    <x v="1"/>
    <x v="10"/>
    <x v="1"/>
  </r>
  <r>
    <d v="2018-07-25T19:28:19"/>
    <d v="2018-06-07T00:00:00"/>
    <d v="2018-07-25T19:28:19"/>
    <x v="0"/>
    <x v="1"/>
    <s v="NF6280"/>
    <n v="667"/>
    <x v="10"/>
    <n v="2018"/>
    <x v="10"/>
    <x v="1"/>
    <x v="10"/>
    <x v="1"/>
  </r>
  <r>
    <d v="2018-06-18T19:00:08"/>
    <d v="2018-06-11T00:00:00"/>
    <d v="2018-06-18T19:00:08"/>
    <x v="0"/>
    <x v="4"/>
    <s v="NF7827"/>
    <n v="1613"/>
    <x v="11"/>
    <n v="2018"/>
    <x v="10"/>
    <x v="1"/>
    <x v="9"/>
    <x v="1"/>
  </r>
  <r>
    <d v="2018-07-28T05:48:11"/>
    <d v="2018-06-17T00:00:00"/>
    <d v="2018-07-28T05:48:11"/>
    <x v="0"/>
    <x v="0"/>
    <s v="NF5357"/>
    <n v="3756"/>
    <x v="10"/>
    <n v="2018"/>
    <x v="10"/>
    <x v="1"/>
    <x v="10"/>
    <x v="1"/>
  </r>
  <r>
    <d v="2018-08-16T00:14:52"/>
    <d v="2018-06-20T00:00:00"/>
    <d v="2018-08-16T00:14:52"/>
    <x v="0"/>
    <x v="2"/>
    <s v="NF8188"/>
    <n v="3672"/>
    <x v="12"/>
    <n v="2018"/>
    <x v="10"/>
    <x v="1"/>
    <x v="11"/>
    <x v="1"/>
  </r>
  <r>
    <d v="2018-08-17T02:37:59"/>
    <d v="2018-06-26T00:00:00"/>
    <d v="2018-07-07T00:58:52"/>
    <x v="0"/>
    <x v="1"/>
    <s v="NF4640"/>
    <n v="658"/>
    <x v="12"/>
    <n v="2018"/>
    <x v="10"/>
    <x v="1"/>
    <x v="10"/>
    <x v="1"/>
  </r>
  <r>
    <d v="2018-08-24T10:23:22"/>
    <d v="2018-06-29T00:00:00"/>
    <d v="2018-08-24T10:23:22"/>
    <x v="0"/>
    <x v="2"/>
    <s v="NF2293"/>
    <n v="4762"/>
    <x v="12"/>
    <n v="2018"/>
    <x v="10"/>
    <x v="1"/>
    <x v="11"/>
    <x v="1"/>
  </r>
  <r>
    <d v="2018-07-09T16:48:23"/>
    <d v="2018-07-02T00:00:00"/>
    <d v="2018-07-09T16:48:23"/>
    <x v="0"/>
    <x v="0"/>
    <s v="NF2933"/>
    <n v="2186"/>
    <x v="10"/>
    <n v="2018"/>
    <x v="11"/>
    <x v="1"/>
    <x v="10"/>
    <x v="1"/>
  </r>
  <r>
    <d v="2018-07-24T04:31:40"/>
    <d v="2018-07-03T00:00:00"/>
    <d v="2018-07-24T04:31:40"/>
    <x v="0"/>
    <x v="2"/>
    <s v="NF4384"/>
    <n v="3411"/>
    <x v="10"/>
    <n v="2018"/>
    <x v="11"/>
    <x v="1"/>
    <x v="10"/>
    <x v="1"/>
  </r>
  <r>
    <d v="2018-07-24T10:25:52"/>
    <d v="2018-07-08T00:00:00"/>
    <d v="2018-07-24T10:25:52"/>
    <x v="0"/>
    <x v="2"/>
    <s v="NF8316"/>
    <n v="2524"/>
    <x v="10"/>
    <n v="2018"/>
    <x v="11"/>
    <x v="1"/>
    <x v="10"/>
    <x v="1"/>
  </r>
  <r>
    <d v="2018-08-01T04:14:27"/>
    <d v="2018-07-10T00:00:00"/>
    <d v="2018-08-01T04:14:27"/>
    <x v="0"/>
    <x v="0"/>
    <s v="NF1506"/>
    <n v="1709"/>
    <x v="12"/>
    <n v="2018"/>
    <x v="11"/>
    <x v="1"/>
    <x v="11"/>
    <x v="1"/>
  </r>
  <r>
    <d v="2018-08-28T08:22:59"/>
    <d v="2018-07-15T00:00:00"/>
    <d v="2018-08-28T08:22:59"/>
    <x v="0"/>
    <x v="1"/>
    <s v="NF4913"/>
    <n v="3181"/>
    <x v="12"/>
    <n v="2018"/>
    <x v="11"/>
    <x v="1"/>
    <x v="11"/>
    <x v="1"/>
  </r>
  <r>
    <d v="2018-08-09T16:53:42"/>
    <d v="2018-07-16T00:00:00"/>
    <d v="2018-08-09T16:53:42"/>
    <x v="0"/>
    <x v="3"/>
    <s v="NF8526"/>
    <n v="1108"/>
    <x v="12"/>
    <n v="2018"/>
    <x v="11"/>
    <x v="1"/>
    <x v="11"/>
    <x v="1"/>
  </r>
  <r>
    <d v="2018-08-18T00:15:22"/>
    <d v="2018-07-17T00:00:00"/>
    <d v="2018-08-18T00:15:22"/>
    <x v="0"/>
    <x v="1"/>
    <s v="NF9873"/>
    <n v="2777"/>
    <x v="12"/>
    <n v="2018"/>
    <x v="11"/>
    <x v="1"/>
    <x v="11"/>
    <x v="1"/>
  </r>
  <r>
    <d v="2018-09-14T00:58:53"/>
    <d v="2018-07-19T00:00:00"/>
    <d v="2018-09-14T00:58:53"/>
    <x v="0"/>
    <x v="0"/>
    <s v="NF9870"/>
    <n v="3793"/>
    <x v="1"/>
    <n v="2018"/>
    <x v="11"/>
    <x v="1"/>
    <x v="1"/>
    <x v="1"/>
  </r>
  <r>
    <s v=""/>
    <d v="2018-07-21T00:00:00"/>
    <d v="2018-08-12T21:19:56"/>
    <x v="0"/>
    <x v="2"/>
    <s v="NF5563"/>
    <n v="4217"/>
    <x v="2"/>
    <n v="0"/>
    <x v="11"/>
    <x v="1"/>
    <x v="11"/>
    <x v="1"/>
  </r>
  <r>
    <d v="2018-08-30T14:57:50"/>
    <d v="2018-07-28T00:00:00"/>
    <d v="2018-08-30T14:57:50"/>
    <x v="0"/>
    <x v="1"/>
    <s v="NF5510"/>
    <n v="4850"/>
    <x v="12"/>
    <n v="2018"/>
    <x v="11"/>
    <x v="1"/>
    <x v="11"/>
    <x v="1"/>
  </r>
  <r>
    <d v="2018-09-11T23:14:03"/>
    <d v="2018-07-30T00:00:00"/>
    <d v="2018-08-19T07:55:56"/>
    <x v="0"/>
    <x v="2"/>
    <s v="NF1440"/>
    <n v="4309"/>
    <x v="1"/>
    <n v="2018"/>
    <x v="11"/>
    <x v="1"/>
    <x v="11"/>
    <x v="1"/>
  </r>
  <r>
    <d v="2018-10-01T14:46:44"/>
    <d v="2018-08-01T00:00:00"/>
    <d v="2018-08-02T13:49:34"/>
    <x v="0"/>
    <x v="3"/>
    <s v="NF2709"/>
    <n v="4462"/>
    <x v="0"/>
    <n v="2018"/>
    <x v="0"/>
    <x v="1"/>
    <x v="11"/>
    <x v="1"/>
  </r>
  <r>
    <d v="2018-10-02T11:47:41"/>
    <d v="2018-08-07T00:00:00"/>
    <d v="2018-10-02T11:47:41"/>
    <x v="0"/>
    <x v="4"/>
    <s v="NF9886"/>
    <n v="4947"/>
    <x v="0"/>
    <n v="2018"/>
    <x v="0"/>
    <x v="1"/>
    <x v="0"/>
    <x v="1"/>
  </r>
  <r>
    <d v="2018-09-25T16:55:00"/>
    <d v="2018-08-10T00:00:00"/>
    <d v="2018-09-25T16:55:00"/>
    <x v="0"/>
    <x v="0"/>
    <s v="NF6993"/>
    <n v="902"/>
    <x v="1"/>
    <n v="2018"/>
    <x v="0"/>
    <x v="1"/>
    <x v="1"/>
    <x v="1"/>
  </r>
  <r>
    <d v="2018-09-23T20:55:42"/>
    <d v="2018-08-12T00:00:00"/>
    <d v="2018-09-23T20:55:42"/>
    <x v="0"/>
    <x v="4"/>
    <s v="NF9126"/>
    <n v="432"/>
    <x v="1"/>
    <n v="2018"/>
    <x v="0"/>
    <x v="1"/>
    <x v="1"/>
    <x v="1"/>
  </r>
  <r>
    <d v="2018-09-13T22:56:48"/>
    <d v="2018-08-15T00:00:00"/>
    <d v="2018-09-13T22:56:48"/>
    <x v="0"/>
    <x v="2"/>
    <s v="NF3531"/>
    <n v="4084"/>
    <x v="1"/>
    <n v="2018"/>
    <x v="0"/>
    <x v="1"/>
    <x v="1"/>
    <x v="1"/>
  </r>
  <r>
    <d v="2018-11-29T00:17:37"/>
    <d v="2018-08-22T00:00:00"/>
    <d v="2018-09-16T00:23:57"/>
    <x v="0"/>
    <x v="1"/>
    <s v="NF6599"/>
    <n v="1054"/>
    <x v="3"/>
    <n v="2018"/>
    <x v="0"/>
    <x v="1"/>
    <x v="1"/>
    <x v="1"/>
  </r>
  <r>
    <d v="2018-09-09T01:51:27"/>
    <d v="2018-08-23T00:00:00"/>
    <d v="2018-09-09T01:51:27"/>
    <x v="0"/>
    <x v="4"/>
    <s v="NF9323"/>
    <n v="4608"/>
    <x v="1"/>
    <n v="2018"/>
    <x v="0"/>
    <x v="1"/>
    <x v="1"/>
    <x v="1"/>
  </r>
  <r>
    <d v="2018-09-20T03:35:31"/>
    <d v="2018-08-28T00:00:00"/>
    <d v="2018-09-20T03:35:31"/>
    <x v="0"/>
    <x v="0"/>
    <s v="NF3529"/>
    <n v="1238"/>
    <x v="1"/>
    <n v="2018"/>
    <x v="0"/>
    <x v="1"/>
    <x v="1"/>
    <x v="1"/>
  </r>
  <r>
    <d v="2018-09-27T17:31:08"/>
    <d v="2018-09-03T00:00:00"/>
    <d v="2018-09-27T17:31:08"/>
    <x v="0"/>
    <x v="1"/>
    <s v="NF5824"/>
    <n v="1342"/>
    <x v="1"/>
    <n v="2018"/>
    <x v="1"/>
    <x v="1"/>
    <x v="1"/>
    <x v="1"/>
  </r>
  <r>
    <d v="2018-12-04T20:10:31"/>
    <d v="2018-09-07T00:00:00"/>
    <d v="2018-10-29T18:42:30"/>
    <x v="0"/>
    <x v="4"/>
    <s v="NF3860"/>
    <n v="2936"/>
    <x v="6"/>
    <n v="2018"/>
    <x v="1"/>
    <x v="1"/>
    <x v="0"/>
    <x v="1"/>
  </r>
  <r>
    <d v="2018-10-08T03:24:37"/>
    <d v="2018-09-08T00:00:00"/>
    <d v="2018-10-08T03:24:37"/>
    <x v="0"/>
    <x v="1"/>
    <s v="NF7260"/>
    <n v="875"/>
    <x v="0"/>
    <n v="2018"/>
    <x v="1"/>
    <x v="1"/>
    <x v="0"/>
    <x v="1"/>
  </r>
  <r>
    <d v="2018-09-12T00:31:15"/>
    <d v="2018-09-10T00:00:00"/>
    <d v="2018-09-12T00:31:15"/>
    <x v="0"/>
    <x v="3"/>
    <s v="NF2238"/>
    <n v="159"/>
    <x v="1"/>
    <n v="2018"/>
    <x v="1"/>
    <x v="1"/>
    <x v="1"/>
    <x v="1"/>
  </r>
  <r>
    <d v="2018-10-09T15:23:27"/>
    <d v="2018-09-15T00:00:00"/>
    <d v="2018-10-09T15:23:27"/>
    <x v="0"/>
    <x v="1"/>
    <s v="NF7342"/>
    <n v="2933"/>
    <x v="0"/>
    <n v="2018"/>
    <x v="1"/>
    <x v="1"/>
    <x v="0"/>
    <x v="1"/>
  </r>
  <r>
    <d v="2018-11-01T03:06:41"/>
    <d v="2018-09-15T00:00:00"/>
    <d v="2018-11-01T03:06:41"/>
    <x v="0"/>
    <x v="1"/>
    <s v="NF8517"/>
    <n v="4944"/>
    <x v="3"/>
    <n v="2018"/>
    <x v="1"/>
    <x v="1"/>
    <x v="2"/>
    <x v="1"/>
  </r>
  <r>
    <d v="2018-10-04T15:50:23"/>
    <d v="2018-09-19T00:00:00"/>
    <d v="2018-10-04T15:50:23"/>
    <x v="0"/>
    <x v="0"/>
    <s v="NF9366"/>
    <n v="4173"/>
    <x v="0"/>
    <n v="2018"/>
    <x v="1"/>
    <x v="1"/>
    <x v="0"/>
    <x v="1"/>
  </r>
  <r>
    <d v="2018-10-02T04:27:54"/>
    <d v="2018-09-24T00:00:00"/>
    <d v="2018-10-02T04:27:54"/>
    <x v="0"/>
    <x v="4"/>
    <s v="NF4973"/>
    <n v="2065"/>
    <x v="0"/>
    <n v="2018"/>
    <x v="1"/>
    <x v="1"/>
    <x v="0"/>
    <x v="1"/>
  </r>
  <r>
    <d v="2018-11-18T11:16:55"/>
    <d v="2018-09-28T00:00:00"/>
    <d v="2018-11-18T11:16:55"/>
    <x v="0"/>
    <x v="2"/>
    <s v="NF1111"/>
    <n v="521"/>
    <x v="3"/>
    <n v="2018"/>
    <x v="1"/>
    <x v="1"/>
    <x v="2"/>
    <x v="1"/>
  </r>
  <r>
    <d v="2018-11-13T19:50:37"/>
    <d v="2018-10-01T00:00:00"/>
    <d v="2018-11-13T19:50:37"/>
    <x v="0"/>
    <x v="2"/>
    <s v="NF8344"/>
    <n v="819"/>
    <x v="3"/>
    <n v="2018"/>
    <x v="2"/>
    <x v="1"/>
    <x v="2"/>
    <x v="1"/>
  </r>
  <r>
    <d v="2018-11-29T03:48:33"/>
    <d v="2018-10-04T00:00:00"/>
    <d v="2018-11-29T03:48:33"/>
    <x v="0"/>
    <x v="0"/>
    <s v="NF8750"/>
    <n v="1260"/>
    <x v="3"/>
    <n v="2018"/>
    <x v="2"/>
    <x v="1"/>
    <x v="2"/>
    <x v="1"/>
  </r>
  <r>
    <d v="2018-10-16T21:21:41"/>
    <d v="2018-10-10T00:00:00"/>
    <d v="2018-10-16T21:21:41"/>
    <x v="0"/>
    <x v="4"/>
    <s v="NF7616"/>
    <n v="2998"/>
    <x v="0"/>
    <n v="2018"/>
    <x v="2"/>
    <x v="1"/>
    <x v="0"/>
    <x v="1"/>
  </r>
  <r>
    <d v="2018-10-31T01:07:14"/>
    <d v="2018-10-12T00:00:00"/>
    <d v="2018-10-31T01:07:14"/>
    <x v="0"/>
    <x v="4"/>
    <s v="NF3536"/>
    <n v="4287"/>
    <x v="0"/>
    <n v="2018"/>
    <x v="2"/>
    <x v="1"/>
    <x v="0"/>
    <x v="1"/>
  </r>
  <r>
    <d v="2019-02-11T18:08:36"/>
    <d v="2018-10-14T00:00:00"/>
    <d v="2018-11-24T03:33:56"/>
    <x v="0"/>
    <x v="3"/>
    <s v="NF9376"/>
    <n v="2015"/>
    <x v="5"/>
    <n v="2019"/>
    <x v="2"/>
    <x v="1"/>
    <x v="2"/>
    <x v="1"/>
  </r>
  <r>
    <d v="2018-12-15T05:05:06"/>
    <d v="2018-10-20T00:00:00"/>
    <d v="2018-12-15T05:05:06"/>
    <x v="0"/>
    <x v="3"/>
    <s v="NF1222"/>
    <n v="3369"/>
    <x v="6"/>
    <n v="2018"/>
    <x v="2"/>
    <x v="1"/>
    <x v="3"/>
    <x v="1"/>
  </r>
  <r>
    <d v="2018-10-31T19:28:19"/>
    <d v="2018-10-21T00:00:00"/>
    <d v="2018-10-31T19:28:19"/>
    <x v="0"/>
    <x v="1"/>
    <s v="NF3914"/>
    <n v="4851"/>
    <x v="0"/>
    <n v="2018"/>
    <x v="2"/>
    <x v="1"/>
    <x v="0"/>
    <x v="1"/>
  </r>
  <r>
    <d v="2018-12-22T00:45:32"/>
    <d v="2018-10-25T00:00:00"/>
    <d v="2018-12-15T00:19:24"/>
    <x v="0"/>
    <x v="1"/>
    <s v="NF7447"/>
    <n v="2178"/>
    <x v="6"/>
    <n v="2018"/>
    <x v="2"/>
    <x v="1"/>
    <x v="3"/>
    <x v="1"/>
  </r>
  <r>
    <d v="2018-11-20T01:29:21"/>
    <d v="2018-10-27T00:00:00"/>
    <d v="2018-11-20T01:29:21"/>
    <x v="0"/>
    <x v="3"/>
    <s v="NF5088"/>
    <n v="4052"/>
    <x v="3"/>
    <n v="2018"/>
    <x v="2"/>
    <x v="1"/>
    <x v="2"/>
    <x v="1"/>
  </r>
  <r>
    <d v="2018-11-16T14:05:40"/>
    <d v="2018-10-30T00:00:00"/>
    <d v="2018-11-16T14:05:40"/>
    <x v="0"/>
    <x v="4"/>
    <s v="NF7858"/>
    <n v="2864"/>
    <x v="3"/>
    <n v="2018"/>
    <x v="2"/>
    <x v="1"/>
    <x v="2"/>
    <x v="1"/>
  </r>
  <r>
    <d v="2018-12-27T21:24:18"/>
    <d v="2018-11-01T00:00:00"/>
    <d v="2018-12-27T21:24:18"/>
    <x v="0"/>
    <x v="1"/>
    <s v="NF7692"/>
    <n v="2425"/>
    <x v="6"/>
    <n v="2018"/>
    <x v="3"/>
    <x v="1"/>
    <x v="3"/>
    <x v="1"/>
  </r>
  <r>
    <d v="2019-01-26T03:09:35"/>
    <d v="2018-11-03T00:00:00"/>
    <d v="2019-01-01T13:15:07"/>
    <x v="0"/>
    <x v="4"/>
    <s v="NF7390"/>
    <n v="1542"/>
    <x v="4"/>
    <n v="2019"/>
    <x v="3"/>
    <x v="1"/>
    <x v="4"/>
    <x v="2"/>
  </r>
  <r>
    <d v="2018-12-12T17:38:41"/>
    <d v="2018-11-08T00:00:00"/>
    <d v="2018-12-12T17:38:41"/>
    <x v="0"/>
    <x v="1"/>
    <s v="NF6262"/>
    <n v="1736"/>
    <x v="6"/>
    <n v="2018"/>
    <x v="3"/>
    <x v="1"/>
    <x v="3"/>
    <x v="1"/>
  </r>
  <r>
    <d v="2019-01-09T16:18:40"/>
    <d v="2018-11-11T00:00:00"/>
    <d v="2019-01-09T16:18:40"/>
    <x v="0"/>
    <x v="2"/>
    <s v="NF9573"/>
    <n v="1628"/>
    <x v="4"/>
    <n v="2019"/>
    <x v="3"/>
    <x v="1"/>
    <x v="4"/>
    <x v="2"/>
  </r>
  <r>
    <d v="2018-11-16T02:35:10"/>
    <d v="2018-11-13T00:00:00"/>
    <d v="2018-11-16T02:35:10"/>
    <x v="0"/>
    <x v="1"/>
    <s v="NF8087"/>
    <n v="3853"/>
    <x v="3"/>
    <n v="2018"/>
    <x v="3"/>
    <x v="1"/>
    <x v="2"/>
    <x v="1"/>
  </r>
  <r>
    <d v="2018-12-17T04:53:47"/>
    <d v="2018-11-17T00:00:00"/>
    <d v="2018-12-17T04:53:47"/>
    <x v="0"/>
    <x v="2"/>
    <s v="NF5909"/>
    <n v="883"/>
    <x v="6"/>
    <n v="2018"/>
    <x v="3"/>
    <x v="1"/>
    <x v="3"/>
    <x v="1"/>
  </r>
  <r>
    <d v="2018-12-07T18:17:32"/>
    <d v="2018-11-17T00:00:00"/>
    <d v="2018-12-07T18:17:32"/>
    <x v="0"/>
    <x v="1"/>
    <s v="NF4172"/>
    <n v="976"/>
    <x v="6"/>
    <n v="2018"/>
    <x v="3"/>
    <x v="1"/>
    <x v="3"/>
    <x v="1"/>
  </r>
  <r>
    <d v="2018-12-31T22:37:03"/>
    <d v="2018-11-20T00:00:00"/>
    <d v="2018-12-31T22:37:03"/>
    <x v="0"/>
    <x v="2"/>
    <s v="NF8957"/>
    <n v="2663"/>
    <x v="6"/>
    <n v="2018"/>
    <x v="3"/>
    <x v="1"/>
    <x v="3"/>
    <x v="1"/>
  </r>
  <r>
    <d v="2018-11-26T22:53:14"/>
    <d v="2018-11-26T00:00:00"/>
    <d v="2018-11-26T22:53:14"/>
    <x v="0"/>
    <x v="1"/>
    <s v="NF2981"/>
    <n v="4888"/>
    <x v="3"/>
    <n v="2018"/>
    <x v="3"/>
    <x v="1"/>
    <x v="2"/>
    <x v="1"/>
  </r>
  <r>
    <d v="2019-02-21T18:19:59"/>
    <d v="2018-11-29T00:00:00"/>
    <d v="2019-01-13T19:18:14"/>
    <x v="0"/>
    <x v="2"/>
    <s v="NF5104"/>
    <n v="2030"/>
    <x v="5"/>
    <n v="2019"/>
    <x v="3"/>
    <x v="1"/>
    <x v="4"/>
    <x v="2"/>
  </r>
  <r>
    <s v=""/>
    <d v="2018-12-02T00:00:00"/>
    <d v="2019-01-20T19:42:08"/>
    <x v="0"/>
    <x v="1"/>
    <s v="NF3942"/>
    <n v="2117"/>
    <x v="2"/>
    <n v="0"/>
    <x v="4"/>
    <x v="1"/>
    <x v="4"/>
    <x v="2"/>
  </r>
  <r>
    <d v="2019-04-21T08:25:53"/>
    <d v="2018-12-04T00:00:00"/>
    <d v="2019-01-29T18:00:06"/>
    <x v="0"/>
    <x v="1"/>
    <s v="NF6376"/>
    <n v="1236"/>
    <x v="9"/>
    <n v="2019"/>
    <x v="4"/>
    <x v="1"/>
    <x v="4"/>
    <x v="2"/>
  </r>
  <r>
    <d v="2018-12-31T17:55:32"/>
    <d v="2018-12-09T00:00:00"/>
    <d v="2018-12-31T17:55:32"/>
    <x v="0"/>
    <x v="1"/>
    <s v="NF7518"/>
    <n v="426"/>
    <x v="6"/>
    <n v="2018"/>
    <x v="4"/>
    <x v="1"/>
    <x v="3"/>
    <x v="1"/>
  </r>
  <r>
    <d v="2018-12-31T02:34:29"/>
    <d v="2018-12-10T00:00:00"/>
    <d v="2018-12-24T03:51:14"/>
    <x v="0"/>
    <x v="4"/>
    <s v="NF5359"/>
    <n v="3956"/>
    <x v="6"/>
    <n v="2018"/>
    <x v="4"/>
    <x v="1"/>
    <x v="3"/>
    <x v="1"/>
  </r>
  <r>
    <s v=""/>
    <d v="2018-12-14T00:00:00"/>
    <d v="2019-01-15T17:55:39"/>
    <x v="0"/>
    <x v="1"/>
    <s v="NF5153"/>
    <n v="3042"/>
    <x v="2"/>
    <n v="0"/>
    <x v="4"/>
    <x v="1"/>
    <x v="4"/>
    <x v="2"/>
  </r>
  <r>
    <d v="2019-02-10T06:21:01"/>
    <d v="2018-12-15T00:00:00"/>
    <d v="2019-01-24T08:03:45"/>
    <x v="0"/>
    <x v="1"/>
    <s v="NF3127"/>
    <n v="1434"/>
    <x v="5"/>
    <n v="2019"/>
    <x v="4"/>
    <x v="1"/>
    <x v="4"/>
    <x v="2"/>
  </r>
  <r>
    <d v="2019-01-22T04:31:20"/>
    <d v="2018-12-18T00:00:00"/>
    <d v="2019-01-22T04:31:20"/>
    <x v="0"/>
    <x v="0"/>
    <s v="NF7641"/>
    <n v="1782"/>
    <x v="4"/>
    <n v="2019"/>
    <x v="4"/>
    <x v="1"/>
    <x v="4"/>
    <x v="2"/>
  </r>
  <r>
    <d v="2019-02-18T09:40:35"/>
    <d v="2018-12-25T00:00:00"/>
    <d v="2019-02-18T09:40:35"/>
    <x v="0"/>
    <x v="1"/>
    <s v="NF2758"/>
    <n v="365"/>
    <x v="5"/>
    <n v="2019"/>
    <x v="4"/>
    <x v="1"/>
    <x v="5"/>
    <x v="2"/>
  </r>
  <r>
    <d v="2019-01-26T16:18:05"/>
    <d v="2018-12-27T00:00:00"/>
    <d v="2019-01-26T16:18:05"/>
    <x v="0"/>
    <x v="1"/>
    <s v="NF9279"/>
    <n v="2757"/>
    <x v="4"/>
    <n v="2019"/>
    <x v="4"/>
    <x v="1"/>
    <x v="4"/>
    <x v="2"/>
  </r>
  <r>
    <d v="2019-02-19T04:57:57"/>
    <d v="2018-12-30T00:00:00"/>
    <d v="2019-02-19T04:57:57"/>
    <x v="0"/>
    <x v="0"/>
    <s v="NF2386"/>
    <n v="2112"/>
    <x v="5"/>
    <n v="2019"/>
    <x v="4"/>
    <x v="1"/>
    <x v="5"/>
    <x v="2"/>
  </r>
  <r>
    <d v="2019-04-18T04:58:30"/>
    <d v="2019-01-02T00:00:00"/>
    <d v="2019-01-18T13:55:07"/>
    <x v="0"/>
    <x v="0"/>
    <s v="NF6751"/>
    <n v="2190"/>
    <x v="9"/>
    <n v="2019"/>
    <x v="5"/>
    <x v="2"/>
    <x v="4"/>
    <x v="2"/>
  </r>
  <r>
    <d v="2019-01-20T15:24:57"/>
    <d v="2019-01-04T00:00:00"/>
    <d v="2019-01-20T15:24:57"/>
    <x v="0"/>
    <x v="1"/>
    <s v="NF9460"/>
    <n v="2998"/>
    <x v="4"/>
    <n v="2019"/>
    <x v="5"/>
    <x v="2"/>
    <x v="4"/>
    <x v="2"/>
  </r>
  <r>
    <d v="2019-02-05T00:47:03"/>
    <d v="2019-01-11T00:00:00"/>
    <d v="2019-02-05T00:47:03"/>
    <x v="0"/>
    <x v="1"/>
    <s v="NF5556"/>
    <n v="3808"/>
    <x v="5"/>
    <n v="2019"/>
    <x v="5"/>
    <x v="2"/>
    <x v="5"/>
    <x v="2"/>
  </r>
  <r>
    <d v="2019-01-30T11:29:38"/>
    <d v="2019-01-14T00:00:00"/>
    <d v="2019-01-30T11:29:38"/>
    <x v="0"/>
    <x v="1"/>
    <s v="NF4918"/>
    <n v="4928"/>
    <x v="4"/>
    <n v="2019"/>
    <x v="5"/>
    <x v="2"/>
    <x v="4"/>
    <x v="2"/>
  </r>
  <r>
    <d v="2019-03-12T00:36:53"/>
    <d v="2019-01-17T00:00:00"/>
    <d v="2019-03-12T00:36:53"/>
    <x v="0"/>
    <x v="0"/>
    <s v="NF1763"/>
    <n v="4179"/>
    <x v="7"/>
    <n v="2019"/>
    <x v="5"/>
    <x v="2"/>
    <x v="6"/>
    <x v="2"/>
  </r>
  <r>
    <d v="2019-02-03T23:50:40"/>
    <d v="2019-01-19T00:00:00"/>
    <d v="2019-02-03T23:50:40"/>
    <x v="0"/>
    <x v="4"/>
    <s v="NF2024"/>
    <n v="4896"/>
    <x v="5"/>
    <n v="2019"/>
    <x v="5"/>
    <x v="2"/>
    <x v="5"/>
    <x v="2"/>
  </r>
  <r>
    <d v="2019-02-02T03:08:46"/>
    <d v="2019-01-22T00:00:00"/>
    <d v="2019-02-02T03:08:46"/>
    <x v="0"/>
    <x v="0"/>
    <s v="NF8079"/>
    <n v="4092"/>
    <x v="5"/>
    <n v="2019"/>
    <x v="5"/>
    <x v="2"/>
    <x v="5"/>
    <x v="2"/>
  </r>
  <r>
    <d v="2019-01-31T22:24:29"/>
    <d v="2019-01-27T00:00:00"/>
    <d v="2019-01-31T22:24:29"/>
    <x v="0"/>
    <x v="1"/>
    <s v="NF6383"/>
    <n v="2956"/>
    <x v="4"/>
    <n v="2019"/>
    <x v="5"/>
    <x v="2"/>
    <x v="4"/>
    <x v="2"/>
  </r>
  <r>
    <d v="2019-02-13T18:40:14"/>
    <d v="2019-01-31T00:00:00"/>
    <d v="2019-02-13T18:40:14"/>
    <x v="0"/>
    <x v="0"/>
    <s v="NF3919"/>
    <n v="533"/>
    <x v="5"/>
    <n v="2019"/>
    <x v="5"/>
    <x v="2"/>
    <x v="5"/>
    <x v="2"/>
  </r>
  <r>
    <d v="2019-02-24T17:32:07"/>
    <d v="2019-02-01T00:00:00"/>
    <d v="2019-02-24T17:32:07"/>
    <x v="0"/>
    <x v="2"/>
    <s v="NF1390"/>
    <n v="3519"/>
    <x v="5"/>
    <n v="2019"/>
    <x v="6"/>
    <x v="2"/>
    <x v="5"/>
    <x v="2"/>
  </r>
  <r>
    <d v="2019-03-24T18:54:41"/>
    <d v="2019-02-03T00:00:00"/>
    <d v="2019-03-24T18:54:41"/>
    <x v="0"/>
    <x v="4"/>
    <s v="NF2500"/>
    <n v="757"/>
    <x v="7"/>
    <n v="2019"/>
    <x v="6"/>
    <x v="2"/>
    <x v="6"/>
    <x v="2"/>
  </r>
  <r>
    <d v="2019-03-28T05:56:28"/>
    <d v="2019-02-07T00:00:00"/>
    <d v="2019-03-28T05:56:28"/>
    <x v="0"/>
    <x v="1"/>
    <s v="NF2427"/>
    <n v="2688"/>
    <x v="7"/>
    <n v="2019"/>
    <x v="6"/>
    <x v="2"/>
    <x v="6"/>
    <x v="2"/>
  </r>
  <r>
    <d v="2019-03-30T10:37:26"/>
    <d v="2019-02-09T00:00:00"/>
    <d v="2019-03-30T10:37:26"/>
    <x v="0"/>
    <x v="3"/>
    <s v="NF4680"/>
    <n v="340"/>
    <x v="7"/>
    <n v="2019"/>
    <x v="6"/>
    <x v="2"/>
    <x v="6"/>
    <x v="2"/>
  </r>
  <r>
    <d v="2019-02-12T14:13:18"/>
    <d v="2019-02-10T00:00:00"/>
    <d v="2019-02-12T14:13:18"/>
    <x v="0"/>
    <x v="3"/>
    <s v="NF7019"/>
    <n v="4204"/>
    <x v="5"/>
    <n v="2019"/>
    <x v="6"/>
    <x v="2"/>
    <x v="5"/>
    <x v="2"/>
  </r>
  <r>
    <d v="2019-03-31T06:50:37"/>
    <d v="2019-02-12T00:00:00"/>
    <d v="2019-03-31T06:50:37"/>
    <x v="0"/>
    <x v="2"/>
    <s v="NF4961"/>
    <n v="3695"/>
    <x v="7"/>
    <n v="2019"/>
    <x v="6"/>
    <x v="2"/>
    <x v="6"/>
    <x v="2"/>
  </r>
  <r>
    <d v="2019-06-03T21:03:17"/>
    <d v="2019-02-21T00:00:00"/>
    <d v="2019-03-24T00:09:11"/>
    <x v="0"/>
    <x v="0"/>
    <s v="NF4608"/>
    <n v="4148"/>
    <x v="11"/>
    <n v="2019"/>
    <x v="6"/>
    <x v="2"/>
    <x v="6"/>
    <x v="2"/>
  </r>
  <r>
    <d v="2019-04-11T11:34:45"/>
    <d v="2019-02-25T00:00:00"/>
    <d v="2019-03-29T22:04:56"/>
    <x v="0"/>
    <x v="1"/>
    <s v="NF1913"/>
    <n v="4303"/>
    <x v="9"/>
    <n v="2019"/>
    <x v="6"/>
    <x v="2"/>
    <x v="6"/>
    <x v="2"/>
  </r>
  <r>
    <d v="2019-03-07T17:42:59"/>
    <d v="2019-02-27T00:00:00"/>
    <d v="2019-03-07T17:42:59"/>
    <x v="0"/>
    <x v="3"/>
    <s v="NF5844"/>
    <n v="2674"/>
    <x v="7"/>
    <n v="2019"/>
    <x v="6"/>
    <x v="2"/>
    <x v="6"/>
    <x v="2"/>
  </r>
  <r>
    <d v="2019-04-14T20:03:15"/>
    <d v="2019-03-02T00:00:00"/>
    <d v="2019-04-14T20:03:15"/>
    <x v="0"/>
    <x v="4"/>
    <s v="NF7813"/>
    <n v="1720"/>
    <x v="9"/>
    <n v="2019"/>
    <x v="7"/>
    <x v="2"/>
    <x v="7"/>
    <x v="2"/>
  </r>
  <r>
    <d v="2019-04-12T18:11:29"/>
    <d v="2019-03-06T00:00:00"/>
    <d v="2019-04-12T18:11:29"/>
    <x v="0"/>
    <x v="4"/>
    <s v="NF6780"/>
    <n v="1854"/>
    <x v="9"/>
    <n v="2019"/>
    <x v="7"/>
    <x v="2"/>
    <x v="7"/>
    <x v="2"/>
  </r>
  <r>
    <d v="2019-03-11T01:54:11"/>
    <d v="2019-03-08T00:00:00"/>
    <d v="2019-03-11T01:54:11"/>
    <x v="0"/>
    <x v="1"/>
    <s v="NF9599"/>
    <n v="2568"/>
    <x v="7"/>
    <n v="2019"/>
    <x v="7"/>
    <x v="2"/>
    <x v="6"/>
    <x v="2"/>
  </r>
  <r>
    <d v="2019-04-17T14:18:26"/>
    <d v="2019-03-08T00:00:00"/>
    <d v="2019-04-17T14:18:26"/>
    <x v="0"/>
    <x v="1"/>
    <s v="NF8659"/>
    <n v="3690"/>
    <x v="9"/>
    <n v="2019"/>
    <x v="7"/>
    <x v="2"/>
    <x v="7"/>
    <x v="2"/>
  </r>
  <r>
    <d v="2019-06-05T12:21:59"/>
    <d v="2019-03-10T00:00:00"/>
    <d v="2019-04-15T12:56:12"/>
    <x v="0"/>
    <x v="0"/>
    <s v="NF4652"/>
    <n v="3746"/>
    <x v="11"/>
    <n v="2019"/>
    <x v="7"/>
    <x v="2"/>
    <x v="7"/>
    <x v="2"/>
  </r>
  <r>
    <d v="2019-04-16T17:46:42"/>
    <d v="2019-03-12T00:00:00"/>
    <d v="2019-04-16T17:46:42"/>
    <x v="0"/>
    <x v="4"/>
    <s v="NF3068"/>
    <n v="4360"/>
    <x v="9"/>
    <n v="2019"/>
    <x v="7"/>
    <x v="2"/>
    <x v="7"/>
    <x v="2"/>
  </r>
  <r>
    <s v=""/>
    <d v="2019-03-13T00:00:00"/>
    <d v="2019-04-21T09:02:46"/>
    <x v="0"/>
    <x v="0"/>
    <s v="NF7141"/>
    <n v="1753"/>
    <x v="2"/>
    <n v="0"/>
    <x v="7"/>
    <x v="2"/>
    <x v="7"/>
    <x v="2"/>
  </r>
  <r>
    <d v="2019-03-19T15:46:35"/>
    <d v="2019-03-16T00:00:00"/>
    <d v="2019-03-19T15:46:35"/>
    <x v="0"/>
    <x v="4"/>
    <s v="NF3366"/>
    <n v="1421"/>
    <x v="7"/>
    <n v="2019"/>
    <x v="7"/>
    <x v="2"/>
    <x v="6"/>
    <x v="2"/>
  </r>
  <r>
    <d v="2019-04-11T07:59:33"/>
    <d v="2019-03-19T00:00:00"/>
    <d v="2019-04-11T07:59:33"/>
    <x v="0"/>
    <x v="0"/>
    <s v="NF8853"/>
    <n v="3565"/>
    <x v="9"/>
    <n v="2019"/>
    <x v="7"/>
    <x v="2"/>
    <x v="7"/>
    <x v="2"/>
  </r>
  <r>
    <d v="2019-07-17T09:11:04"/>
    <d v="2019-03-22T00:00:00"/>
    <d v="2019-05-01T11:33:58"/>
    <x v="0"/>
    <x v="1"/>
    <s v="NF7681"/>
    <n v="1961"/>
    <x v="10"/>
    <n v="2019"/>
    <x v="7"/>
    <x v="2"/>
    <x v="8"/>
    <x v="2"/>
  </r>
  <r>
    <d v="2019-04-15T02:20:04"/>
    <d v="2019-03-27T00:00:00"/>
    <d v="2019-04-02T02:00:21"/>
    <x v="0"/>
    <x v="3"/>
    <s v="NF1441"/>
    <n v="4854"/>
    <x v="9"/>
    <n v="2019"/>
    <x v="7"/>
    <x v="2"/>
    <x v="7"/>
    <x v="2"/>
  </r>
  <r>
    <d v="2019-04-23T17:40:18"/>
    <d v="2019-04-02T00:00:00"/>
    <d v="2019-04-23T17:40:18"/>
    <x v="0"/>
    <x v="4"/>
    <s v="NF9964"/>
    <n v="3453"/>
    <x v="9"/>
    <n v="2019"/>
    <x v="8"/>
    <x v="2"/>
    <x v="7"/>
    <x v="2"/>
  </r>
  <r>
    <d v="2019-04-20T02:38:51"/>
    <d v="2019-04-03T00:00:00"/>
    <d v="2019-04-05T19:38:36"/>
    <x v="0"/>
    <x v="1"/>
    <s v="NF9101"/>
    <n v="3341"/>
    <x v="9"/>
    <n v="2019"/>
    <x v="8"/>
    <x v="2"/>
    <x v="7"/>
    <x v="2"/>
  </r>
  <r>
    <d v="2019-05-20T20:46:13"/>
    <d v="2019-04-06T00:00:00"/>
    <d v="2019-05-20T20:46:13"/>
    <x v="0"/>
    <x v="3"/>
    <s v="NF3185"/>
    <n v="2707"/>
    <x v="8"/>
    <n v="2019"/>
    <x v="8"/>
    <x v="2"/>
    <x v="8"/>
    <x v="2"/>
  </r>
  <r>
    <d v="2019-05-18T16:24:37"/>
    <d v="2019-04-08T00:00:00"/>
    <d v="2019-05-18T16:24:37"/>
    <x v="0"/>
    <x v="1"/>
    <s v="NF2836"/>
    <n v="1582"/>
    <x v="8"/>
    <n v="2019"/>
    <x v="8"/>
    <x v="2"/>
    <x v="8"/>
    <x v="2"/>
  </r>
  <r>
    <d v="2019-05-14T12:12:29"/>
    <d v="2019-04-10T00:00:00"/>
    <d v="2019-05-14T12:12:29"/>
    <x v="0"/>
    <x v="1"/>
    <s v="NF7779"/>
    <n v="3889"/>
    <x v="8"/>
    <n v="2019"/>
    <x v="8"/>
    <x v="2"/>
    <x v="8"/>
    <x v="2"/>
  </r>
  <r>
    <d v="2019-04-29T13:39:41"/>
    <d v="2019-04-14T00:00:00"/>
    <d v="2019-04-29T13:39:41"/>
    <x v="0"/>
    <x v="1"/>
    <s v="NF5919"/>
    <n v="2303"/>
    <x v="9"/>
    <n v="2019"/>
    <x v="8"/>
    <x v="2"/>
    <x v="7"/>
    <x v="2"/>
  </r>
  <r>
    <d v="2019-05-19T15:44:01"/>
    <d v="2019-04-17T00:00:00"/>
    <d v="2019-05-19T15:44:01"/>
    <x v="0"/>
    <x v="2"/>
    <s v="NF1620"/>
    <n v="802"/>
    <x v="8"/>
    <n v="2019"/>
    <x v="8"/>
    <x v="2"/>
    <x v="8"/>
    <x v="2"/>
  </r>
  <r>
    <d v="2019-05-04T05:35:47"/>
    <d v="2019-04-19T00:00:00"/>
    <d v="2019-05-04T05:35:47"/>
    <x v="0"/>
    <x v="1"/>
    <s v="NF3801"/>
    <n v="4513"/>
    <x v="8"/>
    <n v="2019"/>
    <x v="8"/>
    <x v="2"/>
    <x v="8"/>
    <x v="2"/>
  </r>
  <r>
    <d v="2019-05-01T20:46:57"/>
    <d v="2019-04-21T00:00:00"/>
    <d v="2019-05-01T20:46:57"/>
    <x v="0"/>
    <x v="1"/>
    <s v="NF8086"/>
    <n v="3908"/>
    <x v="8"/>
    <n v="2019"/>
    <x v="8"/>
    <x v="2"/>
    <x v="8"/>
    <x v="2"/>
  </r>
  <r>
    <d v="2019-06-25T21:22:36"/>
    <d v="2019-04-25T00:00:00"/>
    <d v="2019-06-19T00:39:03"/>
    <x v="0"/>
    <x v="1"/>
    <s v="NF4964"/>
    <n v="156"/>
    <x v="11"/>
    <n v="2019"/>
    <x v="8"/>
    <x v="2"/>
    <x v="9"/>
    <x v="2"/>
  </r>
  <r>
    <d v="2019-06-06T02:43:25"/>
    <d v="2019-04-27T00:00:00"/>
    <d v="2019-06-06T02:43:25"/>
    <x v="0"/>
    <x v="2"/>
    <s v="NF6112"/>
    <n v="457"/>
    <x v="11"/>
    <n v="2019"/>
    <x v="8"/>
    <x v="2"/>
    <x v="9"/>
    <x v="2"/>
  </r>
  <r>
    <d v="2019-06-08T00:38:19"/>
    <d v="2019-05-03T00:00:00"/>
    <d v="2019-06-08T00:38:19"/>
    <x v="0"/>
    <x v="1"/>
    <s v="NF2333"/>
    <n v="3536"/>
    <x v="11"/>
    <n v="2019"/>
    <x v="9"/>
    <x v="2"/>
    <x v="9"/>
    <x v="2"/>
  </r>
  <r>
    <d v="2019-05-10T16:48:12"/>
    <d v="2019-05-05T00:00:00"/>
    <d v="2019-05-10T16:48:12"/>
    <x v="0"/>
    <x v="1"/>
    <s v="NF7121"/>
    <n v="1809"/>
    <x v="8"/>
    <n v="2019"/>
    <x v="9"/>
    <x v="2"/>
    <x v="8"/>
    <x v="2"/>
  </r>
  <r>
    <d v="2019-05-28T17:06:40"/>
    <d v="2019-05-06T00:00:00"/>
    <d v="2019-05-28T17:06:40"/>
    <x v="0"/>
    <x v="2"/>
    <s v="NF8208"/>
    <n v="4172"/>
    <x v="8"/>
    <n v="2019"/>
    <x v="9"/>
    <x v="2"/>
    <x v="8"/>
    <x v="2"/>
  </r>
  <r>
    <d v="2019-06-07T11:58:12"/>
    <d v="2019-05-07T00:00:00"/>
    <d v="2019-06-07T11:58:12"/>
    <x v="0"/>
    <x v="2"/>
    <s v="NF1320"/>
    <n v="3827"/>
    <x v="11"/>
    <n v="2019"/>
    <x v="9"/>
    <x v="2"/>
    <x v="9"/>
    <x v="2"/>
  </r>
  <r>
    <d v="2019-09-24T08:30:28"/>
    <d v="2019-05-09T00:00:00"/>
    <d v="2019-06-29T04:30:50"/>
    <x v="0"/>
    <x v="2"/>
    <s v="NF9162"/>
    <n v="1700"/>
    <x v="1"/>
    <n v="2019"/>
    <x v="9"/>
    <x v="2"/>
    <x v="9"/>
    <x v="2"/>
  </r>
  <r>
    <d v="2019-05-29T18:19:47"/>
    <d v="2019-05-10T00:00:00"/>
    <d v="2019-05-29T18:19:47"/>
    <x v="0"/>
    <x v="2"/>
    <s v="NF1497"/>
    <n v="2090"/>
    <x v="8"/>
    <n v="2019"/>
    <x v="9"/>
    <x v="2"/>
    <x v="8"/>
    <x v="2"/>
  </r>
  <r>
    <d v="2019-05-17T03:13:40"/>
    <d v="2019-05-13T00:00:00"/>
    <d v="2019-05-17T03:13:40"/>
    <x v="0"/>
    <x v="0"/>
    <s v="NF8398"/>
    <n v="3230"/>
    <x v="8"/>
    <n v="2019"/>
    <x v="9"/>
    <x v="2"/>
    <x v="8"/>
    <x v="2"/>
  </r>
  <r>
    <d v="2019-06-02T22:38:24"/>
    <d v="2019-05-16T00:00:00"/>
    <d v="2019-06-02T22:38:24"/>
    <x v="0"/>
    <x v="1"/>
    <s v="NF1274"/>
    <n v="4030"/>
    <x v="11"/>
    <n v="2019"/>
    <x v="9"/>
    <x v="2"/>
    <x v="9"/>
    <x v="2"/>
  </r>
  <r>
    <d v="2019-08-26T21:29:55"/>
    <d v="2019-05-19T00:00:00"/>
    <d v="2019-05-30T23:16:35"/>
    <x v="0"/>
    <x v="0"/>
    <s v="NF1599"/>
    <n v="1367"/>
    <x v="12"/>
    <n v="2019"/>
    <x v="9"/>
    <x v="2"/>
    <x v="8"/>
    <x v="2"/>
  </r>
  <r>
    <d v="2019-06-10T05:29:09"/>
    <d v="2019-05-22T00:00:00"/>
    <d v="2019-06-10T05:29:09"/>
    <x v="0"/>
    <x v="1"/>
    <s v="NF6880"/>
    <n v="3945"/>
    <x v="11"/>
    <n v="2019"/>
    <x v="9"/>
    <x v="2"/>
    <x v="9"/>
    <x v="2"/>
  </r>
  <r>
    <d v="2019-06-27T18:32:22"/>
    <d v="2019-05-25T00:00:00"/>
    <d v="2019-06-25T17:46:27"/>
    <x v="0"/>
    <x v="4"/>
    <s v="NF3246"/>
    <n v="4518"/>
    <x v="11"/>
    <n v="2019"/>
    <x v="9"/>
    <x v="2"/>
    <x v="9"/>
    <x v="2"/>
  </r>
  <r>
    <d v="2019-07-27T22:26:22"/>
    <d v="2019-05-29T00:00:00"/>
    <d v="2019-06-29T12:11:45"/>
    <x v="0"/>
    <x v="1"/>
    <s v="NF4547"/>
    <n v="3086"/>
    <x v="10"/>
    <n v="2019"/>
    <x v="9"/>
    <x v="2"/>
    <x v="9"/>
    <x v="2"/>
  </r>
  <r>
    <d v="2019-06-12T23:15:53"/>
    <d v="2019-06-03T00:00:00"/>
    <d v="2019-06-12T23:15:53"/>
    <x v="0"/>
    <x v="2"/>
    <s v="NF5900"/>
    <n v="297"/>
    <x v="11"/>
    <n v="2019"/>
    <x v="10"/>
    <x v="2"/>
    <x v="9"/>
    <x v="2"/>
  </r>
  <r>
    <d v="2019-06-23T04:37:25"/>
    <d v="2019-06-07T00:00:00"/>
    <d v="2019-06-23T04:37:25"/>
    <x v="0"/>
    <x v="0"/>
    <s v="NF2566"/>
    <n v="3226"/>
    <x v="11"/>
    <n v="2019"/>
    <x v="10"/>
    <x v="2"/>
    <x v="9"/>
    <x v="2"/>
  </r>
  <r>
    <s v=""/>
    <d v="2019-06-09T00:00:00"/>
    <d v="2019-07-26T16:06:04"/>
    <x v="0"/>
    <x v="1"/>
    <s v="NF1823"/>
    <n v="2338"/>
    <x v="2"/>
    <n v="0"/>
    <x v="10"/>
    <x v="2"/>
    <x v="10"/>
    <x v="2"/>
  </r>
  <r>
    <d v="2019-10-03T12:11:49"/>
    <d v="2019-06-16T00:00:00"/>
    <d v="2019-07-18T15:53:56"/>
    <x v="0"/>
    <x v="0"/>
    <s v="NF9109"/>
    <n v="3773"/>
    <x v="0"/>
    <n v="2019"/>
    <x v="10"/>
    <x v="2"/>
    <x v="10"/>
    <x v="2"/>
  </r>
  <r>
    <s v=""/>
    <d v="2019-06-19T00:00:00"/>
    <d v="2019-08-09T02:03:08"/>
    <x v="0"/>
    <x v="0"/>
    <s v="NF4812"/>
    <n v="2759"/>
    <x v="2"/>
    <n v="0"/>
    <x v="10"/>
    <x v="2"/>
    <x v="11"/>
    <x v="2"/>
  </r>
  <r>
    <d v="2019-08-05T12:28:50"/>
    <d v="2019-06-21T00:00:00"/>
    <d v="2019-08-05T12:28:50"/>
    <x v="0"/>
    <x v="0"/>
    <s v="NF9082"/>
    <n v="1425"/>
    <x v="12"/>
    <n v="2019"/>
    <x v="10"/>
    <x v="2"/>
    <x v="11"/>
    <x v="2"/>
  </r>
  <r>
    <d v="2019-08-20T22:17:49"/>
    <d v="2019-06-23T00:00:00"/>
    <d v="2019-08-20T22:17:49"/>
    <x v="0"/>
    <x v="0"/>
    <s v="NF3611"/>
    <n v="332"/>
    <x v="12"/>
    <n v="2019"/>
    <x v="10"/>
    <x v="2"/>
    <x v="11"/>
    <x v="2"/>
  </r>
  <r>
    <d v="2019-07-07T04:41:45"/>
    <d v="2019-06-30T00:00:00"/>
    <d v="2019-07-07T04:41:45"/>
    <x v="0"/>
    <x v="1"/>
    <s v="NF4931"/>
    <n v="2819"/>
    <x v="10"/>
    <n v="2019"/>
    <x v="10"/>
    <x v="2"/>
    <x v="10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1">
  <r>
    <d v="2017-09-16T08:38:45"/>
    <d v="2017-08-10T00:00:00"/>
    <d v="2017-08-25T17:31:36"/>
    <x v="0"/>
    <x v="0"/>
    <s v="NF7238"/>
    <n v="1133"/>
    <x v="0"/>
    <n v="2017"/>
    <x v="0"/>
    <x v="0"/>
    <x v="0"/>
    <x v="0"/>
    <x v="0"/>
    <s v="À Prazo"/>
    <n v="21.629960533435224"/>
  </r>
  <r>
    <d v="2017-09-07T22:06:21"/>
    <d v="2017-08-13T00:00:00"/>
    <d v="2017-09-07T01:57:59"/>
    <x v="0"/>
    <x v="1"/>
    <s v="NF9147"/>
    <n v="164"/>
    <x v="0"/>
    <n v="2017"/>
    <x v="0"/>
    <x v="0"/>
    <x v="1"/>
    <x v="0"/>
    <x v="0"/>
    <s v="À Prazo"/>
    <n v="0.83914482299587689"/>
  </r>
  <r>
    <d v="2017-09-29T11:56:27"/>
    <d v="2017-08-17T00:00:00"/>
    <d v="2017-09-23T02:03:29"/>
    <x v="0"/>
    <x v="1"/>
    <s v="NF8005"/>
    <n v="2937"/>
    <x v="0"/>
    <n v="2017"/>
    <x v="0"/>
    <x v="0"/>
    <x v="1"/>
    <x v="0"/>
    <x v="0"/>
    <s v="À Prazo"/>
    <n v="6.4117765990304179"/>
  </r>
  <r>
    <d v="2017-10-12T22:20:38"/>
    <d v="2017-08-22T00:00:00"/>
    <d v="2017-10-12T22:20:38"/>
    <x v="0"/>
    <x v="2"/>
    <s v="NF5493"/>
    <n v="807"/>
    <x v="1"/>
    <n v="2017"/>
    <x v="0"/>
    <x v="0"/>
    <x v="2"/>
    <x v="0"/>
    <x v="0"/>
    <s v="À Prazo"/>
    <n v="0"/>
  </r>
  <r>
    <d v="2017-10-06T11:45:39"/>
    <d v="2017-08-25T00:00:00"/>
    <d v="2017-10-06T11:45:39"/>
    <x v="0"/>
    <x v="0"/>
    <s v="NF7946"/>
    <n v="2612"/>
    <x v="1"/>
    <n v="2017"/>
    <x v="0"/>
    <x v="0"/>
    <x v="2"/>
    <x v="0"/>
    <x v="0"/>
    <s v="À Prazo"/>
    <n v="0"/>
  </r>
  <r>
    <d v="2017-11-15T18:06:38"/>
    <d v="2017-08-27T00:00:00"/>
    <d v="2017-10-22T14:20:12"/>
    <x v="0"/>
    <x v="1"/>
    <s v="NF8598"/>
    <n v="2483"/>
    <x v="2"/>
    <n v="2017"/>
    <x v="0"/>
    <x v="0"/>
    <x v="2"/>
    <x v="0"/>
    <x v="0"/>
    <s v="À Prazo"/>
    <n v="24.157237394952972"/>
  </r>
  <r>
    <d v="2017-12-18T04:50:00"/>
    <d v="2017-09-01T00:00:00"/>
    <d v="2017-10-01T19:16:35"/>
    <x v="0"/>
    <x v="0"/>
    <s v="NF1535"/>
    <n v="4387"/>
    <x v="3"/>
    <n v="2017"/>
    <x v="1"/>
    <x v="0"/>
    <x v="2"/>
    <x v="0"/>
    <x v="0"/>
    <s v="À Prazo"/>
    <n v="77.398206108322483"/>
  </r>
  <r>
    <d v="2017-09-26T16:31:18"/>
    <d v="2017-09-02T00:00:00"/>
    <d v="2017-09-26T16:31:18"/>
    <x v="0"/>
    <x v="1"/>
    <s v="NF4333"/>
    <n v="4268"/>
    <x v="0"/>
    <n v="2017"/>
    <x v="1"/>
    <x v="0"/>
    <x v="1"/>
    <x v="0"/>
    <x v="0"/>
    <s v="À Prazo"/>
    <n v="0"/>
  </r>
  <r>
    <d v="2017-10-07T23:30:48"/>
    <d v="2017-09-06T00:00:00"/>
    <d v="2017-10-07T23:30:48"/>
    <x v="0"/>
    <x v="1"/>
    <s v="NF8091"/>
    <n v="3761"/>
    <x v="1"/>
    <n v="2017"/>
    <x v="1"/>
    <x v="0"/>
    <x v="2"/>
    <x v="0"/>
    <x v="0"/>
    <s v="À Prazo"/>
    <n v="0"/>
  </r>
  <r>
    <s v=""/>
    <d v="2017-09-10T00:00:00"/>
    <d v="2017-10-05T22:54:12"/>
    <x v="0"/>
    <x v="1"/>
    <s v="NF2421"/>
    <n v="4983"/>
    <x v="4"/>
    <n v="0"/>
    <x v="1"/>
    <x v="0"/>
    <x v="2"/>
    <x v="0"/>
    <x v="1"/>
    <s v="À Prazo"/>
    <n v="2200.0456953517423"/>
  </r>
  <r>
    <d v="2017-09-19T13:14:44"/>
    <d v="2017-09-12T00:00:00"/>
    <d v="2017-09-19T13:14:44"/>
    <x v="0"/>
    <x v="3"/>
    <s v="NF9787"/>
    <n v="2502"/>
    <x v="0"/>
    <n v="2017"/>
    <x v="1"/>
    <x v="0"/>
    <x v="1"/>
    <x v="0"/>
    <x v="0"/>
    <s v="À Prazo"/>
    <n v="0"/>
  </r>
  <r>
    <d v="2017-09-26T15:55:15"/>
    <d v="2017-09-16T00:00:00"/>
    <d v="2017-09-24T20:33:31"/>
    <x v="0"/>
    <x v="1"/>
    <s v="NF8674"/>
    <n v="2337"/>
    <x v="0"/>
    <n v="2017"/>
    <x v="1"/>
    <x v="0"/>
    <x v="1"/>
    <x v="0"/>
    <x v="0"/>
    <s v="À Prazo"/>
    <n v="1.8067655116465176"/>
  </r>
  <r>
    <d v="2017-10-02T23:42:15"/>
    <d v="2017-09-23T00:00:00"/>
    <d v="2017-09-23T00:00:00"/>
    <x v="0"/>
    <x v="4"/>
    <s v="NF5880"/>
    <n v="3125"/>
    <x v="1"/>
    <n v="2017"/>
    <x v="1"/>
    <x v="0"/>
    <x v="1"/>
    <x v="0"/>
    <x v="0"/>
    <s v="À Vista"/>
    <n v="9.9876745606816257"/>
  </r>
  <r>
    <d v="2017-11-17T15:04:34"/>
    <d v="2017-09-26T00:00:00"/>
    <d v="2017-11-17T15:04:34"/>
    <x v="0"/>
    <x v="1"/>
    <s v="NF2763"/>
    <n v="1201"/>
    <x v="2"/>
    <n v="2017"/>
    <x v="1"/>
    <x v="0"/>
    <x v="3"/>
    <x v="0"/>
    <x v="0"/>
    <s v="À Prazo"/>
    <n v="0"/>
  </r>
  <r>
    <d v="2017-10-25T03:26:20"/>
    <d v="2017-09-27T00:00:00"/>
    <d v="2017-10-10T19:13:07"/>
    <x v="0"/>
    <x v="0"/>
    <s v="NF3303"/>
    <n v="4380"/>
    <x v="1"/>
    <n v="2017"/>
    <x v="1"/>
    <x v="0"/>
    <x v="2"/>
    <x v="0"/>
    <x v="0"/>
    <s v="À Prazo"/>
    <n v="14.342515323827683"/>
  </r>
  <r>
    <d v="2017-10-11T13:55:20"/>
    <d v="2017-09-30T00:00:00"/>
    <d v="2017-10-11T13:55:20"/>
    <x v="0"/>
    <x v="4"/>
    <s v="NF3966"/>
    <n v="919"/>
    <x v="1"/>
    <n v="2017"/>
    <x v="1"/>
    <x v="0"/>
    <x v="2"/>
    <x v="0"/>
    <x v="0"/>
    <s v="À Prazo"/>
    <n v="0"/>
  </r>
  <r>
    <d v="2017-10-17T23:52:55"/>
    <d v="2017-10-04T00:00:00"/>
    <d v="2017-10-17T23:52:55"/>
    <x v="0"/>
    <x v="2"/>
    <s v="NF6107"/>
    <n v="4590"/>
    <x v="1"/>
    <n v="2017"/>
    <x v="2"/>
    <x v="0"/>
    <x v="2"/>
    <x v="0"/>
    <x v="0"/>
    <s v="À Prazo"/>
    <n v="0"/>
  </r>
  <r>
    <d v="2017-11-13T10:54:19"/>
    <d v="2017-10-07T00:00:00"/>
    <d v="2017-11-13T10:54:19"/>
    <x v="0"/>
    <x v="3"/>
    <s v="NF4832"/>
    <n v="1958"/>
    <x v="2"/>
    <n v="2017"/>
    <x v="2"/>
    <x v="0"/>
    <x v="3"/>
    <x v="0"/>
    <x v="0"/>
    <s v="À Prazo"/>
    <n v="0"/>
  </r>
  <r>
    <s v=""/>
    <d v="2017-10-09T00:00:00"/>
    <d v="2017-11-04T07:09:50"/>
    <x v="0"/>
    <x v="0"/>
    <s v="NF5012"/>
    <n v="1171"/>
    <x v="4"/>
    <n v="0"/>
    <x v="2"/>
    <x v="0"/>
    <x v="3"/>
    <x v="0"/>
    <x v="1"/>
    <s v="À Prazo"/>
    <n v="2170.7015022281194"/>
  </r>
  <r>
    <d v="2018-02-03T23:03:18"/>
    <d v="2017-10-11T00:00:00"/>
    <d v="2017-11-21T21:49:29"/>
    <x v="0"/>
    <x v="1"/>
    <s v="NF7669"/>
    <n v="2587"/>
    <x v="5"/>
    <n v="2018"/>
    <x v="2"/>
    <x v="0"/>
    <x v="3"/>
    <x v="0"/>
    <x v="0"/>
    <s v="À Prazo"/>
    <n v="74.051262530912936"/>
  </r>
  <r>
    <d v="2017-11-06T02:31:43"/>
    <d v="2017-10-15T00:00:00"/>
    <d v="2017-11-06T02:31:43"/>
    <x v="0"/>
    <x v="1"/>
    <s v="NF7663"/>
    <n v="3425"/>
    <x v="2"/>
    <n v="2017"/>
    <x v="2"/>
    <x v="0"/>
    <x v="3"/>
    <x v="0"/>
    <x v="0"/>
    <s v="À Prazo"/>
    <n v="0"/>
  </r>
  <r>
    <d v="2017-11-18T18:36:55"/>
    <d v="2017-10-18T00:00:00"/>
    <d v="2017-11-18T18:36:55"/>
    <x v="0"/>
    <x v="2"/>
    <s v="NF4063"/>
    <n v="4454"/>
    <x v="2"/>
    <n v="2017"/>
    <x v="2"/>
    <x v="0"/>
    <x v="3"/>
    <x v="0"/>
    <x v="0"/>
    <s v="À Prazo"/>
    <n v="0"/>
  </r>
  <r>
    <d v="2017-10-29T10:53:35"/>
    <d v="2017-10-22T00:00:00"/>
    <d v="2017-10-29T10:53:35"/>
    <x v="0"/>
    <x v="0"/>
    <s v="NF4290"/>
    <n v="2134"/>
    <x v="1"/>
    <n v="2017"/>
    <x v="2"/>
    <x v="0"/>
    <x v="2"/>
    <x v="0"/>
    <x v="0"/>
    <s v="À Prazo"/>
    <n v="0"/>
  </r>
  <r>
    <d v="2017-12-17T10:22:36"/>
    <d v="2017-10-24T00:00:00"/>
    <d v="2017-11-19T14:21:29"/>
    <x v="0"/>
    <x v="3"/>
    <s v="NF7319"/>
    <n v="257"/>
    <x v="3"/>
    <n v="2017"/>
    <x v="2"/>
    <x v="0"/>
    <x v="3"/>
    <x v="0"/>
    <x v="0"/>
    <s v="À Prazo"/>
    <n v="27.834107878690702"/>
  </r>
  <r>
    <d v="2017-11-29T02:08:45"/>
    <d v="2017-10-24T00:00:00"/>
    <d v="2017-11-29T02:08:45"/>
    <x v="0"/>
    <x v="4"/>
    <s v="NF7020"/>
    <n v="2019"/>
    <x v="2"/>
    <n v="2017"/>
    <x v="2"/>
    <x v="0"/>
    <x v="3"/>
    <x v="0"/>
    <x v="0"/>
    <s v="À Prazo"/>
    <n v="0"/>
  </r>
  <r>
    <d v="2017-12-22T17:30:02"/>
    <d v="2017-10-26T00:00:00"/>
    <d v="2017-12-22T17:30:02"/>
    <x v="0"/>
    <x v="1"/>
    <s v="NF7221"/>
    <n v="3696"/>
    <x v="3"/>
    <n v="2017"/>
    <x v="2"/>
    <x v="0"/>
    <x v="4"/>
    <x v="0"/>
    <x v="0"/>
    <s v="À Prazo"/>
    <n v="0"/>
  </r>
  <r>
    <d v="2017-11-13T11:03:59"/>
    <d v="2017-10-30T00:00:00"/>
    <d v="2017-11-13T11:03:59"/>
    <x v="0"/>
    <x v="4"/>
    <s v="NF5004"/>
    <n v="4446"/>
    <x v="2"/>
    <n v="2017"/>
    <x v="2"/>
    <x v="0"/>
    <x v="3"/>
    <x v="0"/>
    <x v="0"/>
    <s v="À Prazo"/>
    <n v="0"/>
  </r>
  <r>
    <d v="2017-11-18T14:20:32"/>
    <d v="2017-11-01T00:00:00"/>
    <d v="2017-11-18T14:20:32"/>
    <x v="0"/>
    <x v="4"/>
    <s v="NF8690"/>
    <n v="1445"/>
    <x v="2"/>
    <n v="2017"/>
    <x v="3"/>
    <x v="0"/>
    <x v="3"/>
    <x v="0"/>
    <x v="0"/>
    <s v="À Prazo"/>
    <n v="0"/>
  </r>
  <r>
    <d v="2017-12-13T11:46:54"/>
    <d v="2017-11-04T00:00:00"/>
    <d v="2017-11-29T13:59:41"/>
    <x v="0"/>
    <x v="0"/>
    <s v="NF3424"/>
    <n v="3559"/>
    <x v="3"/>
    <n v="2017"/>
    <x v="3"/>
    <x v="0"/>
    <x v="3"/>
    <x v="0"/>
    <x v="0"/>
    <s v="À Prazo"/>
    <n v="13.907789642427815"/>
  </r>
  <r>
    <d v="2017-12-04T00:54:45"/>
    <d v="2017-11-08T00:00:00"/>
    <d v="2017-11-14T16:52:19"/>
    <x v="0"/>
    <x v="1"/>
    <s v="NF5808"/>
    <n v="547"/>
    <x v="3"/>
    <n v="2017"/>
    <x v="3"/>
    <x v="0"/>
    <x v="3"/>
    <x v="0"/>
    <x v="0"/>
    <s v="À Prazo"/>
    <n v="19.335033537448908"/>
  </r>
  <r>
    <d v="2017-12-21T12:23:56"/>
    <d v="2017-11-12T00:00:00"/>
    <d v="2017-12-21T12:23:56"/>
    <x v="0"/>
    <x v="1"/>
    <s v="NF2852"/>
    <n v="1221"/>
    <x v="3"/>
    <n v="2017"/>
    <x v="3"/>
    <x v="0"/>
    <x v="4"/>
    <x v="0"/>
    <x v="0"/>
    <s v="À Prazo"/>
    <n v="0"/>
  </r>
  <r>
    <d v="2018-01-30T19:34:41"/>
    <d v="2017-11-14T00:00:00"/>
    <d v="2018-01-01T15:18:48"/>
    <x v="0"/>
    <x v="4"/>
    <s v="NF2347"/>
    <n v="4108"/>
    <x v="6"/>
    <n v="2018"/>
    <x v="3"/>
    <x v="0"/>
    <x v="5"/>
    <x v="1"/>
    <x v="0"/>
    <s v="À Prazo"/>
    <n v="29.177695463818964"/>
  </r>
  <r>
    <d v="2017-12-12T05:58:37"/>
    <d v="2017-11-16T00:00:00"/>
    <d v="2017-12-12T05:58:37"/>
    <x v="0"/>
    <x v="1"/>
    <s v="NF7848"/>
    <n v="3714"/>
    <x v="3"/>
    <n v="2017"/>
    <x v="3"/>
    <x v="0"/>
    <x v="4"/>
    <x v="0"/>
    <x v="0"/>
    <s v="À Prazo"/>
    <n v="0"/>
  </r>
  <r>
    <d v="2018-01-01T09:02:08"/>
    <d v="2017-11-18T00:00:00"/>
    <d v="2018-01-01T09:02:08"/>
    <x v="0"/>
    <x v="3"/>
    <s v="NF4449"/>
    <n v="4843"/>
    <x v="6"/>
    <n v="2018"/>
    <x v="3"/>
    <x v="0"/>
    <x v="5"/>
    <x v="1"/>
    <x v="0"/>
    <s v="À Prazo"/>
    <n v="0"/>
  </r>
  <r>
    <d v="2018-02-20T06:05:43"/>
    <d v="2017-11-19T00:00:00"/>
    <d v="2017-12-21T15:01:36"/>
    <x v="0"/>
    <x v="2"/>
    <s v="NF7540"/>
    <n v="4831"/>
    <x v="5"/>
    <n v="2018"/>
    <x v="3"/>
    <x v="0"/>
    <x v="4"/>
    <x v="0"/>
    <x v="0"/>
    <s v="À Prazo"/>
    <n v="60.627856561965018"/>
  </r>
  <r>
    <d v="2018-03-29T01:55:16"/>
    <d v="2017-11-20T00:00:00"/>
    <d v="2018-01-05T22:36:33"/>
    <x v="0"/>
    <x v="1"/>
    <s v="NF7741"/>
    <n v="2072"/>
    <x v="7"/>
    <n v="2018"/>
    <x v="3"/>
    <x v="0"/>
    <x v="5"/>
    <x v="1"/>
    <x v="0"/>
    <s v="À Prazo"/>
    <n v="82.138006197841605"/>
  </r>
  <r>
    <d v="2018-01-22T15:22:36"/>
    <d v="2017-11-24T00:00:00"/>
    <d v="2018-01-22T15:22:36"/>
    <x v="0"/>
    <x v="0"/>
    <s v="NF6190"/>
    <n v="3992"/>
    <x v="6"/>
    <n v="2018"/>
    <x v="3"/>
    <x v="0"/>
    <x v="5"/>
    <x v="1"/>
    <x v="0"/>
    <s v="À Prazo"/>
    <n v="0"/>
  </r>
  <r>
    <s v=""/>
    <d v="2017-11-29T00:00:00"/>
    <d v="2018-01-26T12:01:24"/>
    <x v="0"/>
    <x v="3"/>
    <s v="NF4129"/>
    <n v="1284"/>
    <x v="4"/>
    <n v="0"/>
    <x v="3"/>
    <x v="0"/>
    <x v="5"/>
    <x v="1"/>
    <x v="1"/>
    <s v="À Prazo"/>
    <n v="2087.499030156956"/>
  </r>
  <r>
    <d v="2018-01-21T02:17:00"/>
    <d v="2017-12-04T00:00:00"/>
    <d v="2018-01-21T02:17:00"/>
    <x v="0"/>
    <x v="0"/>
    <s v="NF6811"/>
    <n v="4073"/>
    <x v="6"/>
    <n v="2018"/>
    <x v="4"/>
    <x v="0"/>
    <x v="5"/>
    <x v="1"/>
    <x v="0"/>
    <s v="À Prazo"/>
    <n v="0"/>
  </r>
  <r>
    <d v="2017-12-15T22:54:22"/>
    <d v="2017-12-04T00:00:00"/>
    <d v="2017-12-15T22:54:22"/>
    <x v="0"/>
    <x v="3"/>
    <s v="NF1550"/>
    <n v="3008"/>
    <x v="3"/>
    <n v="2017"/>
    <x v="4"/>
    <x v="0"/>
    <x v="4"/>
    <x v="0"/>
    <x v="0"/>
    <s v="À Prazo"/>
    <n v="0"/>
  </r>
  <r>
    <d v="2018-01-31T13:32:16"/>
    <d v="2017-12-11T00:00:00"/>
    <d v="2018-01-31T13:32:16"/>
    <x v="0"/>
    <x v="3"/>
    <s v="NF7213"/>
    <n v="1267"/>
    <x v="6"/>
    <n v="2018"/>
    <x v="4"/>
    <x v="0"/>
    <x v="5"/>
    <x v="1"/>
    <x v="0"/>
    <s v="À Prazo"/>
    <n v="0"/>
  </r>
  <r>
    <d v="2018-01-03T00:39:23"/>
    <d v="2017-12-13T00:00:00"/>
    <d v="2018-01-03T00:39:23"/>
    <x v="0"/>
    <x v="3"/>
    <s v="NF8396"/>
    <n v="284"/>
    <x v="6"/>
    <n v="2018"/>
    <x v="4"/>
    <x v="0"/>
    <x v="5"/>
    <x v="1"/>
    <x v="0"/>
    <s v="À Prazo"/>
    <n v="0"/>
  </r>
  <r>
    <d v="2017-12-17T18:42:03"/>
    <d v="2017-12-14T00:00:00"/>
    <d v="2017-12-17T18:42:03"/>
    <x v="0"/>
    <x v="1"/>
    <s v="NF2432"/>
    <n v="2046"/>
    <x v="3"/>
    <n v="2017"/>
    <x v="4"/>
    <x v="0"/>
    <x v="4"/>
    <x v="0"/>
    <x v="0"/>
    <s v="À Prazo"/>
    <n v="0"/>
  </r>
  <r>
    <d v="2018-02-04T09:13:28"/>
    <d v="2017-12-16T00:00:00"/>
    <d v="2018-01-22T18:55:36"/>
    <x v="0"/>
    <x v="0"/>
    <s v="NF4722"/>
    <n v="3880"/>
    <x v="5"/>
    <n v="2018"/>
    <x v="4"/>
    <x v="0"/>
    <x v="5"/>
    <x v="1"/>
    <x v="0"/>
    <s v="À Prazo"/>
    <n v="12.595738367628655"/>
  </r>
  <r>
    <d v="2018-01-23T01:19:12"/>
    <d v="2017-12-17T00:00:00"/>
    <d v="2018-01-23T01:19:12"/>
    <x v="0"/>
    <x v="0"/>
    <s v="NF8944"/>
    <n v="3149"/>
    <x v="6"/>
    <n v="2018"/>
    <x v="4"/>
    <x v="0"/>
    <x v="5"/>
    <x v="1"/>
    <x v="0"/>
    <s v="À Prazo"/>
    <n v="0"/>
  </r>
  <r>
    <d v="2018-01-25T11:04:56"/>
    <d v="2017-12-19T00:00:00"/>
    <d v="2018-01-25T11:04:56"/>
    <x v="0"/>
    <x v="1"/>
    <s v="NF2816"/>
    <n v="668"/>
    <x v="6"/>
    <n v="2018"/>
    <x v="4"/>
    <x v="0"/>
    <x v="5"/>
    <x v="1"/>
    <x v="0"/>
    <s v="À Prazo"/>
    <n v="0"/>
  </r>
  <r>
    <d v="2018-01-17T06:21:52"/>
    <d v="2017-12-20T00:00:00"/>
    <d v="2018-01-17T06:21:52"/>
    <x v="0"/>
    <x v="2"/>
    <s v="NF6358"/>
    <n v="3721"/>
    <x v="6"/>
    <n v="2018"/>
    <x v="4"/>
    <x v="0"/>
    <x v="5"/>
    <x v="1"/>
    <x v="0"/>
    <s v="À Prazo"/>
    <n v="0"/>
  </r>
  <r>
    <d v="2018-05-02T19:49:33"/>
    <d v="2017-12-22T00:00:00"/>
    <d v="2018-02-02T19:42:39"/>
    <x v="0"/>
    <x v="0"/>
    <s v="NF8459"/>
    <n v="3114"/>
    <x v="8"/>
    <n v="2018"/>
    <x v="4"/>
    <x v="0"/>
    <x v="6"/>
    <x v="1"/>
    <x v="0"/>
    <s v="À Prazo"/>
    <n v="89.004790255254193"/>
  </r>
  <r>
    <d v="2018-03-12T12:37:55"/>
    <d v="2017-12-26T00:00:00"/>
    <d v="2017-12-26T00:00:00"/>
    <x v="0"/>
    <x v="1"/>
    <s v="NF5737"/>
    <n v="1436"/>
    <x v="7"/>
    <n v="2018"/>
    <x v="4"/>
    <x v="0"/>
    <x v="4"/>
    <x v="0"/>
    <x v="0"/>
    <s v="À Vista"/>
    <n v="76.526334246678744"/>
  </r>
  <r>
    <d v="2018-01-01T16:21:35"/>
    <d v="2017-12-30T00:00:00"/>
    <d v="2018-01-01T16:21:35"/>
    <x v="0"/>
    <x v="1"/>
    <s v="NF8895"/>
    <n v="3192"/>
    <x v="6"/>
    <n v="2018"/>
    <x v="4"/>
    <x v="0"/>
    <x v="5"/>
    <x v="1"/>
    <x v="0"/>
    <s v="À Prazo"/>
    <n v="0"/>
  </r>
  <r>
    <d v="2018-02-13T01:41:49"/>
    <d v="2017-12-31T00:00:00"/>
    <d v="2018-02-13T01:41:49"/>
    <x v="0"/>
    <x v="2"/>
    <s v="NF2196"/>
    <n v="2687"/>
    <x v="5"/>
    <n v="2018"/>
    <x v="4"/>
    <x v="0"/>
    <x v="6"/>
    <x v="1"/>
    <x v="0"/>
    <s v="À Prazo"/>
    <n v="0"/>
  </r>
  <r>
    <d v="2018-02-28T18:26:30"/>
    <d v="2018-01-03T00:00:00"/>
    <d v="2018-02-28T18:26:30"/>
    <x v="0"/>
    <x v="1"/>
    <s v="NF1631"/>
    <n v="1561"/>
    <x v="5"/>
    <n v="2018"/>
    <x v="5"/>
    <x v="1"/>
    <x v="6"/>
    <x v="1"/>
    <x v="0"/>
    <s v="À Prazo"/>
    <n v="0"/>
  </r>
  <r>
    <d v="2018-01-13T12:51:39"/>
    <d v="2018-01-09T00:00:00"/>
    <d v="2018-01-13T12:51:39"/>
    <x v="0"/>
    <x v="1"/>
    <s v="NF9340"/>
    <n v="1573"/>
    <x v="6"/>
    <n v="2018"/>
    <x v="5"/>
    <x v="1"/>
    <x v="5"/>
    <x v="1"/>
    <x v="0"/>
    <s v="À Prazo"/>
    <n v="0"/>
  </r>
  <r>
    <d v="2018-02-16T15:16:57"/>
    <d v="2018-01-17T00:00:00"/>
    <d v="2018-02-16T15:16:57"/>
    <x v="0"/>
    <x v="1"/>
    <s v="NF6851"/>
    <n v="1364"/>
    <x v="5"/>
    <n v="2018"/>
    <x v="5"/>
    <x v="1"/>
    <x v="6"/>
    <x v="1"/>
    <x v="0"/>
    <s v="À Prazo"/>
    <n v="0"/>
  </r>
  <r>
    <d v="2018-03-07T12:09:07"/>
    <d v="2018-01-21T00:00:00"/>
    <d v="2018-03-07T12:09:07"/>
    <x v="0"/>
    <x v="2"/>
    <s v="NF3336"/>
    <n v="783"/>
    <x v="7"/>
    <n v="2018"/>
    <x v="5"/>
    <x v="1"/>
    <x v="7"/>
    <x v="1"/>
    <x v="0"/>
    <s v="À Prazo"/>
    <n v="0"/>
  </r>
  <r>
    <d v="2018-03-05T09:39:00"/>
    <d v="2018-01-22T00:00:00"/>
    <d v="2018-02-14T22:19:33"/>
    <x v="0"/>
    <x v="2"/>
    <s v="NF7526"/>
    <n v="3928"/>
    <x v="7"/>
    <n v="2018"/>
    <x v="5"/>
    <x v="1"/>
    <x v="6"/>
    <x v="1"/>
    <x v="0"/>
    <s v="À Prazo"/>
    <n v="18.471830915259488"/>
  </r>
  <r>
    <d v="2018-02-11T17:07:34"/>
    <d v="2018-01-24T00:00:00"/>
    <d v="2018-02-11T17:07:34"/>
    <x v="0"/>
    <x v="0"/>
    <s v="NF3023"/>
    <n v="3843"/>
    <x v="5"/>
    <n v="2018"/>
    <x v="5"/>
    <x v="1"/>
    <x v="6"/>
    <x v="1"/>
    <x v="0"/>
    <s v="À Prazo"/>
    <n v="0"/>
  </r>
  <r>
    <d v="2018-03-24T12:23:25"/>
    <d v="2018-01-25T00:00:00"/>
    <d v="2018-01-29T09:00:26"/>
    <x v="0"/>
    <x v="3"/>
    <s v="NF7934"/>
    <n v="1864"/>
    <x v="7"/>
    <n v="2018"/>
    <x v="5"/>
    <x v="1"/>
    <x v="5"/>
    <x v="1"/>
    <x v="0"/>
    <s v="À Prazo"/>
    <n v="54.140953804882884"/>
  </r>
  <r>
    <d v="2018-03-22T22:36:37"/>
    <d v="2018-01-28T00:00:00"/>
    <d v="2018-03-22T22:36:37"/>
    <x v="0"/>
    <x v="1"/>
    <s v="NF7720"/>
    <n v="1184"/>
    <x v="7"/>
    <n v="2018"/>
    <x v="5"/>
    <x v="1"/>
    <x v="7"/>
    <x v="1"/>
    <x v="0"/>
    <s v="À Prazo"/>
    <n v="0"/>
  </r>
  <r>
    <d v="2018-03-02T05:27:45"/>
    <d v="2018-01-29T00:00:00"/>
    <d v="2018-03-02T05:27:45"/>
    <x v="0"/>
    <x v="1"/>
    <s v="NF2719"/>
    <n v="4055"/>
    <x v="7"/>
    <n v="2018"/>
    <x v="5"/>
    <x v="1"/>
    <x v="7"/>
    <x v="1"/>
    <x v="0"/>
    <s v="À Prazo"/>
    <n v="0"/>
  </r>
  <r>
    <d v="2018-03-19T07:50:59"/>
    <d v="2018-01-30T00:00:00"/>
    <d v="2018-03-19T07:50:59"/>
    <x v="0"/>
    <x v="1"/>
    <s v="NF3036"/>
    <n v="427"/>
    <x v="7"/>
    <n v="2018"/>
    <x v="5"/>
    <x v="1"/>
    <x v="7"/>
    <x v="1"/>
    <x v="0"/>
    <s v="À Prazo"/>
    <n v="0"/>
  </r>
  <r>
    <d v="2018-02-07T02:03:02"/>
    <d v="2018-02-02T00:00:00"/>
    <d v="2018-02-07T02:03:02"/>
    <x v="0"/>
    <x v="4"/>
    <s v="NF4604"/>
    <n v="460"/>
    <x v="5"/>
    <n v="2018"/>
    <x v="6"/>
    <x v="1"/>
    <x v="6"/>
    <x v="1"/>
    <x v="0"/>
    <s v="À Prazo"/>
    <n v="0"/>
  </r>
  <r>
    <d v="2018-03-31T04:13:26"/>
    <d v="2018-02-05T00:00:00"/>
    <d v="2018-03-31T04:13:26"/>
    <x v="0"/>
    <x v="2"/>
    <s v="NF2493"/>
    <n v="964"/>
    <x v="7"/>
    <n v="2018"/>
    <x v="6"/>
    <x v="1"/>
    <x v="7"/>
    <x v="1"/>
    <x v="0"/>
    <s v="À Prazo"/>
    <n v="0"/>
  </r>
  <r>
    <d v="2018-02-14T22:35:00"/>
    <d v="2018-02-09T00:00:00"/>
    <d v="2018-02-14T22:35:00"/>
    <x v="0"/>
    <x v="1"/>
    <s v="NF5788"/>
    <n v="3412"/>
    <x v="5"/>
    <n v="2018"/>
    <x v="6"/>
    <x v="1"/>
    <x v="6"/>
    <x v="1"/>
    <x v="0"/>
    <s v="À Prazo"/>
    <n v="0"/>
  </r>
  <r>
    <d v="2018-02-15T05:25:05"/>
    <d v="2018-02-11T00:00:00"/>
    <d v="2018-02-15T05:25:05"/>
    <x v="0"/>
    <x v="0"/>
    <s v="NF9580"/>
    <n v="3095"/>
    <x v="5"/>
    <n v="2018"/>
    <x v="6"/>
    <x v="1"/>
    <x v="6"/>
    <x v="1"/>
    <x v="0"/>
    <s v="À Prazo"/>
    <n v="0"/>
  </r>
  <r>
    <d v="2018-04-03T11:13:40"/>
    <d v="2018-02-17T00:00:00"/>
    <d v="2018-04-03T11:13:40"/>
    <x v="0"/>
    <x v="4"/>
    <s v="NF4061"/>
    <n v="1532"/>
    <x v="9"/>
    <n v="2018"/>
    <x v="6"/>
    <x v="1"/>
    <x v="8"/>
    <x v="1"/>
    <x v="0"/>
    <s v="À Prazo"/>
    <n v="0"/>
  </r>
  <r>
    <d v="2018-04-03T09:49:51"/>
    <d v="2018-02-20T00:00:00"/>
    <d v="2018-04-03T09:49:51"/>
    <x v="0"/>
    <x v="4"/>
    <s v="NF6503"/>
    <n v="3726"/>
    <x v="9"/>
    <n v="2018"/>
    <x v="6"/>
    <x v="1"/>
    <x v="8"/>
    <x v="1"/>
    <x v="0"/>
    <s v="À Prazo"/>
    <n v="0"/>
  </r>
  <r>
    <d v="2018-06-10T04:12:10"/>
    <d v="2018-02-23T00:00:00"/>
    <d v="2018-03-21T08:10:09"/>
    <x v="0"/>
    <x v="1"/>
    <s v="NF6701"/>
    <n v="4322"/>
    <x v="10"/>
    <n v="2018"/>
    <x v="6"/>
    <x v="1"/>
    <x v="7"/>
    <x v="1"/>
    <x v="0"/>
    <s v="À Prazo"/>
    <n v="80.834744152707572"/>
  </r>
  <r>
    <d v="2018-06-02T17:20:12"/>
    <d v="2018-02-25T00:00:00"/>
    <d v="2018-04-15T18:04:54"/>
    <x v="0"/>
    <x v="0"/>
    <s v="NF8891"/>
    <n v="3998"/>
    <x v="10"/>
    <n v="2018"/>
    <x v="6"/>
    <x v="1"/>
    <x v="8"/>
    <x v="1"/>
    <x v="0"/>
    <s v="À Prazo"/>
    <n v="47.968965847481741"/>
  </r>
  <r>
    <d v="2018-06-17T01:41:37"/>
    <d v="2018-02-27T00:00:00"/>
    <d v="2018-03-29T19:54:34"/>
    <x v="0"/>
    <x v="0"/>
    <s v="NF2640"/>
    <n v="3252"/>
    <x v="10"/>
    <n v="2018"/>
    <x v="6"/>
    <x v="1"/>
    <x v="7"/>
    <x v="1"/>
    <x v="0"/>
    <s v="À Prazo"/>
    <n v="79.240998561639572"/>
  </r>
  <r>
    <d v="2018-03-10T10:39:14"/>
    <d v="2018-03-01T00:00:00"/>
    <d v="2018-03-10T10:39:14"/>
    <x v="0"/>
    <x v="4"/>
    <s v="NF8852"/>
    <n v="3701"/>
    <x v="7"/>
    <n v="2018"/>
    <x v="7"/>
    <x v="1"/>
    <x v="7"/>
    <x v="1"/>
    <x v="0"/>
    <s v="À Prazo"/>
    <n v="0"/>
  </r>
  <r>
    <d v="2018-04-12T19:30:21"/>
    <d v="2018-03-03T00:00:00"/>
    <d v="2018-04-12T19:30:21"/>
    <x v="0"/>
    <x v="2"/>
    <s v="NF7869"/>
    <n v="1977"/>
    <x v="9"/>
    <n v="2018"/>
    <x v="7"/>
    <x v="1"/>
    <x v="8"/>
    <x v="1"/>
    <x v="0"/>
    <s v="À Prazo"/>
    <n v="0"/>
  </r>
  <r>
    <d v="2018-06-26T16:36:24"/>
    <d v="2018-03-04T00:00:00"/>
    <d v="2018-04-21T02:43:37"/>
    <x v="0"/>
    <x v="4"/>
    <s v="NF4994"/>
    <n v="1217"/>
    <x v="10"/>
    <n v="2018"/>
    <x v="7"/>
    <x v="1"/>
    <x v="8"/>
    <x v="1"/>
    <x v="0"/>
    <s v="À Prazo"/>
    <n v="66.578321043110918"/>
  </r>
  <r>
    <d v="2018-07-02T19:37:07"/>
    <d v="2018-03-07T00:00:00"/>
    <d v="2018-04-13T04:11:14"/>
    <x v="0"/>
    <x v="3"/>
    <s v="NF5720"/>
    <n v="1660"/>
    <x v="11"/>
    <n v="2018"/>
    <x v="7"/>
    <x v="1"/>
    <x v="8"/>
    <x v="1"/>
    <x v="0"/>
    <s v="À Prazo"/>
    <n v="80.642976425762754"/>
  </r>
  <r>
    <d v="2018-03-25T02:00:56"/>
    <d v="2018-03-10T00:00:00"/>
    <d v="2018-03-25T02:00:56"/>
    <x v="0"/>
    <x v="3"/>
    <s v="NF6393"/>
    <n v="837"/>
    <x v="7"/>
    <n v="2018"/>
    <x v="7"/>
    <x v="1"/>
    <x v="7"/>
    <x v="1"/>
    <x v="0"/>
    <s v="À Prazo"/>
    <n v="0"/>
  </r>
  <r>
    <d v="2018-04-10T03:31:44"/>
    <d v="2018-03-12T00:00:00"/>
    <d v="2018-04-10T03:31:44"/>
    <x v="0"/>
    <x v="1"/>
    <s v="NF9057"/>
    <n v="1838"/>
    <x v="9"/>
    <n v="2018"/>
    <x v="7"/>
    <x v="1"/>
    <x v="8"/>
    <x v="1"/>
    <x v="0"/>
    <s v="À Prazo"/>
    <n v="0"/>
  </r>
  <r>
    <d v="2018-04-17T19:38:15"/>
    <d v="2018-03-17T00:00:00"/>
    <d v="2018-04-17T19:38:15"/>
    <x v="0"/>
    <x v="2"/>
    <s v="NF7365"/>
    <n v="4471"/>
    <x v="9"/>
    <n v="2018"/>
    <x v="7"/>
    <x v="1"/>
    <x v="8"/>
    <x v="1"/>
    <x v="0"/>
    <s v="À Prazo"/>
    <n v="0"/>
  </r>
  <r>
    <d v="2018-05-14T10:59:29"/>
    <d v="2018-03-18T00:00:00"/>
    <d v="2018-05-14T10:59:29"/>
    <x v="0"/>
    <x v="1"/>
    <s v="NF4559"/>
    <n v="3540"/>
    <x v="8"/>
    <n v="2018"/>
    <x v="7"/>
    <x v="1"/>
    <x v="9"/>
    <x v="1"/>
    <x v="0"/>
    <s v="À Prazo"/>
    <n v="0"/>
  </r>
  <r>
    <d v="2018-04-30T19:43:46"/>
    <d v="2018-03-21T00:00:00"/>
    <d v="2018-04-30T19:43:46"/>
    <x v="0"/>
    <x v="1"/>
    <s v="NF7119"/>
    <n v="4606"/>
    <x v="9"/>
    <n v="2018"/>
    <x v="7"/>
    <x v="1"/>
    <x v="8"/>
    <x v="1"/>
    <x v="0"/>
    <s v="À Prazo"/>
    <n v="0"/>
  </r>
  <r>
    <s v=""/>
    <d v="2018-03-23T00:00:00"/>
    <d v="2018-04-09T01:30:48"/>
    <x v="0"/>
    <x v="0"/>
    <s v="NF2814"/>
    <n v="2388"/>
    <x v="4"/>
    <n v="0"/>
    <x v="7"/>
    <x v="1"/>
    <x v="8"/>
    <x v="1"/>
    <x v="1"/>
    <s v="À Prazo"/>
    <n v="2014.936940915708"/>
  </r>
  <r>
    <d v="2018-03-28T13:03:26"/>
    <d v="2018-03-25T00:00:00"/>
    <d v="2018-03-28T13:03:26"/>
    <x v="0"/>
    <x v="3"/>
    <s v="NF5963"/>
    <n v="2303"/>
    <x v="7"/>
    <n v="2018"/>
    <x v="7"/>
    <x v="1"/>
    <x v="7"/>
    <x v="1"/>
    <x v="0"/>
    <s v="À Prazo"/>
    <n v="0"/>
  </r>
  <r>
    <d v="2018-04-15T06:12:30"/>
    <d v="2018-03-28T00:00:00"/>
    <d v="2018-04-15T06:12:30"/>
    <x v="0"/>
    <x v="2"/>
    <s v="NF3293"/>
    <n v="1662"/>
    <x v="9"/>
    <n v="2018"/>
    <x v="7"/>
    <x v="1"/>
    <x v="8"/>
    <x v="1"/>
    <x v="0"/>
    <s v="À Prazo"/>
    <n v="0"/>
  </r>
  <r>
    <d v="2018-05-08T11:30:41"/>
    <d v="2018-03-30T00:00:00"/>
    <d v="2018-05-08T11:30:41"/>
    <x v="0"/>
    <x v="0"/>
    <s v="NF8254"/>
    <n v="3241"/>
    <x v="8"/>
    <n v="2018"/>
    <x v="7"/>
    <x v="1"/>
    <x v="9"/>
    <x v="1"/>
    <x v="0"/>
    <s v="À Prazo"/>
    <n v="0"/>
  </r>
  <r>
    <d v="2018-05-08T12:38:09"/>
    <d v="2018-03-31T00:00:00"/>
    <d v="2018-05-08T12:38:09"/>
    <x v="0"/>
    <x v="2"/>
    <s v="NF4303"/>
    <n v="4017"/>
    <x v="8"/>
    <n v="2018"/>
    <x v="7"/>
    <x v="1"/>
    <x v="9"/>
    <x v="1"/>
    <x v="0"/>
    <s v="À Prazo"/>
    <n v="0"/>
  </r>
  <r>
    <d v="2018-07-08T13:51:36"/>
    <d v="2018-04-03T00:00:00"/>
    <d v="2018-05-31T22:52:18"/>
    <x v="0"/>
    <x v="1"/>
    <s v="NF2605"/>
    <n v="3586"/>
    <x v="11"/>
    <n v="2018"/>
    <x v="8"/>
    <x v="1"/>
    <x v="9"/>
    <x v="1"/>
    <x v="0"/>
    <s v="À Prazo"/>
    <n v="37.624513578863116"/>
  </r>
  <r>
    <d v="2018-05-01T02:11:19"/>
    <d v="2018-04-06T00:00:00"/>
    <d v="2018-05-01T02:11:19"/>
    <x v="0"/>
    <x v="0"/>
    <s v="NF8043"/>
    <n v="4467"/>
    <x v="8"/>
    <n v="2018"/>
    <x v="8"/>
    <x v="1"/>
    <x v="9"/>
    <x v="1"/>
    <x v="0"/>
    <s v="À Prazo"/>
    <n v="0"/>
  </r>
  <r>
    <d v="2018-05-31T04:06:26"/>
    <d v="2018-04-09T00:00:00"/>
    <d v="2018-05-31T04:06:26"/>
    <x v="0"/>
    <x v="1"/>
    <s v="NF6697"/>
    <n v="4262"/>
    <x v="8"/>
    <n v="2018"/>
    <x v="8"/>
    <x v="1"/>
    <x v="9"/>
    <x v="1"/>
    <x v="0"/>
    <s v="À Prazo"/>
    <n v="0"/>
  </r>
  <r>
    <d v="2018-06-13T21:25:50"/>
    <d v="2018-04-11T00:00:00"/>
    <d v="2018-06-09T12:51:29"/>
    <x v="0"/>
    <x v="1"/>
    <s v="NF5208"/>
    <n v="2593"/>
    <x v="10"/>
    <n v="2018"/>
    <x v="8"/>
    <x v="1"/>
    <x v="10"/>
    <x v="1"/>
    <x v="0"/>
    <s v="À Prazo"/>
    <n v="4.3571862618555315"/>
  </r>
  <r>
    <d v="2018-05-04T20:26:07"/>
    <d v="2018-04-14T00:00:00"/>
    <d v="2018-05-04T20:26:07"/>
    <x v="0"/>
    <x v="1"/>
    <s v="NF2907"/>
    <n v="1885"/>
    <x v="8"/>
    <n v="2018"/>
    <x v="8"/>
    <x v="1"/>
    <x v="9"/>
    <x v="1"/>
    <x v="0"/>
    <s v="À Prazo"/>
    <n v="0"/>
  </r>
  <r>
    <s v=""/>
    <d v="2018-04-19T00:00:00"/>
    <d v="2018-06-15T08:09:46"/>
    <x v="0"/>
    <x v="1"/>
    <s v="NF9381"/>
    <n v="2224"/>
    <x v="4"/>
    <n v="0"/>
    <x v="8"/>
    <x v="1"/>
    <x v="10"/>
    <x v="1"/>
    <x v="1"/>
    <s v="À Prazo"/>
    <n v="1947.6598807308765"/>
  </r>
  <r>
    <d v="2018-07-21T12:24:59"/>
    <d v="2018-04-23T00:00:00"/>
    <d v="2018-05-14T02:06:20"/>
    <x v="0"/>
    <x v="1"/>
    <s v="NF3247"/>
    <n v="3223"/>
    <x v="11"/>
    <n v="2018"/>
    <x v="8"/>
    <x v="1"/>
    <x v="9"/>
    <x v="1"/>
    <x v="0"/>
    <s v="À Prazo"/>
    <n v="68.429620920804155"/>
  </r>
  <r>
    <d v="2018-07-18T22:23:37"/>
    <d v="2018-04-26T00:00:00"/>
    <d v="2018-06-14T00:22:09"/>
    <x v="0"/>
    <x v="4"/>
    <s v="NF4377"/>
    <n v="3446"/>
    <x v="11"/>
    <n v="2018"/>
    <x v="8"/>
    <x v="1"/>
    <x v="10"/>
    <x v="1"/>
    <x v="0"/>
    <s v="À Prazo"/>
    <n v="34.917685247739428"/>
  </r>
  <r>
    <d v="2018-06-14T13:34:23"/>
    <d v="2018-04-30T00:00:00"/>
    <d v="2018-06-14T13:34:23"/>
    <x v="0"/>
    <x v="1"/>
    <s v="NF2988"/>
    <n v="4540"/>
    <x v="10"/>
    <n v="2018"/>
    <x v="8"/>
    <x v="1"/>
    <x v="10"/>
    <x v="1"/>
    <x v="0"/>
    <s v="À Prazo"/>
    <n v="0"/>
  </r>
  <r>
    <d v="2018-08-18T15:26:28"/>
    <d v="2018-05-08T00:00:00"/>
    <d v="2018-07-02T22:06:22"/>
    <x v="0"/>
    <x v="2"/>
    <s v="NF4912"/>
    <n v="3862"/>
    <x v="12"/>
    <n v="2018"/>
    <x v="9"/>
    <x v="1"/>
    <x v="11"/>
    <x v="1"/>
    <x v="0"/>
    <s v="À Prazo"/>
    <n v="46.72229155828245"/>
  </r>
  <r>
    <d v="2018-06-28T09:08:40"/>
    <d v="2018-05-11T00:00:00"/>
    <d v="2018-06-28T09:08:40"/>
    <x v="0"/>
    <x v="4"/>
    <s v="NF7104"/>
    <n v="611"/>
    <x v="10"/>
    <n v="2018"/>
    <x v="9"/>
    <x v="1"/>
    <x v="10"/>
    <x v="1"/>
    <x v="0"/>
    <s v="À Prazo"/>
    <n v="0"/>
  </r>
  <r>
    <d v="2018-07-04T11:06:55"/>
    <d v="2018-05-13T00:00:00"/>
    <d v="2018-07-04T11:06:55"/>
    <x v="0"/>
    <x v="3"/>
    <s v="NF6700"/>
    <n v="1486"/>
    <x v="11"/>
    <n v="2018"/>
    <x v="9"/>
    <x v="1"/>
    <x v="11"/>
    <x v="1"/>
    <x v="0"/>
    <s v="À Prazo"/>
    <n v="0"/>
  </r>
  <r>
    <d v="2018-06-01T02:54:58"/>
    <d v="2018-05-21T00:00:00"/>
    <d v="2018-06-01T02:54:58"/>
    <x v="0"/>
    <x v="1"/>
    <s v="NF7947"/>
    <n v="4850"/>
    <x v="10"/>
    <n v="2018"/>
    <x v="9"/>
    <x v="1"/>
    <x v="10"/>
    <x v="1"/>
    <x v="0"/>
    <s v="À Prazo"/>
    <n v="0"/>
  </r>
  <r>
    <s v=""/>
    <d v="2018-05-24T00:00:00"/>
    <d v="2018-06-24T10:58:45"/>
    <x v="0"/>
    <x v="3"/>
    <s v="NF7741"/>
    <n v="3878"/>
    <x v="4"/>
    <n v="0"/>
    <x v="9"/>
    <x v="1"/>
    <x v="10"/>
    <x v="1"/>
    <x v="1"/>
    <s v="À Prazo"/>
    <n v="1938.5425368154756"/>
  </r>
  <r>
    <d v="2018-06-24T15:56:07"/>
    <d v="2018-05-29T00:00:00"/>
    <d v="2018-06-24T15:56:07"/>
    <x v="0"/>
    <x v="3"/>
    <s v="NF3255"/>
    <n v="976"/>
    <x v="10"/>
    <n v="2018"/>
    <x v="9"/>
    <x v="1"/>
    <x v="10"/>
    <x v="1"/>
    <x v="0"/>
    <s v="À Prazo"/>
    <n v="0"/>
  </r>
  <r>
    <d v="2018-06-14T09:49:26"/>
    <d v="2018-05-30T00:00:00"/>
    <d v="2018-06-14T09:49:26"/>
    <x v="0"/>
    <x v="2"/>
    <s v="NF7106"/>
    <n v="3346"/>
    <x v="10"/>
    <n v="2018"/>
    <x v="9"/>
    <x v="1"/>
    <x v="10"/>
    <x v="1"/>
    <x v="0"/>
    <s v="À Prazo"/>
    <n v="0"/>
  </r>
  <r>
    <d v="2018-08-01T18:40:48"/>
    <d v="2018-06-03T00:00:00"/>
    <d v="2018-08-01T18:40:48"/>
    <x v="0"/>
    <x v="4"/>
    <s v="NF1835"/>
    <n v="443"/>
    <x v="12"/>
    <n v="2018"/>
    <x v="10"/>
    <x v="1"/>
    <x v="0"/>
    <x v="1"/>
    <x v="0"/>
    <s v="À Prazo"/>
    <n v="0"/>
  </r>
  <r>
    <d v="2018-07-28T00:49:39"/>
    <d v="2018-06-04T00:00:00"/>
    <d v="2018-07-28T00:49:39"/>
    <x v="0"/>
    <x v="4"/>
    <s v="NF7322"/>
    <n v="2781"/>
    <x v="11"/>
    <n v="2018"/>
    <x v="10"/>
    <x v="1"/>
    <x v="11"/>
    <x v="1"/>
    <x v="0"/>
    <s v="À Prazo"/>
    <n v="0"/>
  </r>
  <r>
    <d v="2018-06-16T15:21:18"/>
    <d v="2018-06-05T00:00:00"/>
    <d v="2018-06-16T15:21:18"/>
    <x v="0"/>
    <x v="3"/>
    <s v="NF3899"/>
    <n v="1875"/>
    <x v="10"/>
    <n v="2018"/>
    <x v="10"/>
    <x v="1"/>
    <x v="10"/>
    <x v="1"/>
    <x v="0"/>
    <s v="À Prazo"/>
    <n v="0"/>
  </r>
  <r>
    <d v="2018-07-14T23:49:32"/>
    <d v="2018-06-08T00:00:00"/>
    <d v="2018-07-14T23:49:32"/>
    <x v="0"/>
    <x v="1"/>
    <s v="NF5496"/>
    <n v="3134"/>
    <x v="11"/>
    <n v="2018"/>
    <x v="10"/>
    <x v="1"/>
    <x v="11"/>
    <x v="1"/>
    <x v="0"/>
    <s v="À Prazo"/>
    <n v="0"/>
  </r>
  <r>
    <d v="2018-06-25T12:16:33"/>
    <d v="2018-06-10T00:00:00"/>
    <d v="2018-06-25T12:16:33"/>
    <x v="0"/>
    <x v="0"/>
    <s v="NF4824"/>
    <n v="2114"/>
    <x v="10"/>
    <n v="2018"/>
    <x v="10"/>
    <x v="1"/>
    <x v="10"/>
    <x v="1"/>
    <x v="0"/>
    <s v="À Prazo"/>
    <n v="0"/>
  </r>
  <r>
    <d v="2018-08-08T03:38:11"/>
    <d v="2018-06-13T00:00:00"/>
    <d v="2018-08-08T03:38:11"/>
    <x v="0"/>
    <x v="3"/>
    <s v="NF2022"/>
    <n v="4961"/>
    <x v="12"/>
    <n v="2018"/>
    <x v="10"/>
    <x v="1"/>
    <x v="0"/>
    <x v="1"/>
    <x v="0"/>
    <s v="À Prazo"/>
    <n v="0"/>
  </r>
  <r>
    <d v="2018-07-22T08:03:46"/>
    <d v="2018-06-14T00:00:00"/>
    <d v="2018-07-22T08:03:46"/>
    <x v="0"/>
    <x v="1"/>
    <s v="NF8075"/>
    <n v="909"/>
    <x v="11"/>
    <n v="2018"/>
    <x v="10"/>
    <x v="1"/>
    <x v="11"/>
    <x v="1"/>
    <x v="0"/>
    <s v="À Prazo"/>
    <n v="0"/>
  </r>
  <r>
    <d v="2018-07-12T09:15:11"/>
    <d v="2018-06-15T00:00:00"/>
    <d v="2018-07-12T09:15:11"/>
    <x v="0"/>
    <x v="1"/>
    <s v="NF1137"/>
    <n v="2197"/>
    <x v="11"/>
    <n v="2018"/>
    <x v="10"/>
    <x v="1"/>
    <x v="11"/>
    <x v="1"/>
    <x v="0"/>
    <s v="À Prazo"/>
    <n v="0"/>
  </r>
  <r>
    <d v="2018-09-04T18:49:58"/>
    <d v="2018-06-17T00:00:00"/>
    <d v="2018-07-29T06:14:28"/>
    <x v="0"/>
    <x v="2"/>
    <s v="NF3353"/>
    <n v="3045"/>
    <x v="0"/>
    <n v="2018"/>
    <x v="10"/>
    <x v="1"/>
    <x v="11"/>
    <x v="1"/>
    <x v="0"/>
    <s v="À Prazo"/>
    <n v="37.524648092243297"/>
  </r>
  <r>
    <d v="2018-08-16T03:25:23"/>
    <d v="2018-06-21T00:00:00"/>
    <d v="2018-07-28T09:26:34"/>
    <x v="0"/>
    <x v="2"/>
    <s v="NF5074"/>
    <n v="460"/>
    <x v="12"/>
    <n v="2018"/>
    <x v="10"/>
    <x v="1"/>
    <x v="11"/>
    <x v="1"/>
    <x v="0"/>
    <s v="À Prazo"/>
    <n v="18.749179615020694"/>
  </r>
  <r>
    <s v=""/>
    <d v="2018-06-24T00:00:00"/>
    <d v="2018-08-01T15:18:17"/>
    <x v="0"/>
    <x v="2"/>
    <s v="NF1725"/>
    <n v="770"/>
    <x v="4"/>
    <n v="0"/>
    <x v="10"/>
    <x v="1"/>
    <x v="0"/>
    <x v="1"/>
    <x v="1"/>
    <s v="À Prazo"/>
    <n v="1900.3623005746631"/>
  </r>
  <r>
    <d v="2018-08-09T01:35:18"/>
    <d v="2018-06-25T00:00:00"/>
    <d v="2018-08-05T17:42:47"/>
    <x v="0"/>
    <x v="1"/>
    <s v="NF5560"/>
    <n v="3646"/>
    <x v="12"/>
    <n v="2018"/>
    <x v="10"/>
    <x v="1"/>
    <x v="0"/>
    <x v="1"/>
    <x v="0"/>
    <s v="À Prazo"/>
    <n v="3.3281390661577461"/>
  </r>
  <r>
    <d v="2018-08-16T21:30:33"/>
    <d v="2018-06-29T00:00:00"/>
    <d v="2018-08-16T21:30:33"/>
    <x v="0"/>
    <x v="1"/>
    <s v="NF2674"/>
    <n v="2376"/>
    <x v="12"/>
    <n v="2018"/>
    <x v="10"/>
    <x v="1"/>
    <x v="0"/>
    <x v="1"/>
    <x v="0"/>
    <s v="À Prazo"/>
    <n v="0"/>
  </r>
  <r>
    <d v="2018-07-29T08:42:05"/>
    <d v="2018-07-03T00:00:00"/>
    <d v="2018-07-29T08:42:05"/>
    <x v="0"/>
    <x v="1"/>
    <s v="NF2175"/>
    <n v="3940"/>
    <x v="11"/>
    <n v="2018"/>
    <x v="11"/>
    <x v="1"/>
    <x v="11"/>
    <x v="1"/>
    <x v="0"/>
    <s v="À Prazo"/>
    <n v="0"/>
  </r>
  <r>
    <d v="2018-08-31T20:21:30"/>
    <d v="2018-07-04T00:00:00"/>
    <d v="2018-08-31T20:21:30"/>
    <x v="0"/>
    <x v="1"/>
    <s v="NF3338"/>
    <n v="1732"/>
    <x v="12"/>
    <n v="2018"/>
    <x v="11"/>
    <x v="1"/>
    <x v="0"/>
    <x v="1"/>
    <x v="0"/>
    <s v="À Prazo"/>
    <n v="0"/>
  </r>
  <r>
    <d v="2018-08-04T02:05:08"/>
    <d v="2018-07-05T00:00:00"/>
    <d v="2018-08-04T02:05:08"/>
    <x v="0"/>
    <x v="4"/>
    <s v="NF7689"/>
    <n v="1306"/>
    <x v="12"/>
    <n v="2018"/>
    <x v="11"/>
    <x v="1"/>
    <x v="0"/>
    <x v="1"/>
    <x v="0"/>
    <s v="À Prazo"/>
    <n v="0"/>
  </r>
  <r>
    <d v="2018-08-24T04:25:29"/>
    <d v="2018-07-07T00:00:00"/>
    <d v="2018-08-24T04:25:29"/>
    <x v="0"/>
    <x v="0"/>
    <s v="NF5938"/>
    <n v="3954"/>
    <x v="12"/>
    <n v="2018"/>
    <x v="11"/>
    <x v="1"/>
    <x v="0"/>
    <x v="1"/>
    <x v="0"/>
    <s v="À Prazo"/>
    <n v="0"/>
  </r>
  <r>
    <d v="2018-09-24T01:20:25"/>
    <d v="2018-07-11T00:00:00"/>
    <d v="2018-08-11T15:48:56"/>
    <x v="0"/>
    <x v="2"/>
    <s v="NF9391"/>
    <n v="4090"/>
    <x v="0"/>
    <n v="2018"/>
    <x v="11"/>
    <x v="1"/>
    <x v="0"/>
    <x v="1"/>
    <x v="0"/>
    <s v="À Prazo"/>
    <n v="43.396862951798539"/>
  </r>
  <r>
    <d v="2018-07-30T01:14:31"/>
    <d v="2018-07-12T00:00:00"/>
    <d v="2018-07-30T01:14:31"/>
    <x v="0"/>
    <x v="3"/>
    <s v="NF6298"/>
    <n v="2713"/>
    <x v="11"/>
    <n v="2018"/>
    <x v="11"/>
    <x v="1"/>
    <x v="11"/>
    <x v="1"/>
    <x v="0"/>
    <s v="À Prazo"/>
    <n v="0"/>
  </r>
  <r>
    <d v="2018-07-21T16:06:50"/>
    <d v="2018-07-16T00:00:00"/>
    <d v="2018-07-21T16:06:50"/>
    <x v="0"/>
    <x v="1"/>
    <s v="NF7941"/>
    <n v="3482"/>
    <x v="11"/>
    <n v="2018"/>
    <x v="11"/>
    <x v="1"/>
    <x v="11"/>
    <x v="1"/>
    <x v="0"/>
    <s v="À Prazo"/>
    <n v="0"/>
  </r>
  <r>
    <d v="2018-09-03T07:30:56"/>
    <d v="2018-07-18T00:00:00"/>
    <d v="2018-09-03T07:30:56"/>
    <x v="0"/>
    <x v="1"/>
    <s v="NF3604"/>
    <n v="2071"/>
    <x v="0"/>
    <n v="2018"/>
    <x v="11"/>
    <x v="1"/>
    <x v="1"/>
    <x v="1"/>
    <x v="0"/>
    <s v="À Prazo"/>
    <n v="0"/>
  </r>
  <r>
    <d v="2018-08-21T18:39:14"/>
    <d v="2018-07-23T00:00:00"/>
    <d v="2018-08-21T18:39:14"/>
    <x v="0"/>
    <x v="2"/>
    <s v="NF4605"/>
    <n v="4258"/>
    <x v="12"/>
    <n v="2018"/>
    <x v="11"/>
    <x v="1"/>
    <x v="0"/>
    <x v="1"/>
    <x v="0"/>
    <s v="À Prazo"/>
    <n v="0"/>
  </r>
  <r>
    <d v="2018-11-24T17:33:03"/>
    <d v="2018-07-25T00:00:00"/>
    <d v="2018-09-07T04:16:41"/>
    <x v="0"/>
    <x v="0"/>
    <s v="NF1759"/>
    <n v="4383"/>
    <x v="2"/>
    <n v="2018"/>
    <x v="11"/>
    <x v="1"/>
    <x v="1"/>
    <x v="1"/>
    <x v="0"/>
    <s v="À Prazo"/>
    <n v="78.553035857927171"/>
  </r>
  <r>
    <d v="2018-09-09T16:42:33"/>
    <d v="2018-07-29T00:00:00"/>
    <d v="2018-09-09T16:42:33"/>
    <x v="0"/>
    <x v="1"/>
    <s v="NF2800"/>
    <n v="1369"/>
    <x v="0"/>
    <n v="2018"/>
    <x v="11"/>
    <x v="1"/>
    <x v="1"/>
    <x v="1"/>
    <x v="0"/>
    <s v="À Prazo"/>
    <n v="0"/>
  </r>
  <r>
    <d v="2018-09-14T13:40:35"/>
    <d v="2018-08-03T00:00:00"/>
    <d v="2018-09-14T13:40:35"/>
    <x v="0"/>
    <x v="1"/>
    <s v="NF7248"/>
    <n v="331"/>
    <x v="0"/>
    <n v="2018"/>
    <x v="0"/>
    <x v="1"/>
    <x v="1"/>
    <x v="1"/>
    <x v="0"/>
    <s v="À Prazo"/>
    <n v="0"/>
  </r>
  <r>
    <d v="2018-08-09T08:15:02"/>
    <d v="2018-08-06T00:00:00"/>
    <d v="2018-08-06T00:00:00"/>
    <x v="0"/>
    <x v="1"/>
    <s v="NF5280"/>
    <n v="3031"/>
    <x v="12"/>
    <n v="2018"/>
    <x v="0"/>
    <x v="1"/>
    <x v="0"/>
    <x v="1"/>
    <x v="0"/>
    <s v="À Vista"/>
    <n v="3.3437753065081779"/>
  </r>
  <r>
    <d v="2018-08-29T10:43:21"/>
    <d v="2018-08-09T00:00:00"/>
    <d v="2018-08-29T10:43:21"/>
    <x v="0"/>
    <x v="0"/>
    <s v="NF2968"/>
    <n v="1200"/>
    <x v="12"/>
    <n v="2018"/>
    <x v="0"/>
    <x v="1"/>
    <x v="0"/>
    <x v="1"/>
    <x v="0"/>
    <s v="À Prazo"/>
    <n v="0"/>
  </r>
  <r>
    <d v="2018-08-31T18:29:50"/>
    <d v="2018-08-11T00:00:00"/>
    <d v="2018-08-11T00:00:00"/>
    <x v="0"/>
    <x v="0"/>
    <s v="NF4862"/>
    <n v="405"/>
    <x v="12"/>
    <n v="2018"/>
    <x v="0"/>
    <x v="1"/>
    <x v="0"/>
    <x v="1"/>
    <x v="0"/>
    <s v="À Vista"/>
    <n v="20.770716940220154"/>
  </r>
  <r>
    <d v="2018-09-17T07:55:11"/>
    <d v="2018-08-14T00:00:00"/>
    <d v="2018-08-14T00:00:00"/>
    <x v="0"/>
    <x v="3"/>
    <s v="NF2988"/>
    <n v="3080"/>
    <x v="0"/>
    <n v="2018"/>
    <x v="0"/>
    <x v="1"/>
    <x v="0"/>
    <x v="1"/>
    <x v="0"/>
    <s v="À Vista"/>
    <n v="34.329990770689619"/>
  </r>
  <r>
    <d v="2018-08-17T07:33:55"/>
    <d v="2018-08-17T00:00:00"/>
    <d v="2018-08-17T07:33:55"/>
    <x v="0"/>
    <x v="1"/>
    <s v="NF6224"/>
    <n v="2137"/>
    <x v="12"/>
    <n v="2018"/>
    <x v="0"/>
    <x v="1"/>
    <x v="0"/>
    <x v="1"/>
    <x v="0"/>
    <s v="À Prazo"/>
    <n v="0"/>
  </r>
  <r>
    <d v="2018-10-15T11:59:23"/>
    <d v="2018-08-24T00:00:00"/>
    <d v="2018-10-15T11:59:23"/>
    <x v="0"/>
    <x v="2"/>
    <s v="NF6974"/>
    <n v="4287"/>
    <x v="1"/>
    <n v="2018"/>
    <x v="0"/>
    <x v="1"/>
    <x v="2"/>
    <x v="1"/>
    <x v="0"/>
    <s v="À Prazo"/>
    <n v="0"/>
  </r>
  <r>
    <d v="2018-10-22T21:34:17"/>
    <d v="2018-08-26T00:00:00"/>
    <d v="2018-10-22T21:34:17"/>
    <x v="0"/>
    <x v="2"/>
    <s v="NF3171"/>
    <n v="4857"/>
    <x v="1"/>
    <n v="2018"/>
    <x v="0"/>
    <x v="1"/>
    <x v="2"/>
    <x v="1"/>
    <x v="0"/>
    <s v="À Prazo"/>
    <n v="0"/>
  </r>
  <r>
    <d v="2018-10-20T21:50:28"/>
    <d v="2018-08-30T00:00:00"/>
    <d v="2018-10-20T21:50:28"/>
    <x v="0"/>
    <x v="1"/>
    <s v="NF9089"/>
    <n v="507"/>
    <x v="1"/>
    <n v="2018"/>
    <x v="0"/>
    <x v="1"/>
    <x v="2"/>
    <x v="1"/>
    <x v="0"/>
    <s v="À Prazo"/>
    <n v="0"/>
  </r>
  <r>
    <d v="2018-09-11T09:18:13"/>
    <d v="2018-08-31T00:00:00"/>
    <d v="2018-09-11T09:18:13"/>
    <x v="0"/>
    <x v="0"/>
    <s v="NF9607"/>
    <n v="2467"/>
    <x v="0"/>
    <n v="2018"/>
    <x v="0"/>
    <x v="1"/>
    <x v="1"/>
    <x v="1"/>
    <x v="0"/>
    <s v="À Prazo"/>
    <n v="0"/>
  </r>
  <r>
    <s v=""/>
    <d v="2018-09-01T00:00:00"/>
    <d v="2018-09-27T15:55:52"/>
    <x v="0"/>
    <x v="1"/>
    <s v="NF6643"/>
    <n v="4253"/>
    <x v="4"/>
    <n v="0"/>
    <x v="1"/>
    <x v="1"/>
    <x v="1"/>
    <x v="1"/>
    <x v="1"/>
    <s v="À Prazo"/>
    <n v="1843.3362076712438"/>
  </r>
  <r>
    <d v="2018-09-14T18:46:28"/>
    <d v="2018-09-07T00:00:00"/>
    <d v="2018-09-14T18:46:28"/>
    <x v="0"/>
    <x v="2"/>
    <s v="NF3939"/>
    <n v="2391"/>
    <x v="0"/>
    <n v="2018"/>
    <x v="1"/>
    <x v="1"/>
    <x v="1"/>
    <x v="1"/>
    <x v="0"/>
    <s v="À Prazo"/>
    <n v="0"/>
  </r>
  <r>
    <d v="2018-09-27T17:55:23"/>
    <d v="2018-09-09T00:00:00"/>
    <d v="2018-09-22T19:10:46"/>
    <x v="0"/>
    <x v="1"/>
    <s v="NF3599"/>
    <n v="3669"/>
    <x v="0"/>
    <n v="2018"/>
    <x v="1"/>
    <x v="1"/>
    <x v="1"/>
    <x v="1"/>
    <x v="0"/>
    <s v="À Prazo"/>
    <n v="4.9476453272945946"/>
  </r>
  <r>
    <d v="2018-12-18T12:03:31"/>
    <d v="2018-09-12T00:00:00"/>
    <d v="2018-10-10T05:32:48"/>
    <x v="0"/>
    <x v="1"/>
    <s v="NF9914"/>
    <n v="1207"/>
    <x v="3"/>
    <n v="2018"/>
    <x v="1"/>
    <x v="1"/>
    <x v="2"/>
    <x v="1"/>
    <x v="0"/>
    <s v="À Prazo"/>
    <n v="69.271336547055398"/>
  </r>
  <r>
    <d v="2018-11-08T01:06:09"/>
    <d v="2018-09-18T00:00:00"/>
    <d v="2018-11-08T01:06:09"/>
    <x v="0"/>
    <x v="0"/>
    <s v="NF5492"/>
    <n v="2539"/>
    <x v="2"/>
    <n v="2018"/>
    <x v="1"/>
    <x v="1"/>
    <x v="3"/>
    <x v="1"/>
    <x v="0"/>
    <s v="À Prazo"/>
    <n v="0"/>
  </r>
  <r>
    <d v="2018-10-01T12:07:20"/>
    <d v="2018-09-20T00:00:00"/>
    <d v="2018-10-01T12:07:20"/>
    <x v="0"/>
    <x v="4"/>
    <s v="NF7516"/>
    <n v="2895"/>
    <x v="1"/>
    <n v="2018"/>
    <x v="1"/>
    <x v="1"/>
    <x v="2"/>
    <x v="1"/>
    <x v="0"/>
    <s v="À Prazo"/>
    <n v="0"/>
  </r>
  <r>
    <d v="2018-10-15T18:58:28"/>
    <d v="2018-09-21T00:00:00"/>
    <d v="2018-10-04T04:41:37"/>
    <x v="0"/>
    <x v="1"/>
    <s v="NF8652"/>
    <n v="2106"/>
    <x v="1"/>
    <n v="2018"/>
    <x v="1"/>
    <x v="1"/>
    <x v="2"/>
    <x v="1"/>
    <x v="0"/>
    <s v="À Prazo"/>
    <n v="11.595033857527596"/>
  </r>
  <r>
    <d v="2018-11-01T16:45:30"/>
    <d v="2018-09-23T00:00:00"/>
    <d v="2018-11-01T16:45:30"/>
    <x v="0"/>
    <x v="4"/>
    <s v="NF4809"/>
    <n v="3742"/>
    <x v="2"/>
    <n v="2018"/>
    <x v="1"/>
    <x v="1"/>
    <x v="3"/>
    <x v="1"/>
    <x v="0"/>
    <s v="À Prazo"/>
    <n v="0"/>
  </r>
  <r>
    <d v="2018-10-22T15:14:34"/>
    <d v="2018-09-26T00:00:00"/>
    <d v="2018-10-22T15:14:34"/>
    <x v="0"/>
    <x v="0"/>
    <s v="NF5491"/>
    <n v="3222"/>
    <x v="1"/>
    <n v="2018"/>
    <x v="1"/>
    <x v="1"/>
    <x v="2"/>
    <x v="1"/>
    <x v="0"/>
    <s v="À Prazo"/>
    <n v="0"/>
  </r>
  <r>
    <d v="2018-10-19T07:03:23"/>
    <d v="2018-10-01T00:00:00"/>
    <d v="2018-10-19T07:03:23"/>
    <x v="0"/>
    <x v="1"/>
    <s v="NF7862"/>
    <n v="673"/>
    <x v="1"/>
    <n v="2018"/>
    <x v="2"/>
    <x v="1"/>
    <x v="2"/>
    <x v="1"/>
    <x v="0"/>
    <s v="À Prazo"/>
    <n v="0"/>
  </r>
  <r>
    <s v=""/>
    <d v="2018-10-05T00:00:00"/>
    <d v="2018-10-26T19:35:25"/>
    <x v="0"/>
    <x v="3"/>
    <s v="NF3137"/>
    <n v="4922"/>
    <x v="4"/>
    <n v="0"/>
    <x v="2"/>
    <x v="1"/>
    <x v="2"/>
    <x v="1"/>
    <x v="1"/>
    <s v="À Prazo"/>
    <n v="1814.1837426896745"/>
  </r>
  <r>
    <d v="2019-01-26T06:08:35"/>
    <d v="2018-10-09T00:00:00"/>
    <d v="2018-11-28T21:26:54"/>
    <x v="0"/>
    <x v="2"/>
    <s v="NF2705"/>
    <n v="1688"/>
    <x v="6"/>
    <n v="2019"/>
    <x v="2"/>
    <x v="1"/>
    <x v="3"/>
    <x v="1"/>
    <x v="0"/>
    <s v="À Prazo"/>
    <n v="58.362280260720581"/>
  </r>
  <r>
    <d v="2018-12-08T18:35:22"/>
    <d v="2018-10-09T00:00:00"/>
    <d v="2018-11-19T12:14:44"/>
    <x v="0"/>
    <x v="2"/>
    <s v="NF9537"/>
    <n v="979"/>
    <x v="3"/>
    <n v="2018"/>
    <x v="2"/>
    <x v="1"/>
    <x v="3"/>
    <x v="1"/>
    <x v="0"/>
    <s v="À Prazo"/>
    <n v="19.2643386877171"/>
  </r>
  <r>
    <d v="2018-10-27T20:54:27"/>
    <d v="2018-10-14T00:00:00"/>
    <d v="2018-10-27T20:54:27"/>
    <x v="0"/>
    <x v="1"/>
    <s v="NF1700"/>
    <n v="3744"/>
    <x v="1"/>
    <n v="2018"/>
    <x v="2"/>
    <x v="1"/>
    <x v="2"/>
    <x v="1"/>
    <x v="0"/>
    <s v="À Prazo"/>
    <n v="0"/>
  </r>
  <r>
    <d v="2018-12-04T03:16:57"/>
    <d v="2018-10-16T00:00:00"/>
    <d v="2018-12-04T03:16:57"/>
    <x v="0"/>
    <x v="2"/>
    <s v="NF9052"/>
    <n v="4061"/>
    <x v="3"/>
    <n v="2018"/>
    <x v="2"/>
    <x v="1"/>
    <x v="4"/>
    <x v="1"/>
    <x v="0"/>
    <s v="À Prazo"/>
    <n v="0"/>
  </r>
  <r>
    <d v="2019-01-28T02:30:23"/>
    <d v="2018-10-21T00:00:00"/>
    <d v="2018-12-01T19:29:45"/>
    <x v="0"/>
    <x v="0"/>
    <s v="NF9827"/>
    <n v="4404"/>
    <x v="6"/>
    <n v="2019"/>
    <x v="2"/>
    <x v="1"/>
    <x v="4"/>
    <x v="1"/>
    <x v="0"/>
    <s v="À Prazo"/>
    <n v="57.292110309441341"/>
  </r>
  <r>
    <d v="2018-11-15T14:37:18"/>
    <d v="2018-10-25T00:00:00"/>
    <d v="2018-11-15T14:37:18"/>
    <x v="0"/>
    <x v="1"/>
    <s v="NF4056"/>
    <n v="2429"/>
    <x v="2"/>
    <n v="2018"/>
    <x v="2"/>
    <x v="1"/>
    <x v="3"/>
    <x v="1"/>
    <x v="0"/>
    <s v="À Prazo"/>
    <n v="0"/>
  </r>
  <r>
    <d v="2018-12-23T10:14:59"/>
    <d v="2018-10-25T00:00:00"/>
    <d v="2018-12-23T10:14:59"/>
    <x v="0"/>
    <x v="0"/>
    <s v="NF4381"/>
    <n v="2713"/>
    <x v="3"/>
    <n v="2018"/>
    <x v="2"/>
    <x v="1"/>
    <x v="4"/>
    <x v="1"/>
    <x v="0"/>
    <s v="À Prazo"/>
    <n v="0"/>
  </r>
  <r>
    <d v="2018-11-12T18:59:39"/>
    <d v="2018-10-30T00:00:00"/>
    <d v="2018-11-12T18:59:39"/>
    <x v="0"/>
    <x v="1"/>
    <s v="NF5374"/>
    <n v="3787"/>
    <x v="2"/>
    <n v="2018"/>
    <x v="2"/>
    <x v="1"/>
    <x v="3"/>
    <x v="1"/>
    <x v="0"/>
    <s v="À Prazo"/>
    <n v="0"/>
  </r>
  <r>
    <d v="2019-02-07T00:24:31"/>
    <d v="2018-11-04T00:00:00"/>
    <d v="2018-12-08T21:36:08"/>
    <x v="0"/>
    <x v="4"/>
    <s v="NF4782"/>
    <n v="1820"/>
    <x v="5"/>
    <n v="2019"/>
    <x v="3"/>
    <x v="1"/>
    <x v="4"/>
    <x v="1"/>
    <x v="0"/>
    <s v="À Prazo"/>
    <n v="60.116937352882815"/>
  </r>
  <r>
    <d v="2018-11-27T14:09:21"/>
    <d v="2018-11-08T00:00:00"/>
    <d v="2018-11-27T14:09:21"/>
    <x v="0"/>
    <x v="1"/>
    <s v="NF9770"/>
    <n v="4135"/>
    <x v="2"/>
    <n v="2018"/>
    <x v="3"/>
    <x v="1"/>
    <x v="3"/>
    <x v="1"/>
    <x v="0"/>
    <s v="À Prazo"/>
    <n v="0"/>
  </r>
  <r>
    <d v="2019-01-02T08:14:42"/>
    <d v="2018-11-11T00:00:00"/>
    <d v="2018-11-17T02:12:26"/>
    <x v="0"/>
    <x v="1"/>
    <s v="NF3186"/>
    <n v="3902"/>
    <x v="6"/>
    <n v="2019"/>
    <x v="3"/>
    <x v="1"/>
    <x v="3"/>
    <x v="1"/>
    <x v="0"/>
    <s v="À Prazo"/>
    <n v="46.251578706040164"/>
  </r>
  <r>
    <d v="2019-02-27T01:57:03"/>
    <d v="2018-11-14T00:00:00"/>
    <d v="2018-12-07T17:43:50"/>
    <x v="0"/>
    <x v="1"/>
    <s v="NF7423"/>
    <n v="4319"/>
    <x v="5"/>
    <n v="2019"/>
    <x v="3"/>
    <x v="1"/>
    <x v="4"/>
    <x v="1"/>
    <x v="0"/>
    <s v="À Prazo"/>
    <n v="81.342512234550668"/>
  </r>
  <r>
    <d v="2018-12-30T17:57:50"/>
    <d v="2018-11-17T00:00:00"/>
    <d v="2018-12-30T17:57:50"/>
    <x v="0"/>
    <x v="0"/>
    <s v="NF3114"/>
    <n v="3068"/>
    <x v="3"/>
    <n v="2018"/>
    <x v="3"/>
    <x v="1"/>
    <x v="4"/>
    <x v="1"/>
    <x v="0"/>
    <s v="À Prazo"/>
    <n v="0"/>
  </r>
  <r>
    <d v="2018-12-21T09:00:52"/>
    <d v="2018-11-21T00:00:00"/>
    <d v="2018-12-21T09:00:52"/>
    <x v="0"/>
    <x v="1"/>
    <s v="NF1359"/>
    <n v="1880"/>
    <x v="3"/>
    <n v="2018"/>
    <x v="3"/>
    <x v="1"/>
    <x v="4"/>
    <x v="1"/>
    <x v="0"/>
    <s v="À Prazo"/>
    <n v="0"/>
  </r>
  <r>
    <s v=""/>
    <d v="2018-11-23T00:00:00"/>
    <d v="2018-12-31T01:31:16"/>
    <x v="0"/>
    <x v="1"/>
    <s v="NF5107"/>
    <n v="1414"/>
    <x v="4"/>
    <n v="0"/>
    <x v="3"/>
    <x v="1"/>
    <x v="4"/>
    <x v="1"/>
    <x v="1"/>
    <s v="À Prazo"/>
    <n v="1748.9366181493533"/>
  </r>
  <r>
    <s v=""/>
    <d v="2018-11-26T00:00:00"/>
    <d v="2018-12-13T21:21:29"/>
    <x v="0"/>
    <x v="3"/>
    <s v="NF4367"/>
    <n v="919"/>
    <x v="4"/>
    <n v="0"/>
    <x v="3"/>
    <x v="1"/>
    <x v="4"/>
    <x v="1"/>
    <x v="1"/>
    <s v="À Prazo"/>
    <n v="1766.1100758552057"/>
  </r>
  <r>
    <d v="2019-01-12T23:10:46"/>
    <d v="2018-11-27T00:00:00"/>
    <d v="2019-01-12T23:10:46"/>
    <x v="0"/>
    <x v="1"/>
    <s v="NF8386"/>
    <n v="4801"/>
    <x v="6"/>
    <n v="2019"/>
    <x v="3"/>
    <x v="1"/>
    <x v="5"/>
    <x v="2"/>
    <x v="0"/>
    <s v="À Prazo"/>
    <n v="0"/>
  </r>
  <r>
    <s v=""/>
    <d v="2018-11-30T00:00:00"/>
    <d v="2018-12-21T06:25:18"/>
    <x v="0"/>
    <x v="2"/>
    <s v="NF5922"/>
    <n v="4639"/>
    <x v="4"/>
    <n v="0"/>
    <x v="3"/>
    <x v="1"/>
    <x v="4"/>
    <x v="1"/>
    <x v="1"/>
    <s v="À Prazo"/>
    <n v="1758.7324355930832"/>
  </r>
  <r>
    <d v="2019-03-20T03:24:50"/>
    <d v="2018-12-06T00:00:00"/>
    <d v="2019-01-22T09:22:29"/>
    <x v="0"/>
    <x v="1"/>
    <s v="NF9970"/>
    <n v="1209"/>
    <x v="7"/>
    <n v="2019"/>
    <x v="4"/>
    <x v="1"/>
    <x v="5"/>
    <x v="2"/>
    <x v="0"/>
    <s v="À Prazo"/>
    <n v="56.751634494743485"/>
  </r>
  <r>
    <s v=""/>
    <d v="2018-12-10T00:00:00"/>
    <d v="2019-01-12T04:05:06"/>
    <x v="0"/>
    <x v="2"/>
    <s v="NF1938"/>
    <n v="483"/>
    <x v="4"/>
    <n v="0"/>
    <x v="4"/>
    <x v="1"/>
    <x v="5"/>
    <x v="2"/>
    <x v="1"/>
    <s v="À Prazo"/>
    <n v="1736.8297955012094"/>
  </r>
  <r>
    <d v="2019-01-04T09:42:41"/>
    <d v="2018-12-17T00:00:00"/>
    <d v="2019-01-04T09:42:41"/>
    <x v="0"/>
    <x v="1"/>
    <s v="NF7772"/>
    <n v="373"/>
    <x v="6"/>
    <n v="2019"/>
    <x v="4"/>
    <x v="1"/>
    <x v="5"/>
    <x v="2"/>
    <x v="0"/>
    <s v="À Prazo"/>
    <n v="0"/>
  </r>
  <r>
    <d v="2018-12-25T16:39:40"/>
    <d v="2018-12-20T00:00:00"/>
    <d v="2018-12-25T16:39:40"/>
    <x v="0"/>
    <x v="0"/>
    <s v="NF9932"/>
    <n v="2088"/>
    <x v="3"/>
    <n v="2018"/>
    <x v="4"/>
    <x v="1"/>
    <x v="4"/>
    <x v="1"/>
    <x v="0"/>
    <s v="À Prazo"/>
    <n v="0"/>
  </r>
  <r>
    <d v="2019-02-01T19:36:46"/>
    <d v="2018-12-21T00:00:00"/>
    <d v="2019-02-01T19:36:46"/>
    <x v="0"/>
    <x v="2"/>
    <s v="NF2970"/>
    <n v="1168"/>
    <x v="5"/>
    <n v="2019"/>
    <x v="4"/>
    <x v="1"/>
    <x v="6"/>
    <x v="2"/>
    <x v="0"/>
    <s v="À Prazo"/>
    <n v="0"/>
  </r>
  <r>
    <d v="2019-03-26T21:47:46"/>
    <d v="2018-12-23T00:00:00"/>
    <d v="2019-01-28T21:24:55"/>
    <x v="0"/>
    <x v="2"/>
    <s v="NF4423"/>
    <n v="4429"/>
    <x v="7"/>
    <n v="2019"/>
    <x v="4"/>
    <x v="1"/>
    <x v="5"/>
    <x v="2"/>
    <x v="0"/>
    <s v="À Prazo"/>
    <n v="57.015868456946919"/>
  </r>
  <r>
    <d v="2019-02-23T16:37:34"/>
    <d v="2018-12-28T00:00:00"/>
    <d v="2019-02-23T16:37:34"/>
    <x v="0"/>
    <x v="1"/>
    <s v="NF9682"/>
    <n v="4955"/>
    <x v="5"/>
    <n v="2019"/>
    <x v="4"/>
    <x v="1"/>
    <x v="6"/>
    <x v="2"/>
    <x v="0"/>
    <s v="À Prazo"/>
    <n v="0"/>
  </r>
  <r>
    <d v="2019-01-19T02:05:23"/>
    <d v="2018-12-31T00:00:00"/>
    <d v="2019-01-18T02:10:28"/>
    <x v="0"/>
    <x v="1"/>
    <s v="NF7840"/>
    <n v="3201"/>
    <x v="6"/>
    <n v="2019"/>
    <x v="4"/>
    <x v="1"/>
    <x v="5"/>
    <x v="2"/>
    <x v="0"/>
    <s v="À Prazo"/>
    <n v="0.99647032866778318"/>
  </r>
  <r>
    <d v="2019-02-15T16:37:04"/>
    <d v="2019-01-04T00:00:00"/>
    <d v="2019-02-15T16:37:04"/>
    <x v="0"/>
    <x v="4"/>
    <s v="NF4946"/>
    <n v="3007"/>
    <x v="5"/>
    <n v="2019"/>
    <x v="5"/>
    <x v="2"/>
    <x v="6"/>
    <x v="2"/>
    <x v="0"/>
    <s v="À Prazo"/>
    <n v="0"/>
  </r>
  <r>
    <d v="2019-02-15T02:44:50"/>
    <d v="2019-01-08T00:00:00"/>
    <d v="2019-02-15T02:44:50"/>
    <x v="0"/>
    <x v="2"/>
    <s v="NF6806"/>
    <n v="900"/>
    <x v="5"/>
    <n v="2019"/>
    <x v="5"/>
    <x v="2"/>
    <x v="6"/>
    <x v="2"/>
    <x v="0"/>
    <s v="À Prazo"/>
    <n v="0"/>
  </r>
  <r>
    <d v="2019-02-13T05:18:28"/>
    <d v="2019-01-13T00:00:00"/>
    <d v="2019-02-13T05:18:28"/>
    <x v="0"/>
    <x v="1"/>
    <s v="NF3882"/>
    <n v="2970"/>
    <x v="5"/>
    <n v="2019"/>
    <x v="5"/>
    <x v="2"/>
    <x v="6"/>
    <x v="2"/>
    <x v="0"/>
    <s v="À Prazo"/>
    <n v="0"/>
  </r>
  <r>
    <d v="2019-05-16T18:46:13"/>
    <d v="2019-01-17T00:00:00"/>
    <d v="2019-03-14T13:02:36"/>
    <x v="0"/>
    <x v="3"/>
    <s v="NF1850"/>
    <n v="4993"/>
    <x v="8"/>
    <n v="2019"/>
    <x v="5"/>
    <x v="2"/>
    <x v="7"/>
    <x v="2"/>
    <x v="0"/>
    <s v="À Prazo"/>
    <n v="63.238623675693816"/>
  </r>
  <r>
    <d v="2019-01-20T22:55:55"/>
    <d v="2019-01-20T00:00:00"/>
    <d v="2019-01-20T22:55:55"/>
    <x v="0"/>
    <x v="2"/>
    <s v="NF7979"/>
    <n v="1664"/>
    <x v="6"/>
    <n v="2019"/>
    <x v="5"/>
    <x v="2"/>
    <x v="5"/>
    <x v="2"/>
    <x v="0"/>
    <s v="À Prazo"/>
    <n v="0"/>
  </r>
  <r>
    <d v="2019-02-26T14:45:57"/>
    <d v="2019-01-21T00:00:00"/>
    <d v="2019-02-26T14:45:57"/>
    <x v="0"/>
    <x v="1"/>
    <s v="NF1547"/>
    <n v="1815"/>
    <x v="5"/>
    <n v="2019"/>
    <x v="5"/>
    <x v="2"/>
    <x v="6"/>
    <x v="2"/>
    <x v="0"/>
    <s v="À Prazo"/>
    <n v="0"/>
  </r>
  <r>
    <d v="2019-02-09T01:03:10"/>
    <d v="2019-01-23T00:00:00"/>
    <d v="2019-02-09T01:03:10"/>
    <x v="0"/>
    <x v="4"/>
    <s v="NF2309"/>
    <n v="3752"/>
    <x v="5"/>
    <n v="2019"/>
    <x v="5"/>
    <x v="2"/>
    <x v="6"/>
    <x v="2"/>
    <x v="0"/>
    <s v="À Prazo"/>
    <n v="0"/>
  </r>
  <r>
    <d v="2019-02-17T10:09:23"/>
    <d v="2019-01-27T00:00:00"/>
    <d v="2019-02-17T10:09:23"/>
    <x v="0"/>
    <x v="1"/>
    <s v="NF5791"/>
    <n v="177"/>
    <x v="5"/>
    <n v="2019"/>
    <x v="5"/>
    <x v="2"/>
    <x v="6"/>
    <x v="2"/>
    <x v="0"/>
    <s v="À Prazo"/>
    <n v="0"/>
  </r>
  <r>
    <d v="2019-02-17T09:41:51"/>
    <d v="2019-01-29T00:00:00"/>
    <d v="2019-02-17T09:41:51"/>
    <x v="0"/>
    <x v="1"/>
    <s v="NF2982"/>
    <n v="3619"/>
    <x v="5"/>
    <n v="2019"/>
    <x v="5"/>
    <x v="2"/>
    <x v="6"/>
    <x v="2"/>
    <x v="0"/>
    <s v="À Prazo"/>
    <n v="0"/>
  </r>
  <r>
    <d v="2019-03-10T23:45:15"/>
    <d v="2019-02-02T00:00:00"/>
    <d v="2019-03-10T23:45:15"/>
    <x v="0"/>
    <x v="4"/>
    <s v="NF1796"/>
    <n v="4030"/>
    <x v="7"/>
    <n v="2019"/>
    <x v="6"/>
    <x v="2"/>
    <x v="7"/>
    <x v="2"/>
    <x v="0"/>
    <s v="À Prazo"/>
    <n v="0"/>
  </r>
  <r>
    <d v="2019-02-16T21:15:54"/>
    <d v="2019-02-05T00:00:00"/>
    <d v="2019-02-16T21:15:54"/>
    <x v="0"/>
    <x v="4"/>
    <s v="NF2396"/>
    <n v="4157"/>
    <x v="5"/>
    <n v="2019"/>
    <x v="6"/>
    <x v="2"/>
    <x v="6"/>
    <x v="2"/>
    <x v="0"/>
    <s v="À Prazo"/>
    <n v="0"/>
  </r>
  <r>
    <d v="2019-03-08T19:47:59"/>
    <d v="2019-02-06T00:00:00"/>
    <d v="2019-03-08T19:47:59"/>
    <x v="0"/>
    <x v="0"/>
    <s v="NF8281"/>
    <n v="1417"/>
    <x v="7"/>
    <n v="2019"/>
    <x v="6"/>
    <x v="2"/>
    <x v="7"/>
    <x v="2"/>
    <x v="0"/>
    <s v="À Prazo"/>
    <n v="0"/>
  </r>
  <r>
    <d v="2019-03-16T07:28:02"/>
    <d v="2019-02-09T00:00:00"/>
    <d v="2019-03-16T07:28:02"/>
    <x v="0"/>
    <x v="2"/>
    <s v="NF3155"/>
    <n v="1117"/>
    <x v="7"/>
    <n v="2019"/>
    <x v="6"/>
    <x v="2"/>
    <x v="7"/>
    <x v="2"/>
    <x v="0"/>
    <s v="À Prazo"/>
    <n v="0"/>
  </r>
  <r>
    <d v="2019-03-17T15:39:40"/>
    <d v="2019-02-10T00:00:00"/>
    <d v="2019-03-17T15:39:40"/>
    <x v="0"/>
    <x v="3"/>
    <s v="NF4849"/>
    <n v="4461"/>
    <x v="7"/>
    <n v="2019"/>
    <x v="6"/>
    <x v="2"/>
    <x v="7"/>
    <x v="2"/>
    <x v="0"/>
    <s v="À Prazo"/>
    <n v="0"/>
  </r>
  <r>
    <d v="2019-04-05T01:14:25"/>
    <d v="2019-02-12T00:00:00"/>
    <d v="2019-03-30T02:17:21"/>
    <x v="0"/>
    <x v="1"/>
    <s v="NF4647"/>
    <n v="3732"/>
    <x v="9"/>
    <n v="2019"/>
    <x v="6"/>
    <x v="2"/>
    <x v="7"/>
    <x v="2"/>
    <x v="0"/>
    <s v="À Prazo"/>
    <n v="5.9562916181894252"/>
  </r>
  <r>
    <d v="2019-02-16T10:14:23"/>
    <d v="2019-02-13T00:00:00"/>
    <d v="2019-02-16T10:14:23"/>
    <x v="0"/>
    <x v="2"/>
    <s v="NF9056"/>
    <n v="2024"/>
    <x v="5"/>
    <n v="2019"/>
    <x v="6"/>
    <x v="2"/>
    <x v="6"/>
    <x v="2"/>
    <x v="0"/>
    <s v="À Prazo"/>
    <n v="0"/>
  </r>
  <r>
    <s v=""/>
    <d v="2019-02-16T00:00:00"/>
    <d v="2019-04-15T04:56:28"/>
    <x v="0"/>
    <x v="1"/>
    <s v="NF4097"/>
    <n v="928"/>
    <x v="4"/>
    <n v="0"/>
    <x v="6"/>
    <x v="2"/>
    <x v="8"/>
    <x v="2"/>
    <x v="1"/>
    <s v="À Prazo"/>
    <n v="1643.7941232923622"/>
  </r>
  <r>
    <d v="2019-04-05T01:36:02"/>
    <d v="2019-02-17T00:00:00"/>
    <d v="2019-04-05T01:36:02"/>
    <x v="0"/>
    <x v="1"/>
    <s v="NF9792"/>
    <n v="3557"/>
    <x v="9"/>
    <n v="2019"/>
    <x v="6"/>
    <x v="2"/>
    <x v="8"/>
    <x v="2"/>
    <x v="0"/>
    <s v="À Prazo"/>
    <n v="0"/>
  </r>
  <r>
    <d v="2019-03-16T19:41:49"/>
    <d v="2019-02-18T00:00:00"/>
    <d v="2019-03-16T19:41:49"/>
    <x v="0"/>
    <x v="2"/>
    <s v="NF1943"/>
    <n v="741"/>
    <x v="7"/>
    <n v="2019"/>
    <x v="6"/>
    <x v="2"/>
    <x v="7"/>
    <x v="2"/>
    <x v="0"/>
    <s v="À Prazo"/>
    <n v="0"/>
  </r>
  <r>
    <d v="2019-03-24T05:21:02"/>
    <d v="2019-02-21T00:00:00"/>
    <d v="2019-03-24T05:21:02"/>
    <x v="0"/>
    <x v="2"/>
    <s v="NF5598"/>
    <n v="850"/>
    <x v="7"/>
    <n v="2019"/>
    <x v="6"/>
    <x v="2"/>
    <x v="7"/>
    <x v="2"/>
    <x v="0"/>
    <s v="À Prazo"/>
    <n v="0"/>
  </r>
  <r>
    <d v="2019-06-09T01:55:14"/>
    <d v="2019-02-26T00:00:00"/>
    <d v="2019-04-08T19:32:27"/>
    <x v="0"/>
    <x v="1"/>
    <s v="NF8881"/>
    <n v="4741"/>
    <x v="10"/>
    <n v="2019"/>
    <x v="6"/>
    <x v="2"/>
    <x v="8"/>
    <x v="2"/>
    <x v="0"/>
    <s v="À Prazo"/>
    <n v="61.265823009489395"/>
  </r>
  <r>
    <d v="2019-04-16T11:01:03"/>
    <d v="2019-03-01T00:00:00"/>
    <d v="2019-04-16T11:01:03"/>
    <x v="0"/>
    <x v="0"/>
    <s v="NF3500"/>
    <n v="471"/>
    <x v="9"/>
    <n v="2019"/>
    <x v="7"/>
    <x v="2"/>
    <x v="8"/>
    <x v="2"/>
    <x v="0"/>
    <s v="À Prazo"/>
    <n v="0"/>
  </r>
  <r>
    <d v="2019-05-05T00:09:47"/>
    <d v="2019-03-03T00:00:00"/>
    <d v="2019-04-13T17:11:44"/>
    <x v="0"/>
    <x v="0"/>
    <s v="NF3489"/>
    <n v="517"/>
    <x v="8"/>
    <n v="2019"/>
    <x v="7"/>
    <x v="2"/>
    <x v="8"/>
    <x v="2"/>
    <x v="0"/>
    <s v="À Prazo"/>
    <n v="21.290307033435965"/>
  </r>
  <r>
    <d v="2019-04-08T05:18:52"/>
    <d v="2019-03-10T00:00:00"/>
    <d v="2019-04-08T05:18:52"/>
    <x v="0"/>
    <x v="0"/>
    <s v="NF8682"/>
    <n v="3034"/>
    <x v="9"/>
    <n v="2019"/>
    <x v="7"/>
    <x v="2"/>
    <x v="8"/>
    <x v="2"/>
    <x v="0"/>
    <s v="À Prazo"/>
    <n v="0"/>
  </r>
  <r>
    <d v="2019-04-23T13:50:46"/>
    <d v="2019-03-13T00:00:00"/>
    <d v="2019-04-23T13:50:46"/>
    <x v="0"/>
    <x v="1"/>
    <s v="NF8525"/>
    <n v="3172"/>
    <x v="9"/>
    <n v="2019"/>
    <x v="7"/>
    <x v="2"/>
    <x v="8"/>
    <x v="2"/>
    <x v="0"/>
    <s v="À Prazo"/>
    <n v="0"/>
  </r>
  <r>
    <d v="2019-03-31T16:25:16"/>
    <d v="2019-03-19T00:00:00"/>
    <d v="2019-03-31T16:25:16"/>
    <x v="0"/>
    <x v="4"/>
    <s v="NF2006"/>
    <n v="2069"/>
    <x v="7"/>
    <n v="2019"/>
    <x v="7"/>
    <x v="2"/>
    <x v="7"/>
    <x v="2"/>
    <x v="0"/>
    <s v="À Prazo"/>
    <n v="0"/>
  </r>
  <r>
    <d v="2019-05-29T08:20:09"/>
    <d v="2019-03-21T00:00:00"/>
    <d v="2019-04-04T11:22:30"/>
    <x v="0"/>
    <x v="4"/>
    <s v="NF7648"/>
    <n v="3849"/>
    <x v="8"/>
    <n v="2019"/>
    <x v="7"/>
    <x v="2"/>
    <x v="8"/>
    <x v="2"/>
    <x v="0"/>
    <s v="À Prazo"/>
    <n v="54.873373893591634"/>
  </r>
  <r>
    <d v="2019-06-06T15:52:07"/>
    <d v="2019-03-27T00:00:00"/>
    <d v="2019-05-01T01:07:37"/>
    <x v="0"/>
    <x v="2"/>
    <s v="NF6770"/>
    <n v="4141"/>
    <x v="10"/>
    <n v="2019"/>
    <x v="7"/>
    <x v="2"/>
    <x v="9"/>
    <x v="2"/>
    <x v="0"/>
    <s v="À Prazo"/>
    <n v="36.614235798559093"/>
  </r>
  <r>
    <s v=""/>
    <d v="2019-03-28T00:00:00"/>
    <d v="2019-05-01T21:23:18"/>
    <x v="0"/>
    <x v="2"/>
    <s v="NF2352"/>
    <n v="1348"/>
    <x v="4"/>
    <n v="0"/>
    <x v="7"/>
    <x v="2"/>
    <x v="9"/>
    <x v="2"/>
    <x v="1"/>
    <s v="À Prazo"/>
    <n v="1627.1088247422158"/>
  </r>
  <r>
    <d v="2019-04-24T13:27:37"/>
    <d v="2019-04-03T00:00:00"/>
    <d v="2019-04-24T13:27:37"/>
    <x v="0"/>
    <x v="1"/>
    <s v="NF4686"/>
    <n v="1738"/>
    <x v="9"/>
    <n v="2019"/>
    <x v="8"/>
    <x v="2"/>
    <x v="8"/>
    <x v="2"/>
    <x v="0"/>
    <s v="À Prazo"/>
    <n v="0"/>
  </r>
  <r>
    <d v="2019-05-31T22:15:59"/>
    <d v="2019-04-06T00:00:00"/>
    <d v="2019-05-31T22:15:59"/>
    <x v="0"/>
    <x v="1"/>
    <s v="NF9108"/>
    <n v="732"/>
    <x v="8"/>
    <n v="2019"/>
    <x v="8"/>
    <x v="2"/>
    <x v="9"/>
    <x v="2"/>
    <x v="0"/>
    <s v="À Prazo"/>
    <n v="0"/>
  </r>
  <r>
    <d v="2019-06-09T19:48:45"/>
    <d v="2019-04-07T00:00:00"/>
    <d v="2019-05-01T16:38:34"/>
    <x v="0"/>
    <x v="2"/>
    <s v="NF1934"/>
    <n v="373"/>
    <x v="10"/>
    <n v="2019"/>
    <x v="8"/>
    <x v="2"/>
    <x v="9"/>
    <x v="2"/>
    <x v="0"/>
    <s v="À Prazo"/>
    <n v="39.132076591755322"/>
  </r>
  <r>
    <d v="2019-08-03T02:13:16"/>
    <d v="2019-04-09T00:00:00"/>
    <d v="2019-05-24T04:50:10"/>
    <x v="0"/>
    <x v="0"/>
    <s v="NF5748"/>
    <n v="609"/>
    <x v="12"/>
    <n v="2019"/>
    <x v="8"/>
    <x v="2"/>
    <x v="9"/>
    <x v="2"/>
    <x v="0"/>
    <s v="À Prazo"/>
    <n v="70.891041702867369"/>
  </r>
  <r>
    <d v="2019-05-30T01:49:11"/>
    <d v="2019-04-12T00:00:00"/>
    <d v="2019-05-30T01:49:11"/>
    <x v="0"/>
    <x v="1"/>
    <s v="NF3443"/>
    <n v="2883"/>
    <x v="8"/>
    <n v="2019"/>
    <x v="8"/>
    <x v="2"/>
    <x v="9"/>
    <x v="2"/>
    <x v="0"/>
    <s v="À Prazo"/>
    <n v="0"/>
  </r>
  <r>
    <d v="2019-04-15T18:28:04"/>
    <d v="2019-04-14T00:00:00"/>
    <d v="2019-04-15T18:28:04"/>
    <x v="0"/>
    <x v="0"/>
    <s v="NF4433"/>
    <n v="4651"/>
    <x v="9"/>
    <n v="2019"/>
    <x v="8"/>
    <x v="2"/>
    <x v="8"/>
    <x v="2"/>
    <x v="0"/>
    <s v="À Prazo"/>
    <n v="0"/>
  </r>
  <r>
    <d v="2019-04-24T22:21:53"/>
    <d v="2019-04-18T00:00:00"/>
    <d v="2019-04-24T22:21:53"/>
    <x v="0"/>
    <x v="0"/>
    <s v="NF7700"/>
    <n v="4797"/>
    <x v="9"/>
    <n v="2019"/>
    <x v="8"/>
    <x v="2"/>
    <x v="8"/>
    <x v="2"/>
    <x v="0"/>
    <s v="À Prazo"/>
    <n v="0"/>
  </r>
  <r>
    <d v="2019-05-13T22:29:22"/>
    <d v="2019-04-20T00:00:00"/>
    <d v="2019-05-13T22:29:22"/>
    <x v="0"/>
    <x v="4"/>
    <s v="NF8475"/>
    <n v="1620"/>
    <x v="8"/>
    <n v="2019"/>
    <x v="8"/>
    <x v="2"/>
    <x v="9"/>
    <x v="2"/>
    <x v="0"/>
    <s v="À Prazo"/>
    <n v="0"/>
  </r>
  <r>
    <d v="2019-06-09T20:50:45"/>
    <d v="2019-04-27T00:00:00"/>
    <d v="2019-06-09T20:50:45"/>
    <x v="0"/>
    <x v="2"/>
    <s v="NF3694"/>
    <n v="245"/>
    <x v="10"/>
    <n v="2019"/>
    <x v="8"/>
    <x v="2"/>
    <x v="10"/>
    <x v="2"/>
    <x v="0"/>
    <s v="À Prazo"/>
    <n v="0"/>
  </r>
  <r>
    <d v="2019-05-10T23:40:58"/>
    <d v="2019-04-29T00:00:00"/>
    <d v="2019-05-10T23:40:58"/>
    <x v="0"/>
    <x v="1"/>
    <s v="NF5571"/>
    <n v="2091"/>
    <x v="8"/>
    <n v="2019"/>
    <x v="8"/>
    <x v="2"/>
    <x v="9"/>
    <x v="2"/>
    <x v="0"/>
    <s v="À Prazo"/>
    <n v="0"/>
  </r>
  <r>
    <d v="2019-05-09T10:26:18"/>
    <d v="2019-04-30T00:00:00"/>
    <d v="2019-05-09T10:26:18"/>
    <x v="0"/>
    <x v="1"/>
    <s v="NF7836"/>
    <n v="3200"/>
    <x v="8"/>
    <n v="2019"/>
    <x v="8"/>
    <x v="2"/>
    <x v="9"/>
    <x v="2"/>
    <x v="0"/>
    <s v="À Prazo"/>
    <n v="0"/>
  </r>
  <r>
    <d v="2019-05-19T01:37:55"/>
    <d v="2019-05-02T00:00:00"/>
    <d v="2019-05-19T01:37:55"/>
    <x v="0"/>
    <x v="2"/>
    <s v="NF7705"/>
    <n v="583"/>
    <x v="8"/>
    <n v="2019"/>
    <x v="9"/>
    <x v="2"/>
    <x v="9"/>
    <x v="2"/>
    <x v="0"/>
    <s v="À Prazo"/>
    <n v="0"/>
  </r>
  <r>
    <d v="2019-06-10T13:50:40"/>
    <d v="2019-05-05T00:00:00"/>
    <d v="2019-06-10T13:50:40"/>
    <x v="0"/>
    <x v="1"/>
    <s v="NF1629"/>
    <n v="4505"/>
    <x v="10"/>
    <n v="2019"/>
    <x v="9"/>
    <x v="2"/>
    <x v="10"/>
    <x v="2"/>
    <x v="0"/>
    <s v="À Prazo"/>
    <n v="0"/>
  </r>
  <r>
    <d v="2019-06-08T12:57:32"/>
    <d v="2019-05-07T00:00:00"/>
    <d v="2019-05-24T02:45:41"/>
    <x v="0"/>
    <x v="1"/>
    <s v="NF4027"/>
    <n v="343"/>
    <x v="10"/>
    <n v="2019"/>
    <x v="9"/>
    <x v="2"/>
    <x v="9"/>
    <x v="2"/>
    <x v="0"/>
    <s v="À Prazo"/>
    <n v="15.424892799921508"/>
  </r>
  <r>
    <d v="2019-05-18T16:19:11"/>
    <d v="2019-05-08T00:00:00"/>
    <d v="2019-05-18T16:19:11"/>
    <x v="0"/>
    <x v="0"/>
    <s v="NF7582"/>
    <n v="4510"/>
    <x v="8"/>
    <n v="2019"/>
    <x v="9"/>
    <x v="2"/>
    <x v="9"/>
    <x v="2"/>
    <x v="0"/>
    <s v="À Prazo"/>
    <n v="0"/>
  </r>
  <r>
    <s v=""/>
    <d v="2019-05-12T00:00:00"/>
    <d v="2019-05-20T09:30:20"/>
    <x v="0"/>
    <x v="1"/>
    <s v="NF7868"/>
    <n v="667"/>
    <x v="4"/>
    <n v="0"/>
    <x v="9"/>
    <x v="2"/>
    <x v="9"/>
    <x v="2"/>
    <x v="1"/>
    <s v="À Prazo"/>
    <n v="1608.6039400226218"/>
  </r>
  <r>
    <d v="2019-06-15T04:03:49"/>
    <d v="2019-05-15T00:00:00"/>
    <d v="2019-06-15T04:03:49"/>
    <x v="0"/>
    <x v="1"/>
    <s v="NF6154"/>
    <n v="1006"/>
    <x v="10"/>
    <n v="2019"/>
    <x v="9"/>
    <x v="2"/>
    <x v="10"/>
    <x v="2"/>
    <x v="0"/>
    <s v="À Prazo"/>
    <n v="0"/>
  </r>
  <r>
    <d v="2019-08-09T15:25:27"/>
    <d v="2019-05-19T00:00:00"/>
    <d v="2019-06-19T21:04:28"/>
    <x v="0"/>
    <x v="2"/>
    <s v="NF5531"/>
    <n v="1071"/>
    <x v="12"/>
    <n v="2019"/>
    <x v="9"/>
    <x v="2"/>
    <x v="10"/>
    <x v="2"/>
    <x v="0"/>
    <s v="À Prazo"/>
    <n v="50.764571289568266"/>
  </r>
  <r>
    <d v="2019-06-14T06:55:19"/>
    <d v="2019-05-24T00:00:00"/>
    <d v="2019-05-24T00:00:00"/>
    <x v="0"/>
    <x v="4"/>
    <s v="NF9744"/>
    <n v="2194"/>
    <x v="10"/>
    <n v="2019"/>
    <x v="9"/>
    <x v="2"/>
    <x v="9"/>
    <x v="2"/>
    <x v="0"/>
    <s v="À Vista"/>
    <n v="21.288414733964601"/>
  </r>
  <r>
    <d v="2019-05-26T20:19:16"/>
    <d v="2019-05-26T00:00:00"/>
    <d v="2019-05-26T00:00:00"/>
    <x v="0"/>
    <x v="1"/>
    <s v="NF1516"/>
    <n v="2531"/>
    <x v="8"/>
    <n v="2019"/>
    <x v="9"/>
    <x v="2"/>
    <x v="9"/>
    <x v="2"/>
    <x v="0"/>
    <s v="À Vista"/>
    <n v="0.84670963525422849"/>
  </r>
  <r>
    <d v="2019-08-31T16:25:56"/>
    <d v="2019-05-29T00:00:00"/>
    <d v="2019-05-29T00:00:00"/>
    <x v="0"/>
    <x v="0"/>
    <s v="NF2007"/>
    <n v="657"/>
    <x v="12"/>
    <n v="2019"/>
    <x v="9"/>
    <x v="2"/>
    <x v="9"/>
    <x v="2"/>
    <x v="0"/>
    <s v="À Vista"/>
    <n v="94.684678024968889"/>
  </r>
  <r>
    <d v="2019-07-02T04:12:39"/>
    <d v="2019-05-30T00:00:00"/>
    <d v="2019-07-02T04:12:39"/>
    <x v="0"/>
    <x v="3"/>
    <s v="NF9904"/>
    <n v="4535"/>
    <x v="11"/>
    <n v="2019"/>
    <x v="9"/>
    <x v="2"/>
    <x v="11"/>
    <x v="2"/>
    <x v="0"/>
    <s v="À Prazo"/>
    <n v="0"/>
  </r>
  <r>
    <d v="2019-07-21T12:07:00"/>
    <d v="2019-06-04T00:00:00"/>
    <d v="2019-06-25T14:48:17"/>
    <x v="0"/>
    <x v="1"/>
    <s v="NF8631"/>
    <n v="1848"/>
    <x v="11"/>
    <n v="2019"/>
    <x v="10"/>
    <x v="2"/>
    <x v="10"/>
    <x v="2"/>
    <x v="0"/>
    <s v="À Prazo"/>
    <n v="25.887992416013731"/>
  </r>
  <r>
    <d v="2019-06-17T04:51:59"/>
    <d v="2019-06-09T00:00:00"/>
    <d v="2019-06-16T20:20:17"/>
    <x v="0"/>
    <x v="1"/>
    <s v="NF5098"/>
    <n v="191"/>
    <x v="10"/>
    <n v="2019"/>
    <x v="10"/>
    <x v="2"/>
    <x v="10"/>
    <x v="2"/>
    <x v="0"/>
    <s v="À Prazo"/>
    <n v="0.3553434612476849"/>
  </r>
  <r>
    <s v=""/>
    <d v="2019-06-13T00:00:00"/>
    <d v="2019-07-22T22:11:49"/>
    <x v="0"/>
    <x v="3"/>
    <s v="NF8169"/>
    <n v="508"/>
    <x v="4"/>
    <n v="0"/>
    <x v="10"/>
    <x v="2"/>
    <x v="11"/>
    <x v="2"/>
    <x v="1"/>
    <s v="À Prazo"/>
    <n v="1545.0751294987131"/>
  </r>
  <r>
    <d v="2019-07-17T14:30:41"/>
    <d v="2019-06-15T00:00:00"/>
    <d v="2019-07-17T14:30:41"/>
    <x v="0"/>
    <x v="4"/>
    <s v="NF4469"/>
    <n v="1482"/>
    <x v="11"/>
    <n v="2019"/>
    <x v="10"/>
    <x v="2"/>
    <x v="11"/>
    <x v="2"/>
    <x v="0"/>
    <s v="À Prazo"/>
    <n v="0"/>
  </r>
  <r>
    <d v="2019-07-01T14:28:40"/>
    <d v="2019-06-16T00:00:00"/>
    <d v="2019-07-01T14:28:40"/>
    <x v="0"/>
    <x v="2"/>
    <s v="NF6729"/>
    <n v="555"/>
    <x v="11"/>
    <n v="2019"/>
    <x v="10"/>
    <x v="2"/>
    <x v="11"/>
    <x v="2"/>
    <x v="0"/>
    <s v="À Prazo"/>
    <n v="0"/>
  </r>
  <r>
    <d v="2019-10-03T03:26:59"/>
    <d v="2019-06-20T00:00:00"/>
    <d v="2019-08-10T13:42:12"/>
    <x v="0"/>
    <x v="3"/>
    <s v="NF3586"/>
    <n v="1906"/>
    <x v="1"/>
    <n v="2019"/>
    <x v="10"/>
    <x v="2"/>
    <x v="0"/>
    <x v="2"/>
    <x v="0"/>
    <s v="À Prazo"/>
    <n v="53.572769729180436"/>
  </r>
  <r>
    <d v="2019-06-29T06:28:21"/>
    <d v="2019-06-25T00:00:00"/>
    <d v="2019-06-29T06:28:21"/>
    <x v="0"/>
    <x v="3"/>
    <s v="NF9837"/>
    <n v="450"/>
    <x v="10"/>
    <n v="2019"/>
    <x v="10"/>
    <x v="2"/>
    <x v="10"/>
    <x v="2"/>
    <x v="0"/>
    <s v="À Prazo"/>
    <n v="0"/>
  </r>
  <r>
    <s v=""/>
    <d v="2019-06-28T00:00:00"/>
    <d v="2019-07-16T06:26:47"/>
    <x v="0"/>
    <x v="1"/>
    <s v="NF6344"/>
    <n v="1479"/>
    <x v="4"/>
    <n v="0"/>
    <x v="10"/>
    <x v="2"/>
    <x v="11"/>
    <x v="2"/>
    <x v="1"/>
    <s v="À Prazo"/>
    <n v="1551.731398697244"/>
  </r>
  <r>
    <d v="2019-09-19T08:33:43"/>
    <d v="2019-06-29T00:00:00"/>
    <d v="2019-07-01T19:32:54"/>
    <x v="0"/>
    <x v="1"/>
    <s v="NF3701"/>
    <n v="3446"/>
    <x v="0"/>
    <n v="2019"/>
    <x v="10"/>
    <x v="2"/>
    <x v="11"/>
    <x v="2"/>
    <x v="0"/>
    <s v="À Prazo"/>
    <n v="79.5422349634900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155A19-4124-4B64-8FD0-0EC03D153CCE}" name="TDDetalhaReceita" cacheId="1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B4:O12" firstHeaderRow="1" firstDataRow="2" firstDataCol="1"/>
  <pivotFields count="16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16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numFmtId="1" showAl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oma de Valor" fld="6" baseField="4" baseItem="0" numFmtId="165"/>
  </dataFields>
  <formats count="51">
    <format dxfId="250">
      <pivotArea type="origin" dataOnly="0" labelOnly="1" outline="0" fieldPosition="0"/>
    </format>
    <format dxfId="249">
      <pivotArea field="9" type="button" dataOnly="0" labelOnly="1" outline="0" axis="axisCol" fieldPosition="0"/>
    </format>
    <format dxfId="248">
      <pivotArea type="topRight" dataOnly="0" labelOnly="1" outline="0" fieldPosition="0"/>
    </format>
    <format dxfId="247">
      <pivotArea field="3" type="button" dataOnly="0" labelOnly="1" outline="0" axis="axisRow" fieldPosition="0"/>
    </format>
    <format dxfId="246">
      <pivotArea dataOnly="0" labelOnly="1" fieldPosition="0">
        <references count="1">
          <reference field="9" count="0"/>
        </references>
      </pivotArea>
    </format>
    <format dxfId="245">
      <pivotArea dataOnly="0" labelOnly="1" grandCol="1" outline="0" fieldPosition="0"/>
    </format>
    <format dxfId="244">
      <pivotArea type="origin" dataOnly="0" labelOnly="1" outline="0" fieldPosition="0"/>
    </format>
    <format dxfId="243">
      <pivotArea field="9" type="button" dataOnly="0" labelOnly="1" outline="0" axis="axisCol" fieldPosition="0"/>
    </format>
    <format dxfId="242">
      <pivotArea type="topRight" dataOnly="0" labelOnly="1" outline="0" fieldPosition="0"/>
    </format>
    <format dxfId="241">
      <pivotArea field="3" type="button" dataOnly="0" labelOnly="1" outline="0" axis="axisRow" fieldPosition="0"/>
    </format>
    <format dxfId="240">
      <pivotArea dataOnly="0" labelOnly="1" fieldPosition="0">
        <references count="1">
          <reference field="9" count="0"/>
        </references>
      </pivotArea>
    </format>
    <format dxfId="239">
      <pivotArea dataOnly="0" labelOnly="1" grandCol="1" outline="0" fieldPosition="0"/>
    </format>
    <format dxfId="238">
      <pivotArea type="origin" dataOnly="0" labelOnly="1" outline="0" fieldPosition="0"/>
    </format>
    <format dxfId="237">
      <pivotArea field="9" type="button" dataOnly="0" labelOnly="1" outline="0" axis="axisCol" fieldPosition="0"/>
    </format>
    <format dxfId="236">
      <pivotArea type="topRight" dataOnly="0" labelOnly="1" outline="0" fieldPosition="0"/>
    </format>
    <format dxfId="235">
      <pivotArea field="3" type="button" dataOnly="0" labelOnly="1" outline="0" axis="axisRow" fieldPosition="0"/>
    </format>
    <format dxfId="234">
      <pivotArea dataOnly="0" labelOnly="1" fieldPosition="0">
        <references count="1">
          <reference field="9" count="0"/>
        </references>
      </pivotArea>
    </format>
    <format dxfId="233">
      <pivotArea dataOnly="0" labelOnly="1" grandCol="1" outline="0" fieldPosition="0"/>
    </format>
    <format dxfId="232">
      <pivotArea type="origin" dataOnly="0" labelOnly="1" outline="0" fieldPosition="0"/>
    </format>
    <format dxfId="231">
      <pivotArea field="9" type="button" dataOnly="0" labelOnly="1" outline="0" axis="axisCol" fieldPosition="0"/>
    </format>
    <format dxfId="230">
      <pivotArea type="topRight" dataOnly="0" labelOnly="1" outline="0" fieldPosition="0"/>
    </format>
    <format dxfId="229">
      <pivotArea field="3" type="button" dataOnly="0" labelOnly="1" outline="0" axis="axisRow" fieldPosition="0"/>
    </format>
    <format dxfId="228">
      <pivotArea dataOnly="0" labelOnly="1" fieldPosition="0">
        <references count="1">
          <reference field="9" count="0"/>
        </references>
      </pivotArea>
    </format>
    <format dxfId="227">
      <pivotArea dataOnly="0" labelOnly="1" grandCol="1" outline="0" fieldPosition="0"/>
    </format>
    <format dxfId="226">
      <pivotArea outline="0" collapsedLevelsAreSubtotals="1" fieldPosition="0"/>
    </format>
    <format dxfId="225">
      <pivotArea dataOnly="0" labelOnly="1" fieldPosition="0">
        <references count="1">
          <reference field="3" count="0"/>
        </references>
      </pivotArea>
    </format>
    <format dxfId="224">
      <pivotArea dataOnly="0" labelOnly="1" grandRow="1" outline="0" fieldPosition="0"/>
    </format>
    <format dxfId="223">
      <pivotArea dataOnly="0" labelOnly="1" fieldPosition="0">
        <references count="2">
          <reference field="3" count="0" selected="0"/>
          <reference field="4" count="0"/>
        </references>
      </pivotArea>
    </format>
    <format dxfId="222">
      <pivotArea outline="0" fieldPosition="0">
        <references count="1">
          <reference field="4294967294" count="1">
            <x v="0"/>
          </reference>
        </references>
      </pivotArea>
    </format>
    <format dxfId="221">
      <pivotArea type="all" dataOnly="0" outline="0" fieldPosition="0"/>
    </format>
    <format dxfId="220">
      <pivotArea outline="0" collapsedLevelsAreSubtotals="1" fieldPosition="0"/>
    </format>
    <format dxfId="219">
      <pivotArea type="origin" dataOnly="0" labelOnly="1" outline="0" fieldPosition="0"/>
    </format>
    <format dxfId="218">
      <pivotArea field="9" type="button" dataOnly="0" labelOnly="1" outline="0" axis="axisCol" fieldPosition="0"/>
    </format>
    <format dxfId="217">
      <pivotArea type="topRight" dataOnly="0" labelOnly="1" outline="0" fieldPosition="0"/>
    </format>
    <format dxfId="216">
      <pivotArea field="3" type="button" dataOnly="0" labelOnly="1" outline="0" axis="axisRow" fieldPosition="0"/>
    </format>
    <format dxfId="215">
      <pivotArea dataOnly="0" labelOnly="1" fieldPosition="0">
        <references count="1">
          <reference field="3" count="0"/>
        </references>
      </pivotArea>
    </format>
    <format dxfId="214">
      <pivotArea dataOnly="0" labelOnly="1" grandRow="1" outline="0" fieldPosition="0"/>
    </format>
    <format dxfId="213">
      <pivotArea dataOnly="0" labelOnly="1" fieldPosition="0">
        <references count="2">
          <reference field="3" count="0" selected="0"/>
          <reference field="4" count="0"/>
        </references>
      </pivotArea>
    </format>
    <format dxfId="212">
      <pivotArea dataOnly="0" labelOnly="1" fieldPosition="0">
        <references count="1">
          <reference field="9" count="0"/>
        </references>
      </pivotArea>
    </format>
    <format dxfId="211">
      <pivotArea dataOnly="0" labelOnly="1" grandCol="1" outline="0" fieldPosition="0"/>
    </format>
    <format dxfId="210">
      <pivotArea grandRow="1" outline="0" collapsedLevelsAreSubtotals="1" fieldPosition="0"/>
    </format>
    <format dxfId="209">
      <pivotArea dataOnly="0" labelOnly="1" grandRow="1" outline="0" fieldPosition="0"/>
    </format>
    <format dxfId="208">
      <pivotArea type="origin" dataOnly="0" labelOnly="1" outline="0" fieldPosition="0"/>
    </format>
    <format dxfId="207">
      <pivotArea field="3" type="button" dataOnly="0" labelOnly="1" outline="0" axis="axisRow" fieldPosition="0"/>
    </format>
    <format dxfId="206">
      <pivotArea dataOnly="0" labelOnly="1" fieldPosition="0">
        <references count="1">
          <reference field="3" count="0"/>
        </references>
      </pivotArea>
    </format>
    <format dxfId="205">
      <pivotArea dataOnly="0" labelOnly="1" grandRow="1" outline="0" fieldPosition="0"/>
    </format>
    <format dxfId="204">
      <pivotArea dataOnly="0" labelOnly="1" fieldPosition="0">
        <references count="2">
          <reference field="3" count="0" selected="0"/>
          <reference field="4" count="0"/>
        </references>
      </pivotArea>
    </format>
    <format dxfId="203">
      <pivotArea dataOnly="0" labelOnly="1" fieldPosition="0">
        <references count="2">
          <reference field="3" count="0" selected="0"/>
          <reference field="4" count="0"/>
        </references>
      </pivotArea>
    </format>
    <format dxfId="202">
      <pivotArea dataOnly="0" labelOnly="1" fieldPosition="0">
        <references count="1">
          <reference field="3" count="0"/>
        </references>
      </pivotArea>
    </format>
    <format dxfId="201">
      <pivotArea grandCol="1" outline="0" collapsedLevelsAreSubtotals="1" fieldPosition="0"/>
    </format>
    <format dxfId="200">
      <pivotArea dataOnly="0" labelOnly="1" grandCol="1" outline="0" fieldPosition="0"/>
    </format>
  </formats>
  <pivotTableStyleInfo name="PivotStyleLight18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4387A6-D386-45C0-836A-6330B2CF0AB7}" name="TDDetalhaDespesa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B4:O12" firstHeaderRow="1" firstDataRow="2" firstDataCol="1"/>
  <pivotFields count="13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numFmtId="164" showAll="0"/>
    <pivotField showAll="0"/>
    <pivotField showAll="0"/>
    <pivotField axis="axisCol" numFmtId="1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numFmtId="1" showAll="0">
      <items count="4">
        <item x="0"/>
        <item x="1"/>
        <item x="2"/>
        <item t="default"/>
      </items>
    </pivotField>
    <pivotField numFmtId="1" showAll="0"/>
    <pivotField numFmtId="1" showAl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oma de Valor" fld="6" baseField="4" baseItem="1" numFmtId="165"/>
  </dataFields>
  <formats count="38">
    <format dxfId="199">
      <pivotArea type="origin" dataOnly="0" labelOnly="1" outline="0" fieldPosition="0"/>
    </format>
    <format dxfId="198">
      <pivotArea field="9" type="button" dataOnly="0" labelOnly="1" outline="0" axis="axisCol" fieldPosition="0"/>
    </format>
    <format dxfId="197">
      <pivotArea type="topRight" dataOnly="0" labelOnly="1" outline="0" fieldPosition="0"/>
    </format>
    <format dxfId="196">
      <pivotArea field="3" type="button" dataOnly="0" labelOnly="1" outline="0" axis="axisRow" fieldPosition="0"/>
    </format>
    <format dxfId="195">
      <pivotArea dataOnly="0" labelOnly="1" fieldPosition="0">
        <references count="1">
          <reference field="9" count="0"/>
        </references>
      </pivotArea>
    </format>
    <format dxfId="194">
      <pivotArea dataOnly="0" labelOnly="1" grandCol="1" outline="0" fieldPosition="0"/>
    </format>
    <format dxfId="193">
      <pivotArea grandRow="1" outline="0" collapsedLevelsAreSubtotals="1" fieldPosition="0"/>
    </format>
    <format dxfId="192">
      <pivotArea dataOnly="0" labelOnly="1" grandRow="1" outline="0" fieldPosition="0"/>
    </format>
    <format dxfId="191">
      <pivotArea type="all" dataOnly="0" outline="0" fieldPosition="0"/>
    </format>
    <format dxfId="190">
      <pivotArea outline="0" collapsedLevelsAreSubtotals="1" fieldPosition="0"/>
    </format>
    <format dxfId="189">
      <pivotArea type="origin" dataOnly="0" labelOnly="1" outline="0" fieldPosition="0"/>
    </format>
    <format dxfId="188">
      <pivotArea field="9" type="button" dataOnly="0" labelOnly="1" outline="0" axis="axisCol" fieldPosition="0"/>
    </format>
    <format dxfId="187">
      <pivotArea type="topRight" dataOnly="0" labelOnly="1" outline="0" fieldPosition="0"/>
    </format>
    <format dxfId="186">
      <pivotArea field="3" type="button" dataOnly="0" labelOnly="1" outline="0" axis="axisRow" fieldPosition="0"/>
    </format>
    <format dxfId="185">
      <pivotArea dataOnly="0" labelOnly="1" fieldPosition="0">
        <references count="1">
          <reference field="3" count="0"/>
        </references>
      </pivotArea>
    </format>
    <format dxfId="184">
      <pivotArea dataOnly="0" labelOnly="1" grandRow="1" outline="0" fieldPosition="0"/>
    </format>
    <format dxfId="183">
      <pivotArea dataOnly="0" labelOnly="1" fieldPosition="0">
        <references count="2">
          <reference field="3" count="0" selected="0"/>
          <reference field="4" count="0"/>
        </references>
      </pivotArea>
    </format>
    <format dxfId="182">
      <pivotArea dataOnly="0" labelOnly="1" fieldPosition="0">
        <references count="1">
          <reference field="9" count="0"/>
        </references>
      </pivotArea>
    </format>
    <format dxfId="181">
      <pivotArea dataOnly="0" labelOnly="1" grandCol="1" outline="0" fieldPosition="0"/>
    </format>
    <format dxfId="180">
      <pivotArea field="3" type="button" dataOnly="0" labelOnly="1" outline="0" axis="axisRow" fieldPosition="0"/>
    </format>
    <format dxfId="179">
      <pivotArea dataOnly="0" labelOnly="1" fieldPosition="0">
        <references count="1">
          <reference field="9" count="0"/>
        </references>
      </pivotArea>
    </format>
    <format dxfId="178">
      <pivotArea dataOnly="0" labelOnly="1" grandCol="1" outline="0" fieldPosition="0"/>
    </format>
    <format dxfId="177">
      <pivotArea type="origin" dataOnly="0" labelOnly="1" outline="0" fieldPosition="0"/>
    </format>
    <format dxfId="176">
      <pivotArea field="9" type="button" dataOnly="0" labelOnly="1" outline="0" axis="axisCol" fieldPosition="0"/>
    </format>
    <format dxfId="175">
      <pivotArea type="topRight" dataOnly="0" labelOnly="1" outline="0" fieldPosition="0"/>
    </format>
    <format dxfId="174">
      <pivotArea outline="0" fieldPosition="0">
        <references count="1">
          <reference field="4294967294" count="1">
            <x v="0"/>
          </reference>
        </references>
      </pivotArea>
    </format>
    <format dxfId="173">
      <pivotArea dataOnly="0" labelOnly="1" grandCol="1" outline="0" fieldPosition="0"/>
    </format>
    <format dxfId="172">
      <pivotArea grandCol="1" outline="0" collapsedLevelsAreSubtotals="1" fieldPosition="0"/>
    </format>
    <format dxfId="171">
      <pivotArea type="topRight" dataOnly="0" labelOnly="1" outline="0" offset="L1" fieldPosition="0"/>
    </format>
    <format dxfId="170">
      <pivotArea dataOnly="0" labelOnly="1" grandCol="1" outline="0" fieldPosition="0"/>
    </format>
    <format dxfId="169">
      <pivotArea type="origin" dataOnly="0" labelOnly="1" outline="0" fieldPosition="0"/>
    </format>
    <format dxfId="168">
      <pivotArea field="3" type="button" dataOnly="0" labelOnly="1" outline="0" axis="axisRow" fieldPosition="0"/>
    </format>
    <format dxfId="167">
      <pivotArea dataOnly="0" labelOnly="1" fieldPosition="0">
        <references count="1">
          <reference field="3" count="0"/>
        </references>
      </pivotArea>
    </format>
    <format dxfId="166">
      <pivotArea dataOnly="0" labelOnly="1" grandRow="1" outline="0" fieldPosition="0"/>
    </format>
    <format dxfId="165">
      <pivotArea dataOnly="0" labelOnly="1" fieldPosition="0">
        <references count="2">
          <reference field="3" count="0" selected="0"/>
          <reference field="4" count="0"/>
        </references>
      </pivotArea>
    </format>
    <format dxfId="164">
      <pivotArea dataOnly="0" labelOnly="1" grandCol="1" outline="0" fieldPosition="0"/>
    </format>
    <format dxfId="163">
      <pivotArea dataOnly="0" labelOnly="1" fieldPosition="0">
        <references count="1">
          <reference field="3" count="0"/>
        </references>
      </pivotArea>
    </format>
    <format dxfId="162">
      <pivotArea dataOnly="0" labelOnly="1" fieldPosition="0">
        <references count="2">
          <reference field="3" count="0" selected="0"/>
          <reference field="4" count="1">
            <x v="4"/>
          </reference>
        </references>
      </pivotArea>
    </format>
  </formats>
  <pivotTableStyleInfo name="PivotStyleLight18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068D07-BD21-48EB-89C0-D290E603C917}" name="TDContasReceber" cacheId="1" applyNumberFormats="0" applyBorderFormats="0" applyFontFormats="0" applyPatternFormats="0" applyAlignmentFormats="0" applyWidthHeightFormats="1" dataCaption="Valores" updatedVersion="8" minRefreshableVersion="3" colGrandTotals="0" itemPrintTitles="1" createdVersion="8" indent="0" outline="1" outlineData="1" multipleFieldFilters="0">
  <location ref="B4:M12" firstHeaderRow="1" firstDataRow="3" firstDataCol="1"/>
  <pivotFields count="16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164" showAll="0"/>
    <pivotField axis="axisCol" showAll="0">
      <items count="14">
        <item x="4"/>
        <item h="1" x="6"/>
        <item h="1" x="5"/>
        <item h="1" x="7"/>
        <item h="1" x="9"/>
        <item h="1" x="8"/>
        <item h="1" x="10"/>
        <item h="1" x="11"/>
        <item h="1" x="12"/>
        <item h="1" x="0"/>
        <item h="1" x="1"/>
        <item h="1" x="2"/>
        <item h="1" x="3"/>
        <item t="default"/>
      </items>
    </pivotField>
    <pivotField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numFmtId="1" showAll="0"/>
  </pivotFields>
  <rowFields count="2">
    <field x="3"/>
    <field x="4"/>
  </rowFields>
  <rowItems count="6">
    <i>
      <x/>
    </i>
    <i r="1">
      <x/>
    </i>
    <i r="1">
      <x v="1"/>
    </i>
    <i r="1">
      <x v="3"/>
    </i>
    <i r="1">
      <x v="4"/>
    </i>
    <i t="grand">
      <x/>
    </i>
  </rowItems>
  <colFields count="2">
    <field x="7"/>
    <field x="11"/>
  </colFields>
  <colItems count="11">
    <i>
      <x/>
      <x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</colItems>
  <dataFields count="1">
    <dataField name="Soma de Valor" fld="6" baseField="4" baseItem="0" numFmtId="165"/>
  </dataFields>
  <formats count="55">
    <format dxfId="161">
      <pivotArea type="origin" dataOnly="0" labelOnly="1" outline="0" fieldPosition="0"/>
    </format>
    <format dxfId="160">
      <pivotArea field="7" type="button" dataOnly="0" labelOnly="1" outline="0" axis="axisCol" fieldPosition="0"/>
    </format>
    <format dxfId="159">
      <pivotArea field="11" type="button" dataOnly="0" labelOnly="1" outline="0" axis="axisCol" fieldPosition="1"/>
    </format>
    <format dxfId="158">
      <pivotArea type="topRight" dataOnly="0" labelOnly="1" outline="0" offset="A1:K1" fieldPosition="0"/>
    </format>
    <format dxfId="157">
      <pivotArea field="3" type="button" dataOnly="0" labelOnly="1" outline="0" axis="axisRow" fieldPosition="0"/>
    </format>
    <format dxfId="156">
      <pivotArea dataOnly="0" labelOnly="1" fieldPosition="0">
        <references count="1">
          <reference field="7" count="1">
            <x v="0"/>
          </reference>
        </references>
      </pivotArea>
    </format>
    <format dxfId="155">
      <pivotArea dataOnly="0" labelOnly="1" fieldPosition="0">
        <references count="1">
          <reference field="7" count="1" defaultSubtotal="1">
            <x v="0"/>
          </reference>
        </references>
      </pivotArea>
    </format>
    <format dxfId="154">
      <pivotArea dataOnly="0" labelOnly="1" offset="A256:B256" fieldPosition="0">
        <references count="1">
          <reference field="7" count="1">
            <x v="1"/>
          </reference>
        </references>
      </pivotArea>
    </format>
    <format dxfId="153">
      <pivotArea dataOnly="0" labelOnly="1" fieldPosition="0">
        <references count="2">
          <reference field="7" count="1" selected="0">
            <x v="0"/>
          </reference>
          <reference field="11" count="10">
            <x v="0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52">
      <pivotArea dataOnly="0" labelOnly="1" fieldPosition="0">
        <references count="2">
          <reference field="7" count="1" selected="0">
            <x v="1"/>
          </reference>
          <reference field="11" count="2">
            <x v="0"/>
            <x v="10"/>
          </reference>
        </references>
      </pivotArea>
    </format>
    <format dxfId="151">
      <pivotArea field="7" grandRow="1" outline="0" collapsedLevelsAreSubtotals="1" axis="axisCol" fieldPosition="0">
        <references count="1">
          <reference field="7" count="1" selected="0" defaultSubtotal="1">
            <x v="0"/>
          </reference>
        </references>
      </pivotArea>
    </format>
    <format dxfId="150">
      <pivotArea field="11" grandRow="1" outline="0" collapsedLevelsAreSubtotals="1" axis="axisCol" fieldPosition="1">
        <references count="2">
          <reference field="7" count="1" selected="0">
            <x v="1"/>
          </reference>
          <reference field="11" count="2" selected="0">
            <x v="0"/>
            <x v="10"/>
          </reference>
        </references>
      </pivotArea>
    </format>
    <format dxfId="149">
      <pivotArea dataOnly="0" labelOnly="1" grandRow="1" outline="0" fieldPosition="0"/>
    </format>
    <format dxfId="148">
      <pivotArea grandRow="1" outline="0" collapsedLevelsAreSubtotals="1" fieldPosition="0"/>
    </format>
    <format dxfId="147">
      <pivotArea dataOnly="0" labelOnly="1" grandRow="1" outline="0" fieldPosition="0"/>
    </format>
    <format dxfId="146">
      <pivotArea type="all" dataOnly="0" outline="0" fieldPosition="0"/>
    </format>
    <format dxfId="145">
      <pivotArea outline="0" collapsedLevelsAreSubtotals="1" fieldPosition="0"/>
    </format>
    <format dxfId="144">
      <pivotArea type="origin" dataOnly="0" labelOnly="1" outline="0" fieldPosition="0"/>
    </format>
    <format dxfId="143">
      <pivotArea type="topRight" dataOnly="0" labelOnly="1" outline="0" fieldPosition="0"/>
    </format>
    <format dxfId="142">
      <pivotArea field="3" type="button" dataOnly="0" labelOnly="1" outline="0" axis="axisRow" fieldPosition="0"/>
    </format>
    <format dxfId="141">
      <pivotArea dataOnly="0" labelOnly="1" fieldPosition="0">
        <references count="1">
          <reference field="3" count="0"/>
        </references>
      </pivotArea>
    </format>
    <format dxfId="140">
      <pivotArea dataOnly="0" labelOnly="1" grandRow="1" outline="0" fieldPosition="0"/>
    </format>
    <format dxfId="139">
      <pivotArea dataOnly="0" labelOnly="1" fieldPosition="0">
        <references count="2">
          <reference field="3" count="0" selected="0"/>
          <reference field="4" count="4">
            <x v="0"/>
            <x v="1"/>
            <x v="3"/>
            <x v="4"/>
          </reference>
        </references>
      </pivotArea>
    </format>
    <format dxfId="138">
      <pivotArea dataOnly="0" labelOnly="1" fieldPosition="0">
        <references count="1">
          <reference field="7" count="0"/>
        </references>
      </pivotArea>
    </format>
    <format dxfId="137">
      <pivotArea dataOnly="0" labelOnly="1" fieldPosition="0">
        <references count="2">
          <reference field="7" count="0" selected="0"/>
          <reference field="11" count="10">
            <x v="0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36">
      <pivotArea type="origin" dataOnly="0" labelOnly="1" outline="0" offset="A2" fieldPosition="0"/>
    </format>
    <format dxfId="135">
      <pivotArea dataOnly="0" labelOnly="1" fieldPosition="0">
        <references count="1">
          <reference field="7" count="0"/>
        </references>
      </pivotArea>
    </format>
    <format dxfId="134">
      <pivotArea type="origin" dataOnly="0" labelOnly="1" outline="0" offset="A2" fieldPosition="0"/>
    </format>
    <format dxfId="133">
      <pivotArea dataOnly="0" labelOnly="1" fieldPosition="0">
        <references count="1">
          <reference field="7" count="0"/>
        </references>
      </pivotArea>
    </format>
    <format dxfId="132">
      <pivotArea field="3" type="button" dataOnly="0" labelOnly="1" outline="0" axis="axisRow" fieldPosition="0"/>
    </format>
    <format dxfId="131">
      <pivotArea dataOnly="0" labelOnly="1" fieldPosition="0">
        <references count="2">
          <reference field="7" count="0" selected="0"/>
          <reference field="11" count="10">
            <x v="0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30">
      <pivotArea grandRow="1" outline="0" collapsedLevelsAreSubtotals="1" fieldPosition="0"/>
    </format>
    <format dxfId="129">
      <pivotArea dataOnly="0" labelOnly="1" grandRow="1" outline="0" fieldPosition="0"/>
    </format>
    <format dxfId="128">
      <pivotArea outline="0" fieldPosition="0">
        <references count="1">
          <reference field="4294967294" count="1">
            <x v="0"/>
          </reference>
        </references>
      </pivotArea>
    </format>
    <format dxfId="127">
      <pivotArea field="7" type="button" dataOnly="0" labelOnly="1" outline="0" axis="axisCol" fieldPosition="0"/>
    </format>
    <format dxfId="126">
      <pivotArea field="11" type="button" dataOnly="0" labelOnly="1" outline="0" axis="axisCol" fieldPosition="1"/>
    </format>
    <format dxfId="125">
      <pivotArea field="7" type="button" dataOnly="0" labelOnly="1" outline="0" axis="axisCol" fieldPosition="0"/>
    </format>
    <format dxfId="124">
      <pivotArea field="11" type="button" dataOnly="0" labelOnly="1" outline="0" axis="axisCol" fieldPosition="1"/>
    </format>
    <format dxfId="123">
      <pivotArea field="7" type="button" dataOnly="0" labelOnly="1" outline="0" axis="axisCol" fieldPosition="0"/>
    </format>
    <format dxfId="122">
      <pivotArea field="11" type="button" dataOnly="0" labelOnly="1" outline="0" axis="axisCol" fieldPosition="1"/>
    </format>
    <format dxfId="121">
      <pivotArea dataOnly="0" labelOnly="1" fieldPosition="0">
        <references count="1">
          <reference field="7" count="0" defaultSubtotal="1"/>
        </references>
      </pivotArea>
    </format>
    <format dxfId="120">
      <pivotArea dataOnly="0" labelOnly="1" fieldPosition="0">
        <references count="1">
          <reference field="7" count="0" defaultSubtotal="1"/>
        </references>
      </pivotArea>
    </format>
    <format dxfId="119">
      <pivotArea dataOnly="0" labelOnly="1" fieldPosition="0">
        <references count="1">
          <reference field="7" count="0" defaultSubtotal="1"/>
        </references>
      </pivotArea>
    </format>
    <format dxfId="118">
      <pivotArea dataOnly="0" labelOnly="1" fieldPosition="0">
        <references count="1">
          <reference field="7" count="0" defaultSubtotal="1"/>
        </references>
      </pivotArea>
    </format>
    <format dxfId="117">
      <pivotArea type="origin" dataOnly="0" labelOnly="1" outline="0" offset="A2" fieldPosition="0"/>
    </format>
    <format dxfId="116">
      <pivotArea field="3" type="button" dataOnly="0" labelOnly="1" outline="0" axis="axisRow" fieldPosition="0"/>
    </format>
    <format dxfId="115">
      <pivotArea dataOnly="0" labelOnly="1" offset="A256" fieldPosition="0">
        <references count="1">
          <reference field="7" count="0"/>
        </references>
      </pivotArea>
    </format>
    <format dxfId="114">
      <pivotArea dataOnly="0" labelOnly="1" fieldPosition="0">
        <references count="2">
          <reference field="7" count="0" selected="0"/>
          <reference field="11" count="1">
            <x v="0"/>
          </reference>
        </references>
      </pivotArea>
    </format>
    <format dxfId="113">
      <pivotArea field="7" type="button" dataOnly="0" labelOnly="1" outline="0" axis="axisCol" fieldPosition="0"/>
    </format>
    <format dxfId="112">
      <pivotArea field="11" type="button" dataOnly="0" labelOnly="1" outline="0" axis="axisCol" fieldPosition="1"/>
    </format>
    <format dxfId="111">
      <pivotArea dataOnly="0" labelOnly="1" fieldPosition="0">
        <references count="1">
          <reference field="7" count="0" defaultSubtotal="1"/>
        </references>
      </pivotArea>
    </format>
    <format dxfId="110">
      <pivotArea dataOnly="0" labelOnly="1" fieldPosition="0">
        <references count="1">
          <reference field="3" count="0"/>
        </references>
      </pivotArea>
    </format>
    <format dxfId="109">
      <pivotArea dataOnly="0" labelOnly="1" fieldPosition="0">
        <references count="2">
          <reference field="3" count="0" selected="0"/>
          <reference field="4" count="4">
            <x v="0"/>
            <x v="1"/>
            <x v="3"/>
            <x v="4"/>
          </reference>
        </references>
      </pivotArea>
    </format>
    <format dxfId="108">
      <pivotArea dataOnly="0" labelOnly="1" fieldPosition="0">
        <references count="1">
          <reference field="3" count="0"/>
        </references>
      </pivotArea>
    </format>
    <format dxfId="107">
      <pivotArea dataOnly="0" labelOnly="1" grandRow="1" outline="0" fieldPosition="0"/>
    </format>
  </formats>
  <pivotTableStyleInfo name="PivotStyleLight18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DCFC70-C2E6-4E4F-BBFE-705FA64DDD9E}" name="TDContasPagar" cacheId="0" applyNumberFormats="0" applyBorderFormats="0" applyFontFormats="0" applyPatternFormats="0" applyAlignmentFormats="0" applyWidthHeightFormats="1" dataCaption="Valores" updatedVersion="8" minRefreshableVersion="3" colGrandTotals="0" itemPrintTitles="1" createdVersion="8" indent="0" outline="1" outlineData="1" multipleFieldFilters="0">
  <location ref="B4:L12" firstHeaderRow="1" firstDataRow="3" firstDataCol="1"/>
  <pivotFields count="13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numFmtId="164" showAll="0"/>
    <pivotField axis="axisCol" showAll="0">
      <items count="14">
        <item x="2"/>
        <item h="1" x="4"/>
        <item h="1" x="5"/>
        <item h="1" x="7"/>
        <item h="1" x="9"/>
        <item h="1" x="8"/>
        <item h="1" x="11"/>
        <item h="1" x="10"/>
        <item h="1" x="12"/>
        <item h="1" x="1"/>
        <item h="1" x="0"/>
        <item h="1" x="3"/>
        <item h="1" x="6"/>
        <item t="default"/>
      </items>
    </pivotField>
    <pivotField showAll="0"/>
    <pivotField numFmtId="1" showAll="0"/>
    <pivotField numFmtId="1" showAll="0"/>
    <pivotField axis="axisCol" numFmtId="1" showAll="0">
      <items count="13">
        <item x="4"/>
        <item x="5"/>
        <item x="6"/>
        <item x="7"/>
        <item x="8"/>
        <item x="9"/>
        <item x="10"/>
        <item x="11"/>
        <item x="1"/>
        <item x="0"/>
        <item x="2"/>
        <item x="3"/>
        <item t="default"/>
      </items>
    </pivotField>
    <pivotField numFmtId="1" showAll="0">
      <items count="4">
        <item x="0"/>
        <item x="1"/>
        <item x="2"/>
        <item t="default"/>
      </items>
    </pivotField>
  </pivotFields>
  <rowFields count="2">
    <field x="3"/>
    <field x="4"/>
  </rowFields>
  <rowItems count="6">
    <i>
      <x/>
    </i>
    <i r="1">
      <x v="1"/>
    </i>
    <i r="1">
      <x v="2"/>
    </i>
    <i r="1">
      <x v="3"/>
    </i>
    <i r="1">
      <x v="4"/>
    </i>
    <i t="grand">
      <x/>
    </i>
  </rowItems>
  <colFields count="2">
    <field x="7"/>
    <field x="11"/>
  </colFields>
  <colItems count="10">
    <i>
      <x/>
      <x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1"/>
    </i>
    <i t="default">
      <x/>
    </i>
  </colItems>
  <dataFields count="1">
    <dataField name="Soma de Valor" fld="6" baseField="4" baseItem="2" numFmtId="165"/>
  </dataFields>
  <formats count="63">
    <format dxfId="106">
      <pivotArea type="all" dataOnly="0" outline="0" fieldPosition="0"/>
    </format>
    <format dxfId="105">
      <pivotArea outline="0" collapsedLevelsAreSubtotals="1" fieldPosition="0"/>
    </format>
    <format dxfId="104">
      <pivotArea type="origin" dataOnly="0" labelOnly="1" outline="0" fieldPosition="0"/>
    </format>
    <format dxfId="103">
      <pivotArea field="7" type="button" dataOnly="0" labelOnly="1" outline="0" axis="axisCol" fieldPosition="0"/>
    </format>
    <format dxfId="102">
      <pivotArea field="11" type="button" dataOnly="0" labelOnly="1" outline="0" axis="axisCol" fieldPosition="1"/>
    </format>
    <format dxfId="101">
      <pivotArea type="topRight" dataOnly="0" labelOnly="1" outline="0" fieldPosition="0"/>
    </format>
    <format dxfId="100">
      <pivotArea field="3" type="button" dataOnly="0" labelOnly="1" outline="0" axis="axisRow" fieldPosition="0"/>
    </format>
    <format dxfId="99">
      <pivotArea dataOnly="0" labelOnly="1" fieldPosition="0">
        <references count="1">
          <reference field="3" count="0"/>
        </references>
      </pivotArea>
    </format>
    <format dxfId="98">
      <pivotArea dataOnly="0" labelOnly="1" grandRow="1" outline="0" fieldPosition="0"/>
    </format>
    <format dxfId="97">
      <pivotArea dataOnly="0" labelOnly="1" fieldPosition="0">
        <references count="2">
          <reference field="3" count="0" selected="0"/>
          <reference field="4" count="4">
            <x v="1"/>
            <x v="2"/>
            <x v="3"/>
            <x v="4"/>
          </reference>
        </references>
      </pivotArea>
    </format>
    <format dxfId="96">
      <pivotArea dataOnly="0" labelOnly="1" fieldPosition="0">
        <references count="1">
          <reference field="7" count="0"/>
        </references>
      </pivotArea>
    </format>
    <format dxfId="95">
      <pivotArea dataOnly="0" labelOnly="1" fieldPosition="0">
        <references count="1">
          <reference field="7" count="0" defaultSubtotal="1"/>
        </references>
      </pivotArea>
    </format>
    <format dxfId="94">
      <pivotArea dataOnly="0" labelOnly="1" grandCol="1" outline="0" fieldPosition="0"/>
    </format>
    <format dxfId="93">
      <pivotArea dataOnly="0" labelOnly="1" fieldPosition="0">
        <references count="2">
          <reference field="7" count="0" selected="0"/>
          <reference field="11" count="9">
            <x v="0"/>
            <x v="2"/>
            <x v="3"/>
            <x v="5"/>
            <x v="6"/>
            <x v="7"/>
            <x v="8"/>
            <x v="9"/>
            <x v="11"/>
          </reference>
        </references>
      </pivotArea>
    </format>
    <format dxfId="92">
      <pivotArea type="origin" dataOnly="0" labelOnly="1" outline="0" fieldPosition="0"/>
    </format>
    <format dxfId="91">
      <pivotArea field="3" type="button" dataOnly="0" labelOnly="1" outline="0" axis="axisRow" fieldPosition="0"/>
    </format>
    <format dxfId="90">
      <pivotArea dataOnly="0" labelOnly="1" fieldPosition="0">
        <references count="1">
          <reference field="7" count="0" defaultSubtotal="1"/>
        </references>
      </pivotArea>
    </format>
    <format dxfId="89">
      <pivotArea dataOnly="0" labelOnly="1" grandCol="1" outline="0" fieldPosition="0"/>
    </format>
    <format dxfId="88">
      <pivotArea dataOnly="0" labelOnly="1" fieldPosition="0">
        <references count="2">
          <reference field="7" count="0" selected="0"/>
          <reference field="11" count="9">
            <x v="0"/>
            <x v="2"/>
            <x v="3"/>
            <x v="5"/>
            <x v="6"/>
            <x v="7"/>
            <x v="8"/>
            <x v="9"/>
            <x v="11"/>
          </reference>
        </references>
      </pivotArea>
    </format>
    <format dxfId="87">
      <pivotArea type="origin" dataOnly="0" labelOnly="1" outline="0" offset="A2" fieldPosition="0"/>
    </format>
    <format dxfId="86">
      <pivotArea dataOnly="0" labelOnly="1" fieldPosition="0">
        <references count="1">
          <reference field="7" count="0"/>
        </references>
      </pivotArea>
    </format>
    <format dxfId="85">
      <pivotArea dataOnly="0" labelOnly="1" offset="IV1" fieldPosition="0">
        <references count="1">
          <reference field="7" count="0" defaultSubtotal="1"/>
        </references>
      </pivotArea>
    </format>
    <format dxfId="84">
      <pivotArea dataOnly="0" labelOnly="1" grandCol="1" outline="0" offset="IV1" fieldPosition="0"/>
    </format>
    <format dxfId="83">
      <pivotArea type="origin" dataOnly="0" labelOnly="1" outline="0" offset="A1" fieldPosition="0"/>
    </format>
    <format dxfId="82">
      <pivotArea field="7" type="button" dataOnly="0" labelOnly="1" outline="0" axis="axisCol" fieldPosition="0"/>
    </format>
    <format dxfId="81">
      <pivotArea field="11" type="button" dataOnly="0" labelOnly="1" outline="0" axis="axisCol" fieldPosition="1"/>
    </format>
    <format dxfId="80">
      <pivotArea type="topRight" dataOnly="0" labelOnly="1" outline="0" fieldPosition="0"/>
    </format>
    <format dxfId="79">
      <pivotArea type="origin" dataOnly="0" labelOnly="1" outline="0" fieldPosition="0"/>
    </format>
    <format dxfId="78">
      <pivotArea field="7" type="button" dataOnly="0" labelOnly="1" outline="0" axis="axisCol" fieldPosition="0"/>
    </format>
    <format dxfId="77">
      <pivotArea field="11" type="button" dataOnly="0" labelOnly="1" outline="0" axis="axisCol" fieldPosition="1"/>
    </format>
    <format dxfId="76">
      <pivotArea type="topRight" dataOnly="0" labelOnly="1" outline="0" fieldPosition="0"/>
    </format>
    <format dxfId="75">
      <pivotArea field="3" type="button" dataOnly="0" labelOnly="1" outline="0" axis="axisRow" fieldPosition="0"/>
    </format>
    <format dxfId="74">
      <pivotArea dataOnly="0" labelOnly="1" fieldPosition="0">
        <references count="1">
          <reference field="7" count="0"/>
        </references>
      </pivotArea>
    </format>
    <format dxfId="73">
      <pivotArea dataOnly="0" labelOnly="1" fieldPosition="0">
        <references count="1">
          <reference field="7" count="0" defaultSubtotal="1"/>
        </references>
      </pivotArea>
    </format>
    <format dxfId="72">
      <pivotArea dataOnly="0" labelOnly="1" grandCol="1" outline="0" fieldPosition="0"/>
    </format>
    <format dxfId="71">
      <pivotArea dataOnly="0" labelOnly="1" fieldPosition="0">
        <references count="2">
          <reference field="7" count="0" selected="0"/>
          <reference field="11" count="9">
            <x v="0"/>
            <x v="2"/>
            <x v="3"/>
            <x v="5"/>
            <x v="6"/>
            <x v="7"/>
            <x v="8"/>
            <x v="9"/>
            <x v="11"/>
          </reference>
        </references>
      </pivotArea>
    </format>
    <format dxfId="70">
      <pivotArea grandRow="1" outline="0" collapsedLevelsAreSubtotals="1" fieldPosition="0"/>
    </format>
    <format dxfId="69">
      <pivotArea dataOnly="0" labelOnly="1" grandRow="1" outline="0" fieldPosition="0"/>
    </format>
    <format dxfId="68">
      <pivotArea type="origin" dataOnly="0" labelOnly="1" outline="0" fieldPosition="0"/>
    </format>
    <format dxfId="67">
      <pivotArea field="7" type="button" dataOnly="0" labelOnly="1" outline="0" axis="axisCol" fieldPosition="0"/>
    </format>
    <format dxfId="66">
      <pivotArea field="11" type="button" dataOnly="0" labelOnly="1" outline="0" axis="axisCol" fieldPosition="1"/>
    </format>
    <format dxfId="65">
      <pivotArea type="topRight" dataOnly="0" labelOnly="1" outline="0" fieldPosition="0"/>
    </format>
    <format dxfId="64">
      <pivotArea field="3" type="button" dataOnly="0" labelOnly="1" outline="0" axis="axisRow" fieldPosition="0"/>
    </format>
    <format dxfId="63">
      <pivotArea dataOnly="0" labelOnly="1" fieldPosition="0">
        <references count="1">
          <reference field="7" count="0"/>
        </references>
      </pivotArea>
    </format>
    <format dxfId="62">
      <pivotArea dataOnly="0" labelOnly="1" fieldPosition="0">
        <references count="1">
          <reference field="7" count="0" defaultSubtotal="1"/>
        </references>
      </pivotArea>
    </format>
    <format dxfId="61">
      <pivotArea dataOnly="0" labelOnly="1" grandCol="1" outline="0" fieldPosition="0"/>
    </format>
    <format dxfId="60">
      <pivotArea dataOnly="0" labelOnly="1" fieldPosition="0">
        <references count="2">
          <reference field="7" count="0" selected="0"/>
          <reference field="11" count="9">
            <x v="0"/>
            <x v="2"/>
            <x v="3"/>
            <x v="5"/>
            <x v="6"/>
            <x v="7"/>
            <x v="8"/>
            <x v="9"/>
            <x v="11"/>
          </reference>
        </references>
      </pivotArea>
    </format>
    <format dxfId="59">
      <pivotArea grandRow="1" outline="0" collapsedLevelsAreSubtotals="1" fieldPosition="0"/>
    </format>
    <format dxfId="58">
      <pivotArea dataOnly="0" labelOnly="1" grandRow="1" outline="0" fieldPosition="0"/>
    </format>
    <format dxfId="57">
      <pivotArea type="origin" dataOnly="0" labelOnly="1" outline="0" fieldPosition="0"/>
    </format>
    <format dxfId="56">
      <pivotArea type="topRight" dataOnly="0" labelOnly="1" outline="0" fieldPosition="0"/>
    </format>
    <format dxfId="55">
      <pivotArea field="3" type="button" dataOnly="0" labelOnly="1" outline="0" axis="axisRow" fieldPosition="0"/>
    </format>
    <format dxfId="54">
      <pivotArea dataOnly="0" labelOnly="1" fieldPosition="0">
        <references count="1">
          <reference field="7" count="0"/>
        </references>
      </pivotArea>
    </format>
    <format dxfId="53">
      <pivotArea dataOnly="0" labelOnly="1" fieldPosition="0">
        <references count="2">
          <reference field="7" count="0" selected="0"/>
          <reference field="11" count="9">
            <x v="0"/>
            <x v="2"/>
            <x v="3"/>
            <x v="5"/>
            <x v="6"/>
            <x v="7"/>
            <x v="8"/>
            <x v="9"/>
            <x v="11"/>
          </reference>
        </references>
      </pivotArea>
    </format>
    <format dxfId="52">
      <pivotArea dataOnly="0" labelOnly="1" fieldPosition="0">
        <references count="1">
          <reference field="3" count="0"/>
        </references>
      </pivotArea>
    </format>
    <format dxfId="51">
      <pivotArea dataOnly="0" labelOnly="1" grandRow="1" outline="0" fieldPosition="0"/>
    </format>
    <format dxfId="50">
      <pivotArea dataOnly="0" labelOnly="1" fieldPosition="0">
        <references count="2">
          <reference field="3" count="0" selected="0"/>
          <reference field="4" count="4">
            <x v="1"/>
            <x v="2"/>
            <x v="3"/>
            <x v="4"/>
          </reference>
        </references>
      </pivotArea>
    </format>
    <format dxfId="49">
      <pivotArea dataOnly="0" labelOnly="1" fieldPosition="0">
        <references count="2">
          <reference field="3" count="0" selected="0"/>
          <reference field="4" count="4">
            <x v="1"/>
            <x v="2"/>
            <x v="3"/>
            <x v="4"/>
          </reference>
        </references>
      </pivotArea>
    </format>
    <format dxfId="48">
      <pivotArea dataOnly="0" labelOnly="1" fieldPosition="0">
        <references count="1">
          <reference field="7" count="0" defaultSubtotal="1"/>
        </references>
      </pivotArea>
    </format>
    <format dxfId="47">
      <pivotArea field="7" type="button" dataOnly="0" labelOnly="1" outline="0" axis="axisCol" fieldPosition="0"/>
    </format>
    <format dxfId="46">
      <pivotArea dataOnly="0" labelOnly="1" offset="A256" fieldPosition="0">
        <references count="1">
          <reference field="7" count="0"/>
        </references>
      </pivotArea>
    </format>
    <format dxfId="45">
      <pivotArea dataOnly="0" labelOnly="1" fieldPosition="0">
        <references count="2">
          <reference field="7" count="0" selected="0"/>
          <reference field="11" count="1">
            <x v="0"/>
          </reference>
        </references>
      </pivotArea>
    </format>
    <format dxfId="44">
      <pivotArea field="11" type="button" dataOnly="0" labelOnly="1" outline="0" axis="axisCol" fieldPosition="1"/>
    </format>
  </formats>
  <pivotTableStyleInfo name="PivotStyleLight18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182456-5137-4C03-A162-ED719A0ABE7C}" name="TDContasReceberVencidas" cacheId="1" applyNumberFormats="0" applyBorderFormats="0" applyFontFormats="0" applyPatternFormats="0" applyAlignmentFormats="0" applyWidthHeightFormats="1" dataCaption="Valores" updatedVersion="8" minRefreshableVersion="3" colGrandTotals="0" itemPrintTitles="1" createdVersion="8" indent="0" outline="1" outlineData="1" multipleFieldFilters="0">
  <location ref="B4:L12" firstHeaderRow="1" firstDataRow="3" firstDataCol="1"/>
  <pivotFields count="16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16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axis="axisCol" showAll="0">
      <items count="3">
        <item h="1" sd="0" x="0"/>
        <item x="1"/>
        <item t="default"/>
      </items>
    </pivotField>
    <pivotField showAll="0"/>
    <pivotField numFmtId="1" showAll="0"/>
  </pivotFields>
  <rowFields count="2">
    <field x="3"/>
    <field x="4"/>
  </rowFields>
  <rowItems count="6">
    <i>
      <x/>
    </i>
    <i r="1">
      <x/>
    </i>
    <i r="1">
      <x v="1"/>
    </i>
    <i r="1">
      <x v="3"/>
    </i>
    <i r="1">
      <x v="4"/>
    </i>
    <i t="grand">
      <x/>
    </i>
  </rowItems>
  <colFields count="2">
    <field x="13"/>
    <field x="9"/>
  </colFields>
  <colItems count="10">
    <i>
      <x v="1"/>
      <x v="1"/>
    </i>
    <i r="1">
      <x v="2"/>
    </i>
    <i r="1">
      <x v="3"/>
    </i>
    <i r="1">
      <x v="4"/>
    </i>
    <i r="1">
      <x v="5"/>
    </i>
    <i r="1">
      <x v="8"/>
    </i>
    <i r="1">
      <x v="9"/>
    </i>
    <i r="1">
      <x v="10"/>
    </i>
    <i r="1">
      <x v="11"/>
    </i>
    <i t="default">
      <x v="1"/>
    </i>
  </colItems>
  <dataFields count="1">
    <dataField name="Soma de Valor" fld="6" baseField="4" baseItem="0" numFmtId="165"/>
  </dataFields>
  <formats count="40">
    <format dxfId="43">
      <pivotArea type="origin" dataOnly="0" labelOnly="1" outline="0" fieldPosition="0"/>
    </format>
    <format dxfId="42">
      <pivotArea field="13" type="button" dataOnly="0" labelOnly="1" outline="0" axis="axisCol" fieldPosition="0"/>
    </format>
    <format dxfId="41">
      <pivotArea type="topRight" dataOnly="0" labelOnly="1" outline="0" fieldPosition="0"/>
    </format>
    <format dxfId="40">
      <pivotArea field="3" type="button" dataOnly="0" labelOnly="1" outline="0" axis="axisRow" fieldPosition="0"/>
    </format>
    <format dxfId="39">
      <pivotArea dataOnly="0" labelOnly="1" fieldPosition="0">
        <references count="1">
          <reference field="13" count="0"/>
        </references>
      </pivotArea>
    </format>
    <format dxfId="38">
      <pivotArea dataOnly="0" labelOnly="1" grandCol="1" outline="0" fieldPosition="0"/>
    </format>
    <format dxfId="37">
      <pivotArea grandRow="1" outline="0" collapsedLevelsAreSubtotals="1" fieldPosition="0"/>
    </format>
    <format dxfId="36">
      <pivotArea dataOnly="0" labelOnly="1" grandRow="1" outline="0" fieldPosition="0"/>
    </format>
    <format dxfId="35">
      <pivotArea outline="0" fieldPosition="0">
        <references count="1">
          <reference field="4294967294" count="1">
            <x v="0"/>
          </reference>
        </references>
      </pivotArea>
    </format>
    <format dxfId="34">
      <pivotArea field="9" type="button" dataOnly="0" labelOnly="1" outline="0" axis="axisCol" fieldPosition="1"/>
    </format>
    <format dxfId="33">
      <pivotArea grandRow="1" outline="0" collapsedLevelsAreSubtotals="1" fieldPosition="0"/>
    </format>
    <format dxfId="32">
      <pivotArea dataOnly="0" labelOnly="1" grandRow="1" outline="0" fieldPosition="0"/>
    </format>
    <format dxfId="31">
      <pivotArea dataOnly="0" labelOnly="1" fieldPosition="0">
        <references count="2">
          <reference field="9" count="9">
            <x v="1"/>
            <x v="2"/>
            <x v="3"/>
            <x v="4"/>
            <x v="5"/>
            <x v="8"/>
            <x v="9"/>
            <x v="10"/>
            <x v="11"/>
          </reference>
          <reference field="13" count="0" selected="0"/>
        </references>
      </pivotArea>
    </format>
    <format dxfId="30">
      <pivotArea type="all" dataOnly="0" outline="0" fieldPosition="0"/>
    </format>
    <format dxfId="29">
      <pivotArea outline="0" collapsedLevelsAreSubtotals="1" fieldPosition="0"/>
    </format>
    <format dxfId="28">
      <pivotArea type="origin" dataOnly="0" labelOnly="1" outline="0" fieldPosition="0"/>
    </format>
    <format dxfId="27">
      <pivotArea field="13" type="button" dataOnly="0" labelOnly="1" outline="0" axis="axisCol" fieldPosition="0"/>
    </format>
    <format dxfId="26">
      <pivotArea field="9" type="button" dataOnly="0" labelOnly="1" outline="0" axis="axisCol" fieldPosition="1"/>
    </format>
    <format dxfId="25">
      <pivotArea type="topRight" dataOnly="0" labelOnly="1" outline="0" fieldPosition="0"/>
    </format>
    <format dxfId="24">
      <pivotArea field="3" type="button" dataOnly="0" labelOnly="1" outline="0" axis="axisRow" fieldPosition="0"/>
    </format>
    <format dxfId="23">
      <pivotArea dataOnly="0" labelOnly="1" fieldPosition="0">
        <references count="1">
          <reference field="3" count="0"/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2">
          <reference field="3" count="0" selected="0"/>
          <reference field="4" count="4">
            <x v="0"/>
            <x v="1"/>
            <x v="3"/>
            <x v="4"/>
          </reference>
        </references>
      </pivotArea>
    </format>
    <format dxfId="20">
      <pivotArea dataOnly="0" labelOnly="1" fieldPosition="0">
        <references count="1">
          <reference field="13" count="0"/>
        </references>
      </pivotArea>
    </format>
    <format dxfId="19">
      <pivotArea dataOnly="0" labelOnly="1" fieldPosition="0">
        <references count="1">
          <reference field="13" count="0" defaultSubtotal="1"/>
        </references>
      </pivotArea>
    </format>
    <format dxfId="18">
      <pivotArea dataOnly="0" labelOnly="1" fieldPosition="0">
        <references count="2">
          <reference field="9" count="9">
            <x v="1"/>
            <x v="2"/>
            <x v="3"/>
            <x v="4"/>
            <x v="5"/>
            <x v="8"/>
            <x v="9"/>
            <x v="10"/>
            <x v="11"/>
          </reference>
          <reference field="13" count="0" selected="0"/>
        </references>
      </pivotArea>
    </format>
    <format dxfId="17">
      <pivotArea type="origin" dataOnly="0" labelOnly="1" outline="0" fieldPosition="0"/>
    </format>
    <format dxfId="16">
      <pivotArea field="3" type="button" dataOnly="0" labelOnly="1" outline="0" axis="axisRow" fieldPosition="0"/>
    </format>
    <format dxfId="15">
      <pivotArea dataOnly="0" labelOnly="1" fieldPosition="0">
        <references count="1">
          <reference field="13" count="0" defaultSubtotal="1"/>
        </references>
      </pivotArea>
    </format>
    <format dxfId="14">
      <pivotArea dataOnly="0" labelOnly="1" fieldPosition="0">
        <references count="2">
          <reference field="9" count="9">
            <x v="1"/>
            <x v="2"/>
            <x v="3"/>
            <x v="4"/>
            <x v="5"/>
            <x v="8"/>
            <x v="9"/>
            <x v="10"/>
            <x v="11"/>
          </reference>
          <reference field="13" count="0" selected="0"/>
        </references>
      </pivotArea>
    </format>
    <format dxfId="13">
      <pivotArea type="origin" dataOnly="0" labelOnly="1" outline="0" offset="A1" fieldPosition="0"/>
    </format>
    <format dxfId="12">
      <pivotArea field="13" type="button" dataOnly="0" labelOnly="1" outline="0" axis="axisCol" fieldPosition="0"/>
    </format>
    <format dxfId="11">
      <pivotArea field="9" type="button" dataOnly="0" labelOnly="1" outline="0" axis="axisCol" fieldPosition="1"/>
    </format>
    <format dxfId="10">
      <pivotArea type="topRight" dataOnly="0" labelOnly="1" outline="0" fieldPosition="0"/>
    </format>
    <format dxfId="9">
      <pivotArea type="origin" dataOnly="0" labelOnly="1" outline="0" offset="A2" fieldPosition="0"/>
    </format>
    <format dxfId="8">
      <pivotArea dataOnly="0" labelOnly="1" fieldPosition="0">
        <references count="1">
          <reference field="13" count="0"/>
        </references>
      </pivotArea>
    </format>
    <format dxfId="7">
      <pivotArea dataOnly="0" labelOnly="1" offset="IV1" fieldPosition="0">
        <references count="1">
          <reference field="13" count="0" defaultSubtotal="1"/>
        </references>
      </pivotArea>
    </format>
    <format dxfId="6">
      <pivotArea collapsedLevelsAreSubtotals="1" fieldPosition="0">
        <references count="2">
          <reference field="3" count="0"/>
          <reference field="13" count="0" selected="0" defaultSubtotal="1"/>
        </references>
      </pivotArea>
    </format>
    <format dxfId="5">
      <pivotArea collapsedLevelsAreSubtotals="1" fieldPosition="0">
        <references count="3">
          <reference field="3" count="0" selected="0"/>
          <reference field="4" count="4">
            <x v="0"/>
            <x v="1"/>
            <x v="3"/>
            <x v="4"/>
          </reference>
          <reference field="13" count="0" selected="0" defaultSubtotal="1"/>
        </references>
      </pivotArea>
    </format>
    <format dxfId="4">
      <pivotArea dataOnly="0" labelOnly="1" fieldPosition="0">
        <references count="1">
          <reference field="13" count="0" defaultSubtotal="1"/>
        </references>
      </pivotArea>
    </format>
  </formats>
  <pivotTableStyleInfo name="PivotStyleLight18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Competência" xr10:uid="{1B468754-71B4-4ACF-B9D8-C399E11D9910}" sourceName="Mês Competência">
  <pivotTables>
    <pivotTable tabId="10" name="TDDetalhaReceita"/>
  </pivotTables>
  <data>
    <tabular pivotCacheId="953773440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Competência" xr10:uid="{80E4836E-C37C-492F-B0FB-79C61EB63117}" sourceName="Ano Competência">
  <pivotTables>
    <pivotTable tabId="10" name="TDDetalhaReceita"/>
  </pivotTables>
  <data>
    <tabular pivotCacheId="953773440">
      <items count="3">
        <i x="0" s="1"/>
        <i x="1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Competência1" xr10:uid="{0587E4F8-7E3C-4641-8AEF-E6EBB5B25503}" sourceName="Mês Competência">
  <pivotTables>
    <pivotTable tabId="11" name="TDDetalhaDespesa"/>
  </pivotTables>
  <data>
    <tabular pivotCacheId="913117080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Competência1" xr10:uid="{BB36F42E-B86D-4393-A770-E23AE1ECE5F4}" sourceName="Ano Competência">
  <pivotTables>
    <pivotTable tabId="11" name="TDDetalhaDespesa"/>
  </pivotTables>
  <data>
    <tabular pivotCacheId="913117080">
      <items count="3">
        <i x="0" s="1"/>
        <i x="1" s="1"/>
        <i x="2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Previsto" xr10:uid="{AAEF5470-1449-4214-B87C-61BC0BE11A16}" sourceName="Ano Previsto">
  <pivotTables>
    <pivotTable tabId="12" name="TDContasPagar"/>
  </pivotTables>
  <data>
    <tabular pivotCacheId="913117080">
      <items count="3">
        <i x="0" s="1"/>
        <i x="1" s="1"/>
        <i x="2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Previsto" xr10:uid="{CB030031-8773-4138-9021-75A29D0BAA58}" sourceName="Mês Previsto">
  <pivotTables>
    <pivotTable tabId="12" name="TDContasPagar"/>
  </pivotTables>
  <data>
    <tabular pivotCacheId="913117080">
      <items count="12">
        <i x="4" s="1"/>
        <i x="6" s="1"/>
        <i x="7" s="1"/>
        <i x="9" s="1"/>
        <i x="10" s="1"/>
        <i x="11" s="1"/>
        <i x="1" s="1"/>
        <i x="0" s="1"/>
        <i x="3" s="1"/>
        <i x="5" s="1" nd="1"/>
        <i x="8" s="1" nd="1"/>
        <i x="2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Previsto1" xr10:uid="{F6E29749-8754-4A1A-9528-7B213681562B}" sourceName="Mês Previsto">
  <pivotTables>
    <pivotTable tabId="13" name="TDContasReceber"/>
  </pivotTables>
  <data>
    <tabular pivotCacheId="953773440">
      <items count="12">
        <i x="5" s="1"/>
        <i x="8" s="1"/>
        <i x="9" s="1"/>
        <i x="10" s="1"/>
        <i x="11" s="1"/>
        <i x="0" s="1"/>
        <i x="1" s="1"/>
        <i x="2" s="1"/>
        <i x="3" s="1"/>
        <i x="4" s="1"/>
        <i x="6" s="1" nd="1"/>
        <i x="7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Previsto1" xr10:uid="{8A746CD3-40ED-4263-A458-14E5535D70BD}" sourceName="Ano Previsto">
  <pivotTables>
    <pivotTable tabId="13" name="TDContasReceber"/>
  </pivotTables>
  <data>
    <tabular pivotCacheId="953773440">
      <items count="3">
        <i x="0" s="1"/>
        <i x="1" s="1"/>
        <i x="2" s="1"/>
      </items>
    </tabular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Competência2" xr10:uid="{CB360EDD-21AE-4287-B566-570DD3EF9E3B}" sourceName="Ano Competência">
  <pivotTables>
    <pivotTable tabId="14" name="TDContasReceberVencidas"/>
  </pivotTables>
  <data>
    <tabular pivotCacheId="953773440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Competência" xr10:uid="{883A5628-8A28-48ED-819F-74EF83D9EC6F}" cache="SegmentaçãodeDados_Mês_Competência" caption="Mês Competência" columnCount="12" style="SlicerStyleOther1" rowHeight="241300"/>
  <slicer name="Ano Competência" xr10:uid="{D48C8AF2-3CFD-4EB9-AF5A-BB9381D20842}" cache="SegmentaçãodeDados_Ano_Competência" caption="Ano Competência" columnCount="3" style="SlicerStyleOther1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Competência 1" xr10:uid="{640BE58F-77F5-44E2-BCA2-BC52B3586156}" cache="SegmentaçãodeDados_Mês_Competência1" caption="Mês Competência" columnCount="12" style="SlicerStyleOther1" rowHeight="241300"/>
  <slicer name="Ano Competência 1" xr10:uid="{F5465F8C-7F03-4C1E-B4E9-B0ADF832F5C9}" cache="SegmentaçãodeDados_Ano_Competência1" caption="Ano Competência" columnCount="3" style="SlicerStyleOther1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Previsto 1" xr10:uid="{D663CEB4-603A-475A-9234-D4D922B78024}" cache="SegmentaçãodeDados_Mês_Previsto1" caption="Mês Previsto" columnCount="12" style="SlicerStyleOther1" rowHeight="241300"/>
  <slicer name="Ano Previsto 1" xr10:uid="{07B61DCD-E6B3-4385-8578-D43933CDBC8D}" cache="SegmentaçãodeDados_Ano_Previsto1" caption="Ano Previsto" columnCount="3" style="SlicerStyleOther1" rowHeight="2413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Previsto" xr10:uid="{421D3CBE-7FCE-4469-8061-CD608560B221}" cache="SegmentaçãodeDados_Ano_Previsto" caption="Ano Previsto" columnCount="3" style="SlicerStyleOther1" rowHeight="241300"/>
  <slicer name="Mês Previsto" xr10:uid="{520CF58C-6DF0-450A-B250-C4867AB7A133}" cache="SegmentaçãodeDados_Mês_Previsto" caption="Mês Previsto" columnCount="12" style="SlicerStyleOther1" rowHeight="24130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Competência 2" xr10:uid="{1C26839E-BA38-4AD5-8568-B3C1C61059E5}" cache="SegmentaçãodeDados_Ano_Competência2" caption="Ano Competência" columnCount="3" style="SlicerStyleOther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1C9B23-5706-4F7D-A59D-603471737A69}" name="PCEntradasN1" displayName="PCEntradasN1" ref="B4:B9" totalsRowShown="0" headerRowDxfId="284">
  <autoFilter ref="B4:B9" xr:uid="{AC1C9B23-5706-4F7D-A59D-603471737A69}"/>
  <tableColumns count="1">
    <tableColumn id="1" xr3:uid="{B5698154-31D1-4799-AB90-761A420E9405}" name="Nível 1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DD33EB4-4250-44B9-B1C3-57552E1A5518}" name="PCEntradasN2" displayName="PCEntradasN2" ref="B4:C13" totalsRowShown="0" headerRowDxfId="283">
  <autoFilter ref="B4:C13" xr:uid="{5DD33EB4-4250-44B9-B1C3-57552E1A5518}"/>
  <tableColumns count="2">
    <tableColumn id="1" xr3:uid="{0BE39B3D-350B-457A-923C-656219ADD5D3}" name="Nível 1"/>
    <tableColumn id="2" xr3:uid="{08181644-2342-4CAF-967A-815FD45B41DD}" name="Nível 2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727E315-80F2-446F-B942-A827D86FCB8F}" name="PCSaidasN1" displayName="PCSaidasN1" ref="B4:B10" totalsRowShown="0" headerRowDxfId="282">
  <autoFilter ref="B4:B10" xr:uid="{F727E315-80F2-446F-B942-A827D86FCB8F}"/>
  <tableColumns count="1">
    <tableColumn id="1" xr3:uid="{86A06DAA-A326-4B3E-9F27-C70422C85253}" name="Nível 1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E3C87B-82A1-4553-AFD2-014DF1776AE9}" name="PCSaidasN2" displayName="PCSaidasN2" ref="B4:C16" totalsRowShown="0" headerRowDxfId="281" tableBorderDxfId="280">
  <autoFilter ref="B4:C16" xr:uid="{88E3C87B-82A1-4553-AFD2-014DF1776AE9}"/>
  <tableColumns count="2">
    <tableColumn id="1" xr3:uid="{689383B2-954E-4092-BCFA-0EC609979672}" name="Nível 1"/>
    <tableColumn id="2" xr3:uid="{763C794C-411F-4923-961C-DBBC1095CAB2}" name="Nível 2"/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362DC6-F50E-405E-9EAD-DE70DF8E199A}" name="RegistroEntradas" displayName="RegistroEntradas" ref="B3:Q234" totalsRowShown="0" headerRowDxfId="279" headerRowBorderDxfId="278">
  <autoFilter ref="B3:Q234" xr:uid="{DA362DC6-F50E-405E-9EAD-DE70DF8E199A}"/>
  <tableColumns count="16">
    <tableColumn id="1" xr3:uid="{A20B5F3B-620B-4CB9-B784-5DEAC9141B86}" name="Data do Caixa Realizado" dataDxfId="277"/>
    <tableColumn id="2" xr3:uid="{3A87EA40-F0B7-4B12-9D14-1E0CCAC63DB5}" name="Data da Competência" dataDxfId="276"/>
    <tableColumn id="3" xr3:uid="{525DE8C4-8972-4DEF-ACE6-0204A31C7A95}" name="Data do Caixa Previsto" dataDxfId="275"/>
    <tableColumn id="4" xr3:uid="{FF14BDB6-DAD6-4BCB-BCDB-A5FA982B0CBA}" name="Conta Nível 1"/>
    <tableColumn id="5" xr3:uid="{775FB7AD-7B7A-485A-92E4-4C7033C05239}" name="Conta Nível 2"/>
    <tableColumn id="6" xr3:uid="{1780A4C7-24D7-4210-B8A1-16527306C71B}" name="Histórico"/>
    <tableColumn id="7" xr3:uid="{A47C532B-54FE-4B38-86A5-54C090029108}" name="Valor" dataDxfId="274"/>
    <tableColumn id="9" xr3:uid="{9D0A66AA-9E65-439E-86E1-5511FC7505C8}" name="Mês Caixa" dataDxfId="273">
      <calculatedColumnFormula>IF(RegistroEntradas[[#This Row],[Data do Caixa Realizado]] = "", 0, MONTH(RegistroEntradas[[#This Row],[Data do Caixa Realizado]]))</calculatedColumnFormula>
    </tableColumn>
    <tableColumn id="10" xr3:uid="{84076779-CBEA-4445-8D73-4E191ED91E12}" name="Ano Caixa" dataDxfId="272">
      <calculatedColumnFormula>IF(RegistroEntradas[[#This Row],[Data do Caixa Realizado]] = "",0,YEAR(RegistroEntradas[[#This Row],[Data do Caixa Realizado]]))</calculatedColumnFormula>
    </tableColumn>
    <tableColumn id="11" xr3:uid="{ADA3611B-2017-4D1D-A815-C2C8BAD33883}" name="Mês Competência" dataDxfId="271">
      <calculatedColumnFormula xml:space="preserve"> IF(RegistroEntradas[[#This Row],[Data da Competência]] = "", 0, MONTH(RegistroEntradas[[#This Row],[Data da Competência]]))</calculatedColumnFormula>
    </tableColumn>
    <tableColumn id="12" xr3:uid="{DBD430FD-9346-4660-942C-6014F0A4F06D}" name="Ano Competência" dataDxfId="270">
      <calculatedColumnFormula xml:space="preserve"> IF(RegistroEntradas[[#This Row],[Data da Competência]] = "", 0, YEAR(RegistroEntradas[[#This Row],[Data da Competência]]))</calculatedColumnFormula>
    </tableColumn>
    <tableColumn id="8" xr3:uid="{87C805FF-52DD-46CD-B559-67059843E0A3}" name="Mês Previsto" dataDxfId="269">
      <calculatedColumnFormula xml:space="preserve"> IF(RegistroEntradas[[#This Row],[Data do Caixa Previsto]]="",0,MONTH(RegistroEntradas[[#This Row],[Data do Caixa Previsto]]))</calculatedColumnFormula>
    </tableColumn>
    <tableColumn id="13" xr3:uid="{3BE0AA5F-E677-4BA8-BD50-919400C11C7A}" name="Ano Previsto" dataDxfId="268">
      <calculatedColumnFormula xml:space="preserve"> IF(RegistroEntradas[[#This Row],[Data do Caixa Previsto]]="",0,YEAR(RegistroEntradas[[#This Row],[Data do Caixa Previsto]]))</calculatedColumnFormula>
    </tableColumn>
    <tableColumn id="14" xr3:uid="{0EE9D684-596F-47D7-9FF0-813FAFCBA477}" name="Conta Vencida" dataDxfId="267">
      <calculatedColumnFormula>IF(AND(RegistroEntradas[[#This Row],[Data do Caixa Previsto]]&lt;TODAY(),RegistroEntradas[[#This Row],[Data do Caixa Realizado]]=""),"Vencida","Paga")</calculatedColumnFormula>
    </tableColumn>
    <tableColumn id="15" xr3:uid="{2C9CC198-6021-48E3-A42A-598D519A3FDF}" name="Venda à Vista" dataDxfId="266">
      <calculatedColumnFormula xml:space="preserve"> IF(RegistroEntradas[[#This Row],[Data da Competência]]=RegistroEntradas[[#This Row],[Data do Caixa Previsto]],"À Vista","À Prazo")</calculatedColumnFormula>
    </tableColumn>
    <tableColumn id="16" xr3:uid="{0454C727-A77C-4BF7-8608-488B142973CF}" name="Dias de Atraso" dataDxfId="265">
      <calculatedColumnFormula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calculatedColumnFormula>
    </tableColumn>
  </tableColumns>
  <tableStyleInfo name="TableStyleLight1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7612CF9-6759-4A8B-83ED-25B8B101C507}" name="RegistroSaidas" displayName="RegistroSaidas" ref="B3:O232" totalsRowShown="0" headerRowDxfId="264" headerRowBorderDxfId="263" tableBorderDxfId="262">
  <autoFilter ref="B3:O232" xr:uid="{27612CF9-6759-4A8B-83ED-25B8B101C507}"/>
  <tableColumns count="14">
    <tableColumn id="1" xr3:uid="{F51B4E36-32F4-4CFE-8DBC-291414A4B6D8}" name="Data do Caixa Realizado" dataDxfId="261"/>
    <tableColumn id="2" xr3:uid="{397D10EF-2E2D-4D69-BE0A-957FDFD3B3C4}" name="Data da Competência" dataDxfId="260"/>
    <tableColumn id="3" xr3:uid="{D4C9DCF6-4632-45FC-AD76-9B5DE54AE994}" name="Data do Caixa Previsto" dataDxfId="259"/>
    <tableColumn id="4" xr3:uid="{3E80510F-C272-4CD3-A981-9E86E3CA7659}" name="Conta Nível 1"/>
    <tableColumn id="5" xr3:uid="{81188AD5-2BAF-47B7-9D22-D0F337AF33E9}" name="Conta Nível 2"/>
    <tableColumn id="6" xr3:uid="{4F8C71B2-C994-46C0-BF38-E5BB531D7638}" name="Histórico"/>
    <tableColumn id="7" xr3:uid="{3A581361-F1D1-438B-912A-297D08BDD924}" name="Valor" dataDxfId="258"/>
    <tableColumn id="8" xr3:uid="{F6E2C6C3-36CE-4973-81AD-ADDA26228234}" name="Mês Caixa" dataDxfId="257">
      <calculatedColumnFormula>IF(RegistroSaidas[[#This Row],[Data do Caixa Realizado]] = "", 0, MONTH(RegistroSaidas[[#This Row],[Data do Caixa Realizado]]))</calculatedColumnFormula>
    </tableColumn>
    <tableColumn id="9" xr3:uid="{06441975-585C-4383-83F2-2896B45CE6B9}" name="Ano Caixa" dataDxfId="256">
      <calculatedColumnFormula>IF(RegistroSaidas[[#This Row],[Data do Caixa Realizado]] = "",0,YEAR(RegistroSaidas[[#This Row],[Data do Caixa Realizado]]))</calculatedColumnFormula>
    </tableColumn>
    <tableColumn id="10" xr3:uid="{10EDCED3-39A4-46A2-98D8-4DE739F49BBB}" name="Mês Competência" dataDxfId="255">
      <calculatedColumnFormula xml:space="preserve"> IF(RegistroSaidas[[#This Row],[Data da Competência]]="",0,MONTH(RegistroSaidas[[#This Row],[Data da Competência]]))</calculatedColumnFormula>
    </tableColumn>
    <tableColumn id="11" xr3:uid="{DA840BC9-EE78-4D47-BE6B-7C6A381A3BA1}" name="Ano Competência" dataDxfId="254">
      <calculatedColumnFormula xml:space="preserve"> IF(RegistroSaidas[[#This Row],[Data da Competência]]="",0,YEAR(RegistroSaidas[[#This Row],[Data da Competência]]))</calculatedColumnFormula>
    </tableColumn>
    <tableColumn id="13" xr3:uid="{54CA4E06-E470-4B25-8953-37F832415B1B}" name="Mês Previsto" dataDxfId="253">
      <calculatedColumnFormula xml:space="preserve"> IF(RegistroSaidas[[#This Row],[Data do Caixa Previsto]]="",0,MONTH(RegistroSaidas[[#This Row],[Data do Caixa Previsto]]))</calculatedColumnFormula>
    </tableColumn>
    <tableColumn id="14" xr3:uid="{51A6CFE3-0CD3-4951-8140-EF3873F10042}" name="Ano Previsto" dataDxfId="252">
      <calculatedColumnFormula xml:space="preserve"> IF(RegistroSaidas[[#This Row],[Data do Caixa Previsto]]="",0,YEAR(RegistroSaidas[[#This Row],[Data do Caixa Previsto]]))</calculatedColumnFormula>
    </tableColumn>
    <tableColumn id="12" xr3:uid="{7FE1F298-0985-4AB6-83D1-610414544194}" name="Dias de Atraso" dataDxfId="251">
      <calculatedColumnFormula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2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3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4.x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07/relationships/slicer" Target="../slicers/slicer5.xml"/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6A676-826A-4647-AC55-8B54EADDDDB8}">
  <dimension ref="A1:O17"/>
  <sheetViews>
    <sheetView showGridLines="0" showRowColHeaders="0" tabSelected="1" zoomScale="130" zoomScaleNormal="130" workbookViewId="0">
      <selection activeCell="B8" sqref="B8"/>
    </sheetView>
  </sheetViews>
  <sheetFormatPr defaultColWidth="0" defaultRowHeight="15" x14ac:dyDescent="0.25"/>
  <cols>
    <col min="1" max="1" width="2" customWidth="1"/>
    <col min="2" max="2" width="40.7109375" customWidth="1"/>
    <col min="3" max="14" width="11.7109375" customWidth="1"/>
    <col min="15" max="15" width="2.7109375" customWidth="1"/>
    <col min="16" max="16384" width="9.140625" hidden="1"/>
  </cols>
  <sheetData>
    <row r="1" spans="2:14" ht="39.950000000000003" customHeight="1" x14ac:dyDescent="0.25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0</v>
      </c>
    </row>
    <row r="2" spans="2:14" ht="39.950000000000003" customHeight="1" x14ac:dyDescent="0.25"/>
    <row r="3" spans="2:14" ht="20.100000000000001" customHeight="1" x14ac:dyDescent="0.25">
      <c r="B3" s="4" t="s">
        <v>2</v>
      </c>
    </row>
    <row r="4" spans="2:14" ht="20.100000000000001" customHeight="1" x14ac:dyDescent="0.25">
      <c r="B4" s="6" t="s">
        <v>602</v>
      </c>
    </row>
    <row r="5" spans="2:14" ht="20.100000000000001" customHeight="1" x14ac:dyDescent="0.25"/>
    <row r="6" spans="2:14" ht="20.100000000000001" customHeight="1" x14ac:dyDescent="0.25"/>
    <row r="7" spans="2:14" ht="20.100000000000001" customHeight="1" x14ac:dyDescent="0.25">
      <c r="B7" s="4" t="s">
        <v>3</v>
      </c>
    </row>
    <row r="8" spans="2:14" ht="20.100000000000001" customHeight="1" x14ac:dyDescent="0.25">
      <c r="B8" s="6" t="s">
        <v>600</v>
      </c>
    </row>
    <row r="9" spans="2:14" ht="20.100000000000001" customHeight="1" x14ac:dyDescent="0.25"/>
    <row r="10" spans="2:14" ht="20.100000000000001" customHeight="1" x14ac:dyDescent="0.25"/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ht="20.100000000000001" customHeight="1" x14ac:dyDescent="0.25"/>
  </sheetData>
  <sheetProtection sheet="1" selectLockedCells="1"/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20ABC-BB81-4EEA-8BFA-3291B9A8F36E}">
  <dimension ref="A1:P15"/>
  <sheetViews>
    <sheetView showGridLines="0" showRowColHeaders="0" zoomScale="130" zoomScaleNormal="130" workbookViewId="0">
      <pane ySplit="5" topLeftCell="A6" activePane="bottomLeft" state="frozen"/>
      <selection pane="bottomLeft" activeCell="E15" sqref="E15"/>
    </sheetView>
  </sheetViews>
  <sheetFormatPr defaultColWidth="0" defaultRowHeight="15" x14ac:dyDescent="0.25"/>
  <cols>
    <col min="1" max="1" width="2" customWidth="1"/>
    <col min="2" max="2" width="28.7109375" customWidth="1"/>
    <col min="3" max="14" width="11.7109375" customWidth="1"/>
    <col min="15" max="15" width="12.28515625" customWidth="1"/>
    <col min="16" max="16" width="2.7109375" customWidth="1"/>
    <col min="17" max="16384" width="9.140625" hidden="1"/>
  </cols>
  <sheetData>
    <row r="1" spans="2:15" ht="39.950000000000003" customHeight="1" x14ac:dyDescent="0.25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 t="s">
        <v>12</v>
      </c>
    </row>
    <row r="2" spans="2:15" ht="57.75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2:15" ht="20.100000000000001" customHeight="1" x14ac:dyDescent="0.25"/>
    <row r="4" spans="2:15" x14ac:dyDescent="0.25">
      <c r="B4" s="45" t="s">
        <v>539</v>
      </c>
      <c r="C4" s="48" t="s">
        <v>538</v>
      </c>
      <c r="D4" s="45"/>
      <c r="E4" s="46"/>
      <c r="F4" s="46"/>
      <c r="G4" s="46"/>
      <c r="H4" s="46"/>
      <c r="I4" s="46"/>
      <c r="J4" s="46"/>
      <c r="K4" s="46"/>
      <c r="L4" s="46"/>
      <c r="M4" s="46"/>
      <c r="N4" s="46"/>
      <c r="O4" s="47"/>
    </row>
    <row r="5" spans="2:15" x14ac:dyDescent="0.25">
      <c r="B5" s="45" t="s">
        <v>536</v>
      </c>
      <c r="C5" s="45">
        <v>1</v>
      </c>
      <c r="D5" s="46">
        <v>2</v>
      </c>
      <c r="E5" s="46">
        <v>3</v>
      </c>
      <c r="F5" s="46">
        <v>4</v>
      </c>
      <c r="G5" s="46">
        <v>5</v>
      </c>
      <c r="H5" s="46">
        <v>6</v>
      </c>
      <c r="I5" s="46">
        <v>7</v>
      </c>
      <c r="J5" s="46">
        <v>8</v>
      </c>
      <c r="K5" s="46">
        <v>9</v>
      </c>
      <c r="L5" s="46">
        <v>10</v>
      </c>
      <c r="M5" s="46">
        <v>11</v>
      </c>
      <c r="N5" s="47">
        <v>12</v>
      </c>
      <c r="O5" s="48" t="s">
        <v>537</v>
      </c>
    </row>
    <row r="6" spans="2:15" x14ac:dyDescent="0.25">
      <c r="B6" s="151" t="s">
        <v>24</v>
      </c>
      <c r="C6" s="152">
        <v>43479</v>
      </c>
      <c r="D6" s="185">
        <v>56516</v>
      </c>
      <c r="E6" s="185">
        <v>56059</v>
      </c>
      <c r="F6" s="185">
        <v>53165</v>
      </c>
      <c r="G6" s="185">
        <v>41611</v>
      </c>
      <c r="H6" s="185">
        <v>40576</v>
      </c>
      <c r="I6" s="185">
        <v>33298</v>
      </c>
      <c r="J6" s="185">
        <v>32438</v>
      </c>
      <c r="K6" s="185">
        <v>57887</v>
      </c>
      <c r="L6" s="185">
        <v>60137</v>
      </c>
      <c r="M6" s="185">
        <v>62513</v>
      </c>
      <c r="N6" s="185">
        <v>50431</v>
      </c>
      <c r="O6" s="70">
        <v>588110</v>
      </c>
    </row>
    <row r="7" spans="2:15" x14ac:dyDescent="0.25">
      <c r="B7" s="49" t="s">
        <v>29</v>
      </c>
      <c r="C7" s="152">
        <v>6857</v>
      </c>
      <c r="D7" s="185">
        <v>4461</v>
      </c>
      <c r="E7" s="185">
        <v>4800</v>
      </c>
      <c r="F7" s="185"/>
      <c r="G7" s="185">
        <v>10875</v>
      </c>
      <c r="H7" s="185">
        <v>9700</v>
      </c>
      <c r="I7" s="185">
        <v>2713</v>
      </c>
      <c r="J7" s="185">
        <v>3080</v>
      </c>
      <c r="K7" s="185">
        <v>2502</v>
      </c>
      <c r="L7" s="185">
        <v>7137</v>
      </c>
      <c r="M7" s="185">
        <v>7046</v>
      </c>
      <c r="N7" s="185">
        <v>4559</v>
      </c>
      <c r="O7" s="70">
        <v>63730</v>
      </c>
    </row>
    <row r="8" spans="2:15" x14ac:dyDescent="0.25">
      <c r="B8" s="49" t="s">
        <v>30</v>
      </c>
      <c r="C8" s="152">
        <v>3843</v>
      </c>
      <c r="D8" s="185">
        <v>11762</v>
      </c>
      <c r="E8" s="185">
        <v>9651</v>
      </c>
      <c r="F8" s="185">
        <v>14524</v>
      </c>
      <c r="G8" s="185">
        <v>5167</v>
      </c>
      <c r="H8" s="185">
        <v>2114</v>
      </c>
      <c r="I8" s="185">
        <v>8337</v>
      </c>
      <c r="J8" s="185">
        <v>7817</v>
      </c>
      <c r="K8" s="185">
        <v>14528</v>
      </c>
      <c r="L8" s="185">
        <v>10422</v>
      </c>
      <c r="M8" s="185">
        <v>10619</v>
      </c>
      <c r="N8" s="185">
        <v>16304</v>
      </c>
      <c r="O8" s="70">
        <v>115088</v>
      </c>
    </row>
    <row r="9" spans="2:15" x14ac:dyDescent="0.25">
      <c r="B9" s="49" t="s">
        <v>31</v>
      </c>
      <c r="C9" s="152">
        <v>6759</v>
      </c>
      <c r="D9" s="185">
        <v>13905</v>
      </c>
      <c r="E9" s="185">
        <v>10836</v>
      </c>
      <c r="F9" s="185">
        <v>5066</v>
      </c>
      <c r="G9" s="185">
        <v>2805</v>
      </c>
      <c r="H9" s="185">
        <v>4706</v>
      </c>
      <c r="I9" s="185">
        <v>1306</v>
      </c>
      <c r="J9" s="185"/>
      <c r="K9" s="185">
        <v>10681</v>
      </c>
      <c r="L9" s="185">
        <v>6465</v>
      </c>
      <c r="M9" s="185">
        <v>7373</v>
      </c>
      <c r="N9" s="185"/>
      <c r="O9" s="70">
        <v>69902</v>
      </c>
    </row>
    <row r="10" spans="2:15" x14ac:dyDescent="0.25">
      <c r="B10" s="49" t="s">
        <v>32</v>
      </c>
      <c r="C10" s="152">
        <v>18745</v>
      </c>
      <c r="D10" s="185">
        <v>20692</v>
      </c>
      <c r="E10" s="185">
        <v>13156</v>
      </c>
      <c r="F10" s="185">
        <v>32957</v>
      </c>
      <c r="G10" s="185">
        <v>13902</v>
      </c>
      <c r="H10" s="185">
        <v>19226</v>
      </c>
      <c r="I10" s="185">
        <v>12594</v>
      </c>
      <c r="J10" s="185">
        <v>11590</v>
      </c>
      <c r="K10" s="185">
        <v>27785</v>
      </c>
      <c r="L10" s="185">
        <v>20341</v>
      </c>
      <c r="M10" s="185">
        <v>28005</v>
      </c>
      <c r="N10" s="185">
        <v>17080</v>
      </c>
      <c r="O10" s="70">
        <v>236073</v>
      </c>
    </row>
    <row r="11" spans="2:15" x14ac:dyDescent="0.25">
      <c r="B11" s="49" t="s">
        <v>33</v>
      </c>
      <c r="C11" s="152">
        <v>7275</v>
      </c>
      <c r="D11" s="185">
        <v>5696</v>
      </c>
      <c r="E11" s="185">
        <v>17616</v>
      </c>
      <c r="F11" s="185">
        <v>618</v>
      </c>
      <c r="G11" s="185">
        <v>8862</v>
      </c>
      <c r="H11" s="185">
        <v>4830</v>
      </c>
      <c r="I11" s="185">
        <v>8348</v>
      </c>
      <c r="J11" s="185">
        <v>9951</v>
      </c>
      <c r="K11" s="185">
        <v>2391</v>
      </c>
      <c r="L11" s="185">
        <v>15772</v>
      </c>
      <c r="M11" s="185">
        <v>9470</v>
      </c>
      <c r="N11" s="185">
        <v>12488</v>
      </c>
      <c r="O11" s="70">
        <v>103317</v>
      </c>
    </row>
    <row r="12" spans="2:15" x14ac:dyDescent="0.25">
      <c r="B12" s="68" t="s">
        <v>537</v>
      </c>
      <c r="C12" s="153">
        <v>43479</v>
      </c>
      <c r="D12" s="61">
        <v>56516</v>
      </c>
      <c r="E12" s="61">
        <v>56059</v>
      </c>
      <c r="F12" s="61">
        <v>53165</v>
      </c>
      <c r="G12" s="61">
        <v>41611</v>
      </c>
      <c r="H12" s="61">
        <v>40576</v>
      </c>
      <c r="I12" s="61">
        <v>33298</v>
      </c>
      <c r="J12" s="61">
        <v>32438</v>
      </c>
      <c r="K12" s="61">
        <v>57887</v>
      </c>
      <c r="L12" s="61">
        <v>60137</v>
      </c>
      <c r="M12" s="61">
        <v>62513</v>
      </c>
      <c r="N12" s="61">
        <v>50431</v>
      </c>
      <c r="O12" s="62">
        <v>588110</v>
      </c>
    </row>
    <row r="13" spans="2:15" ht="20.100000000000001" customHeight="1" x14ac:dyDescent="0.25"/>
    <row r="14" spans="2:15" ht="20.100000000000001" customHeight="1" x14ac:dyDescent="0.25"/>
    <row r="15" spans="2:15" ht="20.100000000000001" customHeight="1" x14ac:dyDescent="0.25"/>
  </sheetData>
  <sheetProtection sheet="1" scenarios="1" selectLockedCells="1" autoFilter="0" pivotTables="0"/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2F34A-A462-4F15-BE7B-997626452341}">
  <dimension ref="A1:P17"/>
  <sheetViews>
    <sheetView showGridLines="0" showRowColHeaders="0" zoomScale="130" zoomScaleNormal="130" workbookViewId="0">
      <pane ySplit="5" topLeftCell="A6" activePane="bottomLeft" state="frozen"/>
      <selection pane="bottomLeft" activeCell="F17" sqref="F17"/>
    </sheetView>
  </sheetViews>
  <sheetFormatPr defaultColWidth="0" defaultRowHeight="15" x14ac:dyDescent="0.25"/>
  <cols>
    <col min="1" max="1" width="2" customWidth="1"/>
    <col min="2" max="2" width="28.7109375" customWidth="1"/>
    <col min="3" max="14" width="11.7109375" customWidth="1"/>
    <col min="15" max="15" width="12.28515625" customWidth="1"/>
    <col min="16" max="16" width="2.5703125" customWidth="1"/>
    <col min="17" max="16384" width="9.140625" hidden="1"/>
  </cols>
  <sheetData>
    <row r="1" spans="2:15" ht="39.950000000000003" customHeight="1" x14ac:dyDescent="0.25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 t="s">
        <v>13</v>
      </c>
    </row>
    <row r="2" spans="2:15" ht="57.75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2:15" ht="20.100000000000001" customHeight="1" x14ac:dyDescent="0.25"/>
    <row r="4" spans="2:15" ht="20.100000000000001" customHeight="1" x14ac:dyDescent="0.25">
      <c r="B4" s="51" t="s">
        <v>539</v>
      </c>
      <c r="C4" s="160" t="s">
        <v>538</v>
      </c>
      <c r="D4" s="51"/>
      <c r="E4" s="52"/>
      <c r="F4" s="52"/>
      <c r="G4" s="52"/>
      <c r="H4" s="52"/>
      <c r="I4" s="52"/>
      <c r="J4" s="52"/>
      <c r="K4" s="52"/>
      <c r="L4" s="52"/>
      <c r="M4" s="52"/>
      <c r="N4" s="52"/>
      <c r="O4" s="53"/>
    </row>
    <row r="5" spans="2:15" ht="20.100000000000001" customHeight="1" x14ac:dyDescent="0.25">
      <c r="B5" s="51" t="s">
        <v>536</v>
      </c>
      <c r="C5" s="170">
        <v>1</v>
      </c>
      <c r="D5" s="54">
        <v>2</v>
      </c>
      <c r="E5" s="54">
        <v>3</v>
      </c>
      <c r="F5" s="54">
        <v>4</v>
      </c>
      <c r="G5" s="54">
        <v>5</v>
      </c>
      <c r="H5" s="54">
        <v>6</v>
      </c>
      <c r="I5" s="54">
        <v>7</v>
      </c>
      <c r="J5" s="54">
        <v>8</v>
      </c>
      <c r="K5" s="54">
        <v>9</v>
      </c>
      <c r="L5" s="54">
        <v>10</v>
      </c>
      <c r="M5" s="54">
        <v>11</v>
      </c>
      <c r="N5" s="55">
        <v>12</v>
      </c>
      <c r="O5" s="55" t="s">
        <v>537</v>
      </c>
    </row>
    <row r="6" spans="2:15" ht="20.100000000000001" customHeight="1" x14ac:dyDescent="0.25">
      <c r="B6" s="66" t="s">
        <v>34</v>
      </c>
      <c r="C6" s="156">
        <v>72353</v>
      </c>
      <c r="D6" s="59">
        <v>51906</v>
      </c>
      <c r="E6" s="59">
        <v>55619</v>
      </c>
      <c r="F6" s="59">
        <v>41790</v>
      </c>
      <c r="G6" s="59">
        <v>62092</v>
      </c>
      <c r="H6" s="59">
        <v>41896</v>
      </c>
      <c r="I6" s="59">
        <v>34065</v>
      </c>
      <c r="J6" s="59">
        <v>32710</v>
      </c>
      <c r="K6" s="59">
        <v>42011</v>
      </c>
      <c r="L6" s="59">
        <v>46262</v>
      </c>
      <c r="M6" s="59">
        <v>48607</v>
      </c>
      <c r="N6" s="59">
        <v>55563</v>
      </c>
      <c r="O6" s="69">
        <v>584874</v>
      </c>
    </row>
    <row r="7" spans="2:15" ht="20.100000000000001" customHeight="1" x14ac:dyDescent="0.25">
      <c r="B7" s="167" t="s">
        <v>29</v>
      </c>
      <c r="C7" s="157">
        <v>7953</v>
      </c>
      <c r="D7" s="155">
        <v>4012</v>
      </c>
      <c r="E7" s="155">
        <v>15192</v>
      </c>
      <c r="F7" s="155">
        <v>6213</v>
      </c>
      <c r="G7" s="155">
        <v>6400</v>
      </c>
      <c r="H7" s="155">
        <v>1613</v>
      </c>
      <c r="I7" s="155"/>
      <c r="J7" s="155">
        <v>9987</v>
      </c>
      <c r="K7" s="155">
        <v>5001</v>
      </c>
      <c r="L7" s="155">
        <v>13446</v>
      </c>
      <c r="M7" s="155">
        <v>1542</v>
      </c>
      <c r="N7" s="155">
        <v>16042</v>
      </c>
      <c r="O7" s="67">
        <v>87401</v>
      </c>
    </row>
    <row r="8" spans="2:15" ht="20.100000000000001" customHeight="1" x14ac:dyDescent="0.25">
      <c r="B8" s="50" t="s">
        <v>30</v>
      </c>
      <c r="C8" s="157">
        <v>6054</v>
      </c>
      <c r="D8" s="155">
        <v>15916</v>
      </c>
      <c r="E8" s="155">
        <v>474</v>
      </c>
      <c r="F8" s="155">
        <v>3722</v>
      </c>
      <c r="G8" s="155">
        <v>18195</v>
      </c>
      <c r="H8" s="155">
        <v>10540</v>
      </c>
      <c r="I8" s="155">
        <v>14461</v>
      </c>
      <c r="J8" s="155">
        <v>4383</v>
      </c>
      <c r="K8" s="155">
        <v>3022</v>
      </c>
      <c r="L8" s="155">
        <v>1158</v>
      </c>
      <c r="M8" s="155">
        <v>7204</v>
      </c>
      <c r="N8" s="155">
        <v>5768</v>
      </c>
      <c r="O8" s="67">
        <v>90897</v>
      </c>
    </row>
    <row r="9" spans="2:15" ht="20.100000000000001" customHeight="1" x14ac:dyDescent="0.25">
      <c r="B9" s="50" t="s">
        <v>31</v>
      </c>
      <c r="C9" s="157">
        <v>2247</v>
      </c>
      <c r="D9" s="155">
        <v>10721</v>
      </c>
      <c r="E9" s="155">
        <v>8747</v>
      </c>
      <c r="F9" s="155">
        <v>7574</v>
      </c>
      <c r="G9" s="155"/>
      <c r="H9" s="155"/>
      <c r="I9" s="155">
        <v>1108</v>
      </c>
      <c r="J9" s="155">
        <v>4462</v>
      </c>
      <c r="K9" s="155">
        <v>7143</v>
      </c>
      <c r="L9" s="155">
        <v>14837</v>
      </c>
      <c r="M9" s="155">
        <v>5208</v>
      </c>
      <c r="N9" s="155">
        <v>8248</v>
      </c>
      <c r="O9" s="67">
        <v>70295</v>
      </c>
    </row>
    <row r="10" spans="2:15" ht="20.100000000000001" customHeight="1" x14ac:dyDescent="0.25">
      <c r="B10" s="50" t="s">
        <v>33</v>
      </c>
      <c r="C10" s="157">
        <v>23815</v>
      </c>
      <c r="D10" s="155">
        <v>4148</v>
      </c>
      <c r="E10" s="155">
        <v>9064</v>
      </c>
      <c r="F10" s="155"/>
      <c r="G10" s="155">
        <v>9140</v>
      </c>
      <c r="H10" s="155">
        <v>15271</v>
      </c>
      <c r="I10" s="155">
        <v>7688</v>
      </c>
      <c r="J10" s="155">
        <v>7095</v>
      </c>
      <c r="K10" s="155">
        <v>9665</v>
      </c>
      <c r="L10" s="155">
        <v>1260</v>
      </c>
      <c r="M10" s="155">
        <v>5147</v>
      </c>
      <c r="N10" s="155">
        <v>6405</v>
      </c>
      <c r="O10" s="67">
        <v>98698</v>
      </c>
    </row>
    <row r="11" spans="2:15" ht="20.100000000000001" customHeight="1" x14ac:dyDescent="0.25">
      <c r="B11" s="50" t="s">
        <v>40</v>
      </c>
      <c r="C11" s="157">
        <v>32284</v>
      </c>
      <c r="D11" s="155">
        <v>17109</v>
      </c>
      <c r="E11" s="155">
        <v>22142</v>
      </c>
      <c r="F11" s="155">
        <v>24281</v>
      </c>
      <c r="G11" s="155">
        <v>28357</v>
      </c>
      <c r="H11" s="155">
        <v>14472</v>
      </c>
      <c r="I11" s="155">
        <v>10808</v>
      </c>
      <c r="J11" s="155">
        <v>6783</v>
      </c>
      <c r="K11" s="155">
        <v>17180</v>
      </c>
      <c r="L11" s="155">
        <v>15561</v>
      </c>
      <c r="M11" s="155">
        <v>29506</v>
      </c>
      <c r="N11" s="155">
        <v>19100</v>
      </c>
      <c r="O11" s="67">
        <v>237583</v>
      </c>
    </row>
    <row r="12" spans="2:15" ht="20.100000000000001" customHeight="1" x14ac:dyDescent="0.25">
      <c r="B12" s="172" t="s">
        <v>537</v>
      </c>
      <c r="C12" s="169">
        <v>72353</v>
      </c>
      <c r="D12" s="57">
        <v>51906</v>
      </c>
      <c r="E12" s="57">
        <v>55619</v>
      </c>
      <c r="F12" s="57">
        <v>41790</v>
      </c>
      <c r="G12" s="57">
        <v>62092</v>
      </c>
      <c r="H12" s="57">
        <v>41896</v>
      </c>
      <c r="I12" s="57">
        <v>34065</v>
      </c>
      <c r="J12" s="57">
        <v>32710</v>
      </c>
      <c r="K12" s="57">
        <v>42011</v>
      </c>
      <c r="L12" s="57">
        <v>46262</v>
      </c>
      <c r="M12" s="57">
        <v>48607</v>
      </c>
      <c r="N12" s="57">
        <v>55563</v>
      </c>
      <c r="O12" s="58">
        <v>584874</v>
      </c>
    </row>
    <row r="13" spans="2:15" ht="20.100000000000001" customHeight="1" x14ac:dyDescent="0.25"/>
    <row r="14" spans="2:15" ht="20.100000000000001" customHeight="1" x14ac:dyDescent="0.25"/>
    <row r="15" spans="2:15" ht="20.100000000000001" customHeight="1" x14ac:dyDescent="0.25"/>
    <row r="16" spans="2:15" ht="20.100000000000001" customHeight="1" x14ac:dyDescent="0.25"/>
    <row r="17" ht="20.100000000000001" customHeight="1" x14ac:dyDescent="0.25"/>
  </sheetData>
  <sheetProtection sheet="1" scenarios="1" selectLockedCells="1" autoFilter="0" pivotTables="0"/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A4725-2C0B-4587-9876-2AFB00AD7200}">
  <dimension ref="A1:P17"/>
  <sheetViews>
    <sheetView showGridLines="0" showRowColHeaders="0" zoomScale="130" zoomScaleNormal="130" workbookViewId="0">
      <pane ySplit="6" topLeftCell="A7" activePane="bottomLeft" state="frozen"/>
      <selection pane="bottomLeft" activeCell="I16" sqref="I16"/>
    </sheetView>
  </sheetViews>
  <sheetFormatPr defaultColWidth="0" defaultRowHeight="15" x14ac:dyDescent="0.25"/>
  <cols>
    <col min="1" max="1" width="2" customWidth="1"/>
    <col min="2" max="2" width="30.7109375" customWidth="1"/>
    <col min="3" max="13" width="12.7109375" customWidth="1"/>
    <col min="14" max="14" width="10.7109375" customWidth="1"/>
    <col min="15" max="15" width="2.7109375" customWidth="1"/>
    <col min="16" max="16" width="0" hidden="1" customWidth="1"/>
    <col min="17" max="16384" width="9.140625" hidden="1"/>
  </cols>
  <sheetData>
    <row r="1" spans="2:14" ht="39.950000000000003" customHeight="1" x14ac:dyDescent="0.25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2" t="s">
        <v>15</v>
      </c>
    </row>
    <row r="2" spans="2:14" ht="57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2:14" ht="20.100000000000001" customHeight="1" x14ac:dyDescent="0.25"/>
    <row r="4" spans="2:14" ht="20.100000000000001" customHeight="1" x14ac:dyDescent="0.25">
      <c r="B4" s="158" t="s">
        <v>539</v>
      </c>
      <c r="C4" s="52" t="s">
        <v>538</v>
      </c>
      <c r="D4" s="52"/>
      <c r="E4" s="51"/>
      <c r="F4" s="52"/>
      <c r="G4" s="52"/>
      <c r="H4" s="52"/>
      <c r="I4" s="52"/>
      <c r="J4" s="52"/>
      <c r="K4" s="52"/>
      <c r="L4" s="52"/>
      <c r="M4" s="53"/>
    </row>
    <row r="5" spans="2:14" ht="20.100000000000001" customHeight="1" x14ac:dyDescent="0.25">
      <c r="B5" s="51"/>
      <c r="C5" s="52">
        <v>0</v>
      </c>
      <c r="D5" s="52"/>
      <c r="E5" s="52"/>
      <c r="F5" s="52"/>
      <c r="G5" s="52"/>
      <c r="H5" s="52"/>
      <c r="I5" s="52"/>
      <c r="J5" s="52"/>
      <c r="K5" s="52"/>
      <c r="L5" s="53"/>
      <c r="M5" s="154" t="s">
        <v>542</v>
      </c>
    </row>
    <row r="6" spans="2:14" ht="20.100000000000001" customHeight="1" x14ac:dyDescent="0.25">
      <c r="B6" s="51" t="s">
        <v>536</v>
      </c>
      <c r="C6" s="52">
        <v>1</v>
      </c>
      <c r="D6" s="52">
        <v>4</v>
      </c>
      <c r="E6" s="52">
        <v>5</v>
      </c>
      <c r="F6" s="52">
        <v>6</v>
      </c>
      <c r="G6" s="52">
        <v>7</v>
      </c>
      <c r="H6" s="52">
        <v>8</v>
      </c>
      <c r="I6" s="52">
        <v>9</v>
      </c>
      <c r="J6" s="52">
        <v>10</v>
      </c>
      <c r="K6" s="52">
        <v>11</v>
      </c>
      <c r="L6" s="53">
        <v>12</v>
      </c>
      <c r="M6" s="63"/>
    </row>
    <row r="7" spans="2:14" ht="20.100000000000001" customHeight="1" x14ac:dyDescent="0.25">
      <c r="B7" s="66" t="s">
        <v>24</v>
      </c>
      <c r="C7" s="156">
        <v>1767</v>
      </c>
      <c r="D7" s="59">
        <v>3316</v>
      </c>
      <c r="E7" s="59">
        <v>2015</v>
      </c>
      <c r="F7" s="59">
        <v>6102</v>
      </c>
      <c r="G7" s="59">
        <v>1987</v>
      </c>
      <c r="H7" s="59">
        <v>770</v>
      </c>
      <c r="I7" s="59">
        <v>4253</v>
      </c>
      <c r="J7" s="59">
        <v>9905</v>
      </c>
      <c r="K7" s="59">
        <v>1171</v>
      </c>
      <c r="L7" s="59">
        <v>6972</v>
      </c>
      <c r="M7" s="60">
        <v>38258</v>
      </c>
    </row>
    <row r="8" spans="2:14" ht="20.100000000000001" customHeight="1" x14ac:dyDescent="0.25">
      <c r="B8" s="167" t="s">
        <v>29</v>
      </c>
      <c r="C8" s="157">
        <v>1284</v>
      </c>
      <c r="D8" s="155"/>
      <c r="E8" s="155"/>
      <c r="F8" s="155">
        <v>3878</v>
      </c>
      <c r="G8" s="155">
        <v>508</v>
      </c>
      <c r="H8" s="155"/>
      <c r="I8" s="155"/>
      <c r="J8" s="155">
        <v>4922</v>
      </c>
      <c r="K8" s="155"/>
      <c r="L8" s="155">
        <v>919</v>
      </c>
      <c r="M8" s="56">
        <v>11511</v>
      </c>
    </row>
    <row r="9" spans="2:14" ht="20.100000000000001" customHeight="1" x14ac:dyDescent="0.25">
      <c r="B9" s="50" t="s">
        <v>30</v>
      </c>
      <c r="C9" s="157"/>
      <c r="D9" s="155">
        <v>2388</v>
      </c>
      <c r="E9" s="155"/>
      <c r="F9" s="155"/>
      <c r="G9" s="155"/>
      <c r="H9" s="155"/>
      <c r="I9" s="155"/>
      <c r="J9" s="155"/>
      <c r="K9" s="155">
        <v>1171</v>
      </c>
      <c r="L9" s="155"/>
      <c r="M9" s="56">
        <v>3559</v>
      </c>
    </row>
    <row r="10" spans="2:14" ht="20.100000000000001" customHeight="1" x14ac:dyDescent="0.25">
      <c r="B10" s="50" t="s">
        <v>32</v>
      </c>
      <c r="C10" s="157"/>
      <c r="D10" s="155">
        <v>928</v>
      </c>
      <c r="E10" s="155">
        <v>667</v>
      </c>
      <c r="F10" s="155">
        <v>2224</v>
      </c>
      <c r="G10" s="155">
        <v>1479</v>
      </c>
      <c r="H10" s="155"/>
      <c r="I10" s="155">
        <v>4253</v>
      </c>
      <c r="J10" s="155">
        <v>4983</v>
      </c>
      <c r="K10" s="155"/>
      <c r="L10" s="155">
        <v>1414</v>
      </c>
      <c r="M10" s="56">
        <v>15948</v>
      </c>
    </row>
    <row r="11" spans="2:14" ht="20.100000000000001" customHeight="1" x14ac:dyDescent="0.25">
      <c r="B11" s="50" t="s">
        <v>33</v>
      </c>
      <c r="C11" s="157">
        <v>483</v>
      </c>
      <c r="D11" s="155"/>
      <c r="E11" s="155">
        <v>1348</v>
      </c>
      <c r="F11" s="155"/>
      <c r="G11" s="155"/>
      <c r="H11" s="155">
        <v>770</v>
      </c>
      <c r="I11" s="155"/>
      <c r="J11" s="155"/>
      <c r="K11" s="155"/>
      <c r="L11" s="155">
        <v>4639</v>
      </c>
      <c r="M11" s="56">
        <v>7240</v>
      </c>
    </row>
    <row r="12" spans="2:14" x14ac:dyDescent="0.25">
      <c r="B12" s="168" t="s">
        <v>537</v>
      </c>
      <c r="C12" s="166">
        <v>1767</v>
      </c>
      <c r="D12" s="64">
        <v>3316</v>
      </c>
      <c r="E12" s="64">
        <v>2015</v>
      </c>
      <c r="F12" s="64">
        <v>6102</v>
      </c>
      <c r="G12" s="64">
        <v>1987</v>
      </c>
      <c r="H12" s="64">
        <v>770</v>
      </c>
      <c r="I12" s="64">
        <v>4253</v>
      </c>
      <c r="J12" s="64">
        <v>9905</v>
      </c>
      <c r="K12" s="64">
        <v>1171</v>
      </c>
      <c r="L12" s="64">
        <v>6972</v>
      </c>
      <c r="M12" s="65">
        <v>38258</v>
      </c>
    </row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</sheetData>
  <sheetProtection sheet="1" scenarios="1" selectLockedCells="1" autoFilter="0" pivotTables="0"/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879AA-2152-44E0-A647-4BA2983A2837}">
  <dimension ref="A1:U17"/>
  <sheetViews>
    <sheetView showGridLines="0" showRowColHeaders="0" zoomScale="130" zoomScaleNormal="130" workbookViewId="0">
      <pane ySplit="6" topLeftCell="A7" activePane="bottomLeft" state="frozen"/>
      <selection pane="bottomLeft" activeCell="D14" sqref="D14"/>
    </sheetView>
  </sheetViews>
  <sheetFormatPr defaultColWidth="0" defaultRowHeight="15" x14ac:dyDescent="0.25"/>
  <cols>
    <col min="1" max="1" width="2" customWidth="1"/>
    <col min="2" max="2" width="30.7109375" customWidth="1"/>
    <col min="3" max="13" width="12.7109375" customWidth="1"/>
    <col min="14" max="14" width="10.7109375" customWidth="1"/>
    <col min="15" max="15" width="2.7109375" customWidth="1"/>
    <col min="16" max="21" width="0" hidden="1" customWidth="1"/>
    <col min="22" max="16384" width="9.140625" hidden="1"/>
  </cols>
  <sheetData>
    <row r="1" spans="2:14" ht="39.950000000000003" customHeight="1" x14ac:dyDescent="0.25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2"/>
      <c r="M1" s="2"/>
      <c r="N1" s="2" t="s">
        <v>14</v>
      </c>
    </row>
    <row r="2" spans="2:14" ht="62.25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2:14" ht="20.100000000000001" customHeight="1" x14ac:dyDescent="0.25"/>
    <row r="4" spans="2:14" ht="20.100000000000001" customHeight="1" x14ac:dyDescent="0.25">
      <c r="B4" s="160" t="s">
        <v>539</v>
      </c>
      <c r="C4" s="53" t="s">
        <v>538</v>
      </c>
      <c r="D4" s="51"/>
      <c r="E4" s="51"/>
      <c r="F4" s="52"/>
      <c r="G4" s="52"/>
      <c r="H4" s="52"/>
      <c r="I4" s="52"/>
      <c r="J4" s="52"/>
      <c r="K4" s="52"/>
      <c r="L4" s="53"/>
    </row>
    <row r="5" spans="2:14" ht="20.100000000000001" customHeight="1" x14ac:dyDescent="0.25">
      <c r="B5" s="159"/>
      <c r="C5" s="52">
        <v>0</v>
      </c>
      <c r="D5" s="52"/>
      <c r="E5" s="52"/>
      <c r="F5" s="52"/>
      <c r="G5" s="52"/>
      <c r="H5" s="52"/>
      <c r="I5" s="52"/>
      <c r="J5" s="52"/>
      <c r="K5" s="53"/>
      <c r="L5" s="53" t="s">
        <v>542</v>
      </c>
    </row>
    <row r="6" spans="2:14" ht="20.100000000000001" customHeight="1" x14ac:dyDescent="0.25">
      <c r="B6" s="160" t="s">
        <v>536</v>
      </c>
      <c r="C6" s="54">
        <v>1</v>
      </c>
      <c r="D6" s="54">
        <v>3</v>
      </c>
      <c r="E6" s="54">
        <v>4</v>
      </c>
      <c r="F6" s="54">
        <v>6</v>
      </c>
      <c r="G6" s="54">
        <v>7</v>
      </c>
      <c r="H6" s="54">
        <v>8</v>
      </c>
      <c r="I6" s="54">
        <v>9</v>
      </c>
      <c r="J6" s="54">
        <v>10</v>
      </c>
      <c r="K6" s="55">
        <v>12</v>
      </c>
      <c r="L6" s="63"/>
    </row>
    <row r="7" spans="2:14" ht="20.100000000000001" customHeight="1" x14ac:dyDescent="0.25">
      <c r="B7" s="171" t="s">
        <v>34</v>
      </c>
      <c r="C7" s="156">
        <v>6314</v>
      </c>
      <c r="D7" s="59">
        <v>4438</v>
      </c>
      <c r="E7" s="59">
        <v>1753</v>
      </c>
      <c r="F7" s="59">
        <v>701</v>
      </c>
      <c r="G7" s="59">
        <v>2338</v>
      </c>
      <c r="H7" s="59">
        <v>6976</v>
      </c>
      <c r="I7" s="59">
        <v>1565</v>
      </c>
      <c r="J7" s="59">
        <v>5873</v>
      </c>
      <c r="K7" s="59">
        <v>1967</v>
      </c>
      <c r="L7" s="60">
        <v>31925</v>
      </c>
    </row>
    <row r="8" spans="2:14" ht="20.100000000000001" customHeight="1" x14ac:dyDescent="0.25">
      <c r="B8" s="50" t="s">
        <v>30</v>
      </c>
      <c r="C8" s="157"/>
      <c r="D8" s="155"/>
      <c r="E8" s="155"/>
      <c r="F8" s="155"/>
      <c r="G8" s="155"/>
      <c r="H8" s="155">
        <v>4217</v>
      </c>
      <c r="I8" s="155">
        <v>1565</v>
      </c>
      <c r="J8" s="155"/>
      <c r="K8" s="155"/>
      <c r="L8" s="56">
        <v>5782</v>
      </c>
    </row>
    <row r="9" spans="2:14" x14ac:dyDescent="0.25">
      <c r="B9" s="50" t="s">
        <v>31</v>
      </c>
      <c r="C9" s="157"/>
      <c r="D9" s="155"/>
      <c r="E9" s="155"/>
      <c r="F9" s="155"/>
      <c r="G9" s="155"/>
      <c r="H9" s="155"/>
      <c r="I9" s="155"/>
      <c r="J9" s="155">
        <v>5873</v>
      </c>
      <c r="K9" s="155"/>
      <c r="L9" s="56">
        <v>5873</v>
      </c>
    </row>
    <row r="10" spans="2:14" x14ac:dyDescent="0.25">
      <c r="B10" s="50" t="s">
        <v>33</v>
      </c>
      <c r="C10" s="157"/>
      <c r="D10" s="155"/>
      <c r="E10" s="155">
        <v>1753</v>
      </c>
      <c r="F10" s="155"/>
      <c r="G10" s="155"/>
      <c r="H10" s="155">
        <v>2759</v>
      </c>
      <c r="I10" s="155"/>
      <c r="J10" s="155"/>
      <c r="K10" s="155"/>
      <c r="L10" s="56">
        <v>4512</v>
      </c>
    </row>
    <row r="11" spans="2:14" ht="20.100000000000001" customHeight="1" x14ac:dyDescent="0.25">
      <c r="B11" s="50" t="s">
        <v>40</v>
      </c>
      <c r="C11" s="157">
        <v>6314</v>
      </c>
      <c r="D11" s="155">
        <v>4438</v>
      </c>
      <c r="E11" s="155"/>
      <c r="F11" s="155">
        <v>701</v>
      </c>
      <c r="G11" s="155">
        <v>2338</v>
      </c>
      <c r="H11" s="155"/>
      <c r="I11" s="155"/>
      <c r="J11" s="155"/>
      <c r="K11" s="155">
        <v>1967</v>
      </c>
      <c r="L11" s="56">
        <v>15758</v>
      </c>
    </row>
    <row r="12" spans="2:14" x14ac:dyDescent="0.25">
      <c r="B12" s="168" t="s">
        <v>537</v>
      </c>
      <c r="C12" s="166">
        <v>6314</v>
      </c>
      <c r="D12" s="64">
        <v>4438</v>
      </c>
      <c r="E12" s="64">
        <v>1753</v>
      </c>
      <c r="F12" s="64">
        <v>701</v>
      </c>
      <c r="G12" s="64">
        <v>2338</v>
      </c>
      <c r="H12" s="64">
        <v>6976</v>
      </c>
      <c r="I12" s="64">
        <v>1565</v>
      </c>
      <c r="J12" s="64">
        <v>5873</v>
      </c>
      <c r="K12" s="64">
        <v>1967</v>
      </c>
      <c r="L12" s="65">
        <v>31925</v>
      </c>
    </row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</sheetData>
  <sheetProtection sheet="1" scenarios="1" selectLockedCells="1" autoFilter="0" pivotTables="0"/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10459-B2A4-47AC-8ED7-108B863EF6B7}">
  <dimension ref="A1:P17"/>
  <sheetViews>
    <sheetView showGridLines="0" showRowColHeaders="0" zoomScale="130" zoomScaleNormal="130" workbookViewId="0">
      <pane ySplit="6" topLeftCell="A7" activePane="bottomLeft" state="frozen"/>
      <selection pane="bottomLeft" activeCell="K2" sqref="K2"/>
    </sheetView>
  </sheetViews>
  <sheetFormatPr defaultColWidth="0" defaultRowHeight="15" x14ac:dyDescent="0.25"/>
  <cols>
    <col min="1" max="1" width="2" customWidth="1"/>
    <col min="2" max="2" width="24" bestFit="1" customWidth="1"/>
    <col min="3" max="12" width="12.7109375" customWidth="1"/>
    <col min="13" max="13" width="9.7109375" customWidth="1"/>
    <col min="14" max="14" width="8.28515625" customWidth="1"/>
    <col min="15" max="15" width="12.7109375" customWidth="1"/>
    <col min="16" max="16" width="2.28515625" customWidth="1"/>
    <col min="17" max="16384" width="9.140625" hidden="1"/>
  </cols>
  <sheetData>
    <row r="1" spans="2:15" ht="39.950000000000003" customHeight="1" x14ac:dyDescent="0.25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 t="s">
        <v>16</v>
      </c>
    </row>
    <row r="2" spans="2:15" ht="58.5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204">
        <f ca="1">TODAY()</f>
        <v>45216</v>
      </c>
      <c r="O2" s="204"/>
    </row>
    <row r="3" spans="2:15" ht="20.100000000000001" customHeight="1" x14ac:dyDescent="0.25"/>
    <row r="4" spans="2:15" ht="20.100000000000001" customHeight="1" x14ac:dyDescent="0.25">
      <c r="B4" s="160" t="s">
        <v>539</v>
      </c>
      <c r="C4" s="160" t="s">
        <v>538</v>
      </c>
      <c r="D4" s="160"/>
      <c r="E4" s="51"/>
      <c r="F4" s="52"/>
      <c r="G4" s="52"/>
      <c r="H4" s="52"/>
      <c r="I4" s="52"/>
      <c r="J4" s="52"/>
      <c r="K4" s="52"/>
      <c r="L4" s="53"/>
    </row>
    <row r="5" spans="2:15" ht="20.100000000000001" customHeight="1" x14ac:dyDescent="0.25">
      <c r="B5" s="159"/>
      <c r="C5" s="51" t="s">
        <v>544</v>
      </c>
      <c r="D5" s="52"/>
      <c r="E5" s="52"/>
      <c r="F5" s="52"/>
      <c r="G5" s="52"/>
      <c r="H5" s="52"/>
      <c r="I5" s="52"/>
      <c r="J5" s="52"/>
      <c r="K5" s="53"/>
      <c r="L5" s="160" t="s">
        <v>545</v>
      </c>
    </row>
    <row r="6" spans="2:15" ht="20.100000000000001" customHeight="1" x14ac:dyDescent="0.25">
      <c r="B6" s="160" t="s">
        <v>536</v>
      </c>
      <c r="C6" s="51">
        <v>2</v>
      </c>
      <c r="D6" s="52">
        <v>3</v>
      </c>
      <c r="E6" s="52">
        <v>4</v>
      </c>
      <c r="F6" s="52">
        <v>5</v>
      </c>
      <c r="G6" s="52">
        <v>6</v>
      </c>
      <c r="H6" s="52">
        <v>9</v>
      </c>
      <c r="I6" s="52">
        <v>10</v>
      </c>
      <c r="J6" s="52">
        <v>11</v>
      </c>
      <c r="K6" s="53">
        <v>12</v>
      </c>
      <c r="L6" s="159"/>
    </row>
    <row r="7" spans="2:15" ht="20.100000000000001" customHeight="1" x14ac:dyDescent="0.25">
      <c r="B7" s="161" t="s">
        <v>24</v>
      </c>
      <c r="C7" s="156">
        <v>928</v>
      </c>
      <c r="D7" s="59">
        <v>3736</v>
      </c>
      <c r="E7" s="59">
        <v>2224</v>
      </c>
      <c r="F7" s="59">
        <v>4545</v>
      </c>
      <c r="G7" s="59">
        <v>2757</v>
      </c>
      <c r="H7" s="59">
        <v>9236</v>
      </c>
      <c r="I7" s="59">
        <v>6093</v>
      </c>
      <c r="J7" s="59">
        <v>8256</v>
      </c>
      <c r="K7" s="59">
        <v>483</v>
      </c>
      <c r="L7" s="69">
        <v>38258</v>
      </c>
    </row>
    <row r="8" spans="2:15" ht="20.100000000000001" customHeight="1" x14ac:dyDescent="0.25">
      <c r="B8" s="163" t="s">
        <v>29</v>
      </c>
      <c r="C8" s="157"/>
      <c r="D8" s="155"/>
      <c r="E8" s="155"/>
      <c r="F8" s="155">
        <v>3878</v>
      </c>
      <c r="G8" s="155">
        <v>508</v>
      </c>
      <c r="H8" s="155"/>
      <c r="I8" s="155">
        <v>4922</v>
      </c>
      <c r="J8" s="155">
        <v>2203</v>
      </c>
      <c r="K8" s="155"/>
      <c r="L8" s="67">
        <v>11511</v>
      </c>
    </row>
    <row r="9" spans="2:15" ht="20.100000000000001" customHeight="1" x14ac:dyDescent="0.25">
      <c r="B9" s="164" t="s">
        <v>30</v>
      </c>
      <c r="C9" s="157"/>
      <c r="D9" s="155">
        <v>2388</v>
      </c>
      <c r="E9" s="155"/>
      <c r="F9" s="155"/>
      <c r="G9" s="155"/>
      <c r="H9" s="155"/>
      <c r="I9" s="155">
        <v>1171</v>
      </c>
      <c r="J9" s="155"/>
      <c r="K9" s="155"/>
      <c r="L9" s="67">
        <v>3559</v>
      </c>
    </row>
    <row r="10" spans="2:15" ht="20.100000000000001" customHeight="1" x14ac:dyDescent="0.25">
      <c r="B10" s="164" t="s">
        <v>32</v>
      </c>
      <c r="C10" s="157">
        <v>928</v>
      </c>
      <c r="D10" s="155"/>
      <c r="E10" s="155">
        <v>2224</v>
      </c>
      <c r="F10" s="155">
        <v>667</v>
      </c>
      <c r="G10" s="155">
        <v>1479</v>
      </c>
      <c r="H10" s="155">
        <v>9236</v>
      </c>
      <c r="I10" s="155"/>
      <c r="J10" s="155">
        <v>1414</v>
      </c>
      <c r="K10" s="155"/>
      <c r="L10" s="67">
        <v>15948</v>
      </c>
    </row>
    <row r="11" spans="2:15" x14ac:dyDescent="0.25">
      <c r="B11" s="165" t="s">
        <v>33</v>
      </c>
      <c r="C11" s="157"/>
      <c r="D11" s="155">
        <v>1348</v>
      </c>
      <c r="E11" s="155"/>
      <c r="F11" s="155"/>
      <c r="G11" s="155">
        <v>770</v>
      </c>
      <c r="H11" s="155"/>
      <c r="I11" s="155"/>
      <c r="J11" s="155">
        <v>4639</v>
      </c>
      <c r="K11" s="155">
        <v>483</v>
      </c>
      <c r="L11" s="67">
        <v>7240</v>
      </c>
    </row>
    <row r="12" spans="2:15" x14ac:dyDescent="0.25">
      <c r="B12" s="162" t="s">
        <v>537</v>
      </c>
      <c r="C12" s="166">
        <v>928</v>
      </c>
      <c r="D12" s="64">
        <v>3736</v>
      </c>
      <c r="E12" s="64">
        <v>2224</v>
      </c>
      <c r="F12" s="64">
        <v>4545</v>
      </c>
      <c r="G12" s="64">
        <v>2757</v>
      </c>
      <c r="H12" s="64">
        <v>9236</v>
      </c>
      <c r="I12" s="64">
        <v>6093</v>
      </c>
      <c r="J12" s="64">
        <v>8256</v>
      </c>
      <c r="K12" s="64">
        <v>483</v>
      </c>
      <c r="L12" s="65">
        <v>38258</v>
      </c>
    </row>
    <row r="13" spans="2:15" ht="20.100000000000001" customHeight="1" x14ac:dyDescent="0.25"/>
    <row r="14" spans="2:15" ht="20.100000000000001" customHeight="1" x14ac:dyDescent="0.25"/>
    <row r="15" spans="2:15" ht="20.100000000000001" customHeight="1" x14ac:dyDescent="0.25"/>
    <row r="16" spans="2:15" ht="20.100000000000001" customHeight="1" x14ac:dyDescent="0.25"/>
    <row r="17" ht="20.100000000000001" customHeight="1" x14ac:dyDescent="0.25"/>
  </sheetData>
  <sheetProtection sheet="1" scenarios="1" selectLockedCells="1" autoFilter="0" pivotTables="0"/>
  <mergeCells count="1">
    <mergeCell ref="N2:O2"/>
  </mergeCells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B74E4-496D-4499-ABA4-DDBF055C72BA}">
  <dimension ref="A1:O21"/>
  <sheetViews>
    <sheetView showGridLines="0" showRowColHeaders="0" zoomScale="130" zoomScaleNormal="130" workbookViewId="0">
      <selection activeCell="K2" sqref="K2"/>
    </sheetView>
  </sheetViews>
  <sheetFormatPr defaultColWidth="0" defaultRowHeight="15" x14ac:dyDescent="0.25"/>
  <cols>
    <col min="1" max="1" width="2" customWidth="1"/>
    <col min="2" max="2" width="30.7109375" style="150" customWidth="1"/>
    <col min="3" max="3" width="1.7109375" customWidth="1"/>
    <col min="4" max="4" width="30.7109375" customWidth="1"/>
    <col min="5" max="5" width="4.7109375" customWidth="1"/>
    <col min="6" max="6" width="14.7109375" customWidth="1"/>
    <col min="7" max="7" width="17.85546875" customWidth="1"/>
    <col min="8" max="8" width="4.7109375" customWidth="1"/>
    <col min="9" max="9" width="34.42578125" customWidth="1"/>
    <col min="10" max="10" width="4.5703125" customWidth="1"/>
    <col min="11" max="11" width="37.7109375" customWidth="1"/>
    <col min="12" max="12" width="2.42578125" customWidth="1"/>
    <col min="13" max="15" width="0" hidden="1" customWidth="1"/>
    <col min="16" max="16384" width="9.140625" hidden="1"/>
  </cols>
  <sheetData>
    <row r="1" spans="2:11" ht="39.950000000000003" customHeight="1" x14ac:dyDescent="0.25">
      <c r="B1" s="142" t="s">
        <v>1</v>
      </c>
      <c r="C1" s="1"/>
      <c r="D1" s="1"/>
      <c r="E1" s="1"/>
      <c r="F1" s="1"/>
      <c r="G1" s="1"/>
      <c r="H1" s="1"/>
      <c r="I1" s="1"/>
      <c r="J1" s="1"/>
      <c r="K1" s="2" t="s">
        <v>17</v>
      </c>
    </row>
    <row r="2" spans="2:11" ht="39.950000000000003" customHeight="1" x14ac:dyDescent="0.25">
      <c r="B2" s="143"/>
      <c r="C2" s="5"/>
      <c r="D2" s="5"/>
      <c r="E2" s="5"/>
      <c r="F2" s="5"/>
      <c r="G2" s="5"/>
      <c r="H2" s="5"/>
      <c r="I2" s="5"/>
      <c r="J2" s="5"/>
      <c r="K2" s="184">
        <v>2018</v>
      </c>
    </row>
    <row r="3" spans="2:11" ht="20.100000000000001" customHeight="1" x14ac:dyDescent="0.25">
      <c r="B3" s="144"/>
      <c r="C3" s="101"/>
      <c r="D3" s="101"/>
      <c r="E3" s="101"/>
      <c r="F3" s="101"/>
      <c r="G3" s="101"/>
      <c r="H3" s="101"/>
      <c r="I3" s="101"/>
      <c r="J3" s="101"/>
      <c r="K3" s="101"/>
    </row>
    <row r="4" spans="2:11" ht="20.100000000000001" customHeight="1" x14ac:dyDescent="0.25">
      <c r="B4" s="145" t="s">
        <v>586</v>
      </c>
      <c r="C4" s="101"/>
      <c r="D4" s="102" t="s">
        <v>587</v>
      </c>
      <c r="E4" s="101"/>
      <c r="F4" s="103"/>
      <c r="G4" s="104"/>
      <c r="H4" s="104"/>
      <c r="I4" s="105" t="s">
        <v>588</v>
      </c>
      <c r="J4" s="104"/>
      <c r="K4" s="106" t="s">
        <v>31</v>
      </c>
    </row>
    <row r="5" spans="2:11" ht="20.100000000000001" customHeight="1" x14ac:dyDescent="0.25">
      <c r="B5" s="141">
        <f>DashBoardFinanceiroAnualRef!C11</f>
        <v>14746</v>
      </c>
      <c r="C5" s="101"/>
      <c r="D5" s="107" t="s">
        <v>597</v>
      </c>
      <c r="E5" s="101"/>
      <c r="F5" s="108"/>
      <c r="I5" s="101"/>
      <c r="J5" s="109"/>
      <c r="K5" s="110"/>
    </row>
    <row r="6" spans="2:11" ht="20.100000000000001" customHeight="1" x14ac:dyDescent="0.25">
      <c r="B6" s="144"/>
      <c r="C6" s="101"/>
      <c r="D6" s="101"/>
      <c r="E6" s="101"/>
      <c r="F6" s="108"/>
      <c r="I6" s="101"/>
      <c r="J6" s="101"/>
      <c r="K6" s="110"/>
    </row>
    <row r="7" spans="2:11" ht="20.100000000000001" customHeight="1" x14ac:dyDescent="0.25">
      <c r="B7" s="145" t="s">
        <v>589</v>
      </c>
      <c r="C7" s="101"/>
      <c r="D7" s="194"/>
      <c r="E7" s="101"/>
      <c r="F7" s="108"/>
      <c r="I7" s="101"/>
      <c r="J7" s="101"/>
      <c r="K7" s="111" t="s">
        <v>576</v>
      </c>
    </row>
    <row r="8" spans="2:11" ht="20.100000000000001" customHeight="1" x14ac:dyDescent="0.25">
      <c r="B8" s="146">
        <f>DashBoardFinanceiroAnualRef!D13</f>
        <v>10511</v>
      </c>
      <c r="C8" s="101"/>
      <c r="D8" s="195"/>
      <c r="E8" s="101"/>
      <c r="F8" s="108"/>
      <c r="I8" s="101"/>
      <c r="J8" s="101"/>
      <c r="K8" s="175">
        <f>SUM(DashBoardFinanceiroAnualRef!J5:J16)</f>
        <v>27680</v>
      </c>
    </row>
    <row r="9" spans="2:11" ht="20.100000000000001" customHeight="1" x14ac:dyDescent="0.25">
      <c r="B9" s="144"/>
      <c r="C9" s="101"/>
      <c r="D9" s="101"/>
      <c r="E9" s="101"/>
      <c r="F9" s="108"/>
      <c r="I9" s="101"/>
      <c r="J9" s="101"/>
      <c r="K9" s="112"/>
    </row>
    <row r="10" spans="2:11" ht="20.100000000000001" customHeight="1" x14ac:dyDescent="0.25">
      <c r="B10" s="145" t="s">
        <v>590</v>
      </c>
      <c r="C10" s="101"/>
      <c r="D10" s="194"/>
      <c r="E10" s="101"/>
      <c r="F10" s="108"/>
      <c r="I10" s="101"/>
      <c r="J10" s="101"/>
      <c r="K10" s="112"/>
    </row>
    <row r="11" spans="2:11" ht="20.100000000000001" customHeight="1" x14ac:dyDescent="0.25">
      <c r="B11" s="147">
        <f>DashBoardFinanceiroAnualRef!D14</f>
        <v>26691</v>
      </c>
      <c r="C11" s="101"/>
      <c r="D11" s="195"/>
      <c r="E11" s="101"/>
      <c r="F11" s="113"/>
      <c r="G11" s="114"/>
      <c r="H11" s="114"/>
      <c r="I11" s="115"/>
      <c r="J11" s="115"/>
      <c r="K11" s="116"/>
    </row>
    <row r="12" spans="2:11" ht="20.100000000000001" customHeight="1" x14ac:dyDescent="0.25">
      <c r="B12" s="144"/>
      <c r="C12" s="101"/>
      <c r="D12" s="101"/>
      <c r="E12" s="101"/>
      <c r="I12" s="101"/>
      <c r="J12" s="101"/>
      <c r="K12" s="101"/>
    </row>
    <row r="13" spans="2:11" ht="20.100000000000001" customHeight="1" x14ac:dyDescent="0.25">
      <c r="B13" s="191" t="s">
        <v>591</v>
      </c>
      <c r="C13" s="192"/>
      <c r="D13" s="193"/>
      <c r="E13" s="101"/>
      <c r="F13" s="191" t="s">
        <v>592</v>
      </c>
      <c r="G13" s="193"/>
      <c r="I13" s="117" t="s">
        <v>593</v>
      </c>
      <c r="J13" s="101"/>
      <c r="K13" s="118" t="s">
        <v>594</v>
      </c>
    </row>
    <row r="14" spans="2:11" ht="20.100000000000001" customHeight="1" x14ac:dyDescent="0.25">
      <c r="B14" s="148"/>
      <c r="C14" s="120"/>
      <c r="D14" s="121"/>
      <c r="E14" s="101"/>
      <c r="F14" s="119" t="s">
        <v>595</v>
      </c>
      <c r="G14" s="122" t="s">
        <v>596</v>
      </c>
      <c r="I14" s="181">
        <f>DashBoardFinanceiroAnualRef!E32</f>
        <v>18424</v>
      </c>
      <c r="J14" s="101"/>
      <c r="K14" s="123" t="s">
        <v>31</v>
      </c>
    </row>
    <row r="15" spans="2:11" ht="20.100000000000001" customHeight="1" x14ac:dyDescent="0.25">
      <c r="B15" s="148"/>
      <c r="C15" s="101"/>
      <c r="D15" s="121"/>
      <c r="E15" s="101"/>
      <c r="F15" s="124"/>
      <c r="G15" s="125"/>
      <c r="I15" s="126"/>
      <c r="J15" s="101"/>
      <c r="K15" s="180">
        <f>DashBoardFinanceiroAnualRef!H44</f>
        <v>29675</v>
      </c>
    </row>
    <row r="16" spans="2:11" ht="20.100000000000001" customHeight="1" x14ac:dyDescent="0.25">
      <c r="B16" s="127">
        <f>DashBoardFinanceiroAnualRef!E22</f>
        <v>320574</v>
      </c>
      <c r="C16" s="101"/>
      <c r="D16" s="121"/>
      <c r="E16" s="101"/>
      <c r="F16" s="128">
        <f ca="1">DashBoardFinanceiroAnualRef!E27</f>
        <v>473.16106471378657</v>
      </c>
      <c r="G16" s="129">
        <f ca="1">DashBoardFinanceiroAnualRef!J27</f>
        <v>367.76603651949932</v>
      </c>
      <c r="I16" s="126"/>
      <c r="J16" s="101"/>
      <c r="K16" s="130"/>
    </row>
    <row r="17" spans="2:11" ht="20.100000000000001" customHeight="1" x14ac:dyDescent="0.25">
      <c r="B17" s="127"/>
      <c r="C17" s="101"/>
      <c r="D17" s="121"/>
      <c r="E17" s="101"/>
      <c r="F17" s="131"/>
      <c r="G17" s="125"/>
      <c r="I17" s="126"/>
      <c r="J17" s="101"/>
      <c r="K17" s="130"/>
    </row>
    <row r="18" spans="2:11" ht="18.75" x14ac:dyDescent="0.25">
      <c r="B18" s="148"/>
      <c r="C18" s="101"/>
      <c r="D18" s="121"/>
      <c r="E18" s="101"/>
      <c r="F18" s="132" t="s">
        <v>580</v>
      </c>
      <c r="G18" s="133" t="s">
        <v>580</v>
      </c>
      <c r="I18" s="126"/>
      <c r="J18" s="101"/>
      <c r="K18" s="130"/>
    </row>
    <row r="19" spans="2:11" ht="26.25" x14ac:dyDescent="0.25">
      <c r="B19" s="134"/>
      <c r="C19" s="135"/>
      <c r="D19" s="136"/>
      <c r="E19" s="101"/>
      <c r="F19" s="137"/>
      <c r="G19" s="138"/>
      <c r="I19" s="139"/>
      <c r="J19" s="101"/>
      <c r="K19" s="140"/>
    </row>
    <row r="20" spans="2:11" x14ac:dyDescent="0.25">
      <c r="B20" s="144"/>
      <c r="C20" s="101"/>
      <c r="D20" s="101"/>
      <c r="E20" s="101"/>
      <c r="J20" s="101"/>
      <c r="K20" s="101"/>
    </row>
    <row r="21" spans="2:11" x14ac:dyDescent="0.25">
      <c r="B21" s="149"/>
      <c r="C21" s="71"/>
      <c r="D21" s="71"/>
      <c r="E21" s="71"/>
      <c r="F21" s="71"/>
      <c r="G21" s="71"/>
      <c r="H21" s="71"/>
      <c r="I21" s="71"/>
      <c r="J21" s="71"/>
      <c r="K21" s="71"/>
    </row>
  </sheetData>
  <sheetProtection sheet="1" objects="1" scenarios="1" selectLockedCells="1" autoFilter="0" pivotTables="0"/>
  <mergeCells count="4">
    <mergeCell ref="B13:D13"/>
    <mergeCell ref="F13:G13"/>
    <mergeCell ref="D7:D8"/>
    <mergeCell ref="D10:D11"/>
  </mergeCells>
  <conditionalFormatting sqref="I14">
    <cfRule type="cellIs" dxfId="3" priority="1" operator="lessThan">
      <formula>0</formula>
    </cfRule>
  </conditionalFormatting>
  <dataValidations count="2">
    <dataValidation type="list" allowBlank="1" showInputMessage="1" showErrorMessage="1" errorTitle="Conta Inexistente!" error="Selecione uma conta da lista." sqref="K14" xr:uid="{2C94BF0A-D263-43E3-971D-A0D21EDCAF48}">
      <formula1 xml:space="preserve"> PCSaidasN2_Nivel_2</formula1>
    </dataValidation>
    <dataValidation type="list" allowBlank="1" showInputMessage="1" showErrorMessage="1" errorTitle="Conta Inexisente!" error="Selecione um item da conta." sqref="K4" xr:uid="{B99C04E6-0933-4084-898D-9B1FD28F613B}">
      <formula1 xml:space="preserve"> PCEntradasN2_Nivel_2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low="1" negative="1" displayXAxis="1" minAxisType="group" maxAxisType="group" xr2:uid="{632763E5-1F96-47A0-AF6F-E16E16BF3899}">
          <x14:colorSeries rgb="FF00B050"/>
          <x14:colorNegative rgb="FFFF0000"/>
          <x14:colorAxis rgb="FF000000"/>
          <x14:colorMarkers rgb="FFD00000"/>
          <x14:colorFirst rgb="FFD00000"/>
          <x14:colorLast rgb="FFD00000"/>
          <x14:colorHigh theme="4" tint="-0.249977111117893"/>
          <x14:colorLow theme="5" tint="-0.249977111117893"/>
          <x14:sparklines>
            <x14:sparkline>
              <xm:f>DashBoardFinanceiroAnualRef!H5:H16</xm:f>
              <xm:sqref>D10</xm:sqref>
            </x14:sparkline>
          </x14:sparklines>
        </x14:sparklineGroup>
        <x14:sparklineGroup type="column" displayEmptyCellsAs="gap" high="1" low="1" negative="1" displayXAxis="1" minAxisType="group" maxAxisType="group" xr2:uid="{07787EBF-A557-4828-B28B-8535BE63EF6D}">
          <x14:colorSeries rgb="FFFF0000"/>
          <x14:colorNegative theme="6"/>
          <x14:colorAxis rgb="FF000000"/>
          <x14:colorMarkers theme="5" tint="-0.249977111117893"/>
          <x14:colorFirst theme="5" tint="-0.249977111117893"/>
          <x14:colorLast theme="5" tint="-0.249977111117893"/>
          <x14:colorHigh theme="4" tint="-0.249977111117893"/>
          <x14:colorLow theme="5" tint="-0.249977111117893"/>
          <x14:sparklines>
            <x14:sparkline>
              <xm:f>DashBoardFinanceiroAnualRef!G5:G16</xm:f>
              <xm:sqref>D7</xm:sqref>
            </x14:sparkline>
          </x14:sparklines>
        </x14:sparklineGroup>
      </x14:sparklineGroup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90B2F-91CA-4487-9452-78786BA23F62}">
  <dimension ref="A1:O21"/>
  <sheetViews>
    <sheetView showGridLines="0" showRowColHeaders="0" zoomScale="130" zoomScaleNormal="130" workbookViewId="0">
      <selection activeCell="K2" sqref="K2"/>
    </sheetView>
  </sheetViews>
  <sheetFormatPr defaultColWidth="0" defaultRowHeight="15" x14ac:dyDescent="0.25"/>
  <cols>
    <col min="1" max="1" width="2" customWidth="1"/>
    <col min="2" max="2" width="30.7109375" style="150" customWidth="1"/>
    <col min="3" max="3" width="1.7109375" customWidth="1"/>
    <col min="4" max="4" width="30.7109375" customWidth="1"/>
    <col min="5" max="5" width="4.7109375" customWidth="1"/>
    <col min="6" max="6" width="14.7109375" customWidth="1"/>
    <col min="7" max="7" width="17.85546875" customWidth="1"/>
    <col min="8" max="8" width="4.7109375" customWidth="1"/>
    <col min="9" max="9" width="34.42578125" customWidth="1"/>
    <col min="10" max="10" width="4.5703125" customWidth="1"/>
    <col min="11" max="11" width="37.7109375" customWidth="1"/>
    <col min="12" max="12" width="2.42578125" customWidth="1"/>
    <col min="13" max="15" width="0" hidden="1" customWidth="1"/>
    <col min="16" max="16384" width="9.140625" hidden="1"/>
  </cols>
  <sheetData>
    <row r="1" spans="2:11" ht="39.950000000000003" customHeight="1" x14ac:dyDescent="0.25">
      <c r="B1" s="142" t="s">
        <v>1</v>
      </c>
      <c r="C1" s="1"/>
      <c r="D1" s="1"/>
      <c r="E1" s="1"/>
      <c r="F1" s="1"/>
      <c r="G1" s="1"/>
      <c r="H1" s="1"/>
      <c r="I1" s="1"/>
      <c r="J1" s="1"/>
      <c r="K1" s="2" t="s">
        <v>17</v>
      </c>
    </row>
    <row r="2" spans="2:11" ht="39.950000000000003" customHeight="1" x14ac:dyDescent="0.25">
      <c r="B2" s="143"/>
      <c r="C2" s="5"/>
      <c r="D2" s="5"/>
      <c r="E2" s="5"/>
      <c r="F2" s="5"/>
      <c r="G2" s="5"/>
      <c r="H2" s="5"/>
      <c r="I2" s="5"/>
      <c r="J2" s="5"/>
      <c r="K2" s="186">
        <v>43404</v>
      </c>
    </row>
    <row r="3" spans="2:11" ht="20.100000000000001" customHeight="1" x14ac:dyDescent="0.25">
      <c r="B3" s="144"/>
      <c r="C3" s="101"/>
      <c r="D3" s="101"/>
      <c r="E3" s="101"/>
      <c r="F3" s="101"/>
      <c r="G3" s="101"/>
      <c r="H3" s="101"/>
      <c r="I3" s="101"/>
      <c r="J3" s="101"/>
      <c r="K3" s="101"/>
    </row>
    <row r="4" spans="2:11" ht="20.100000000000001" customHeight="1" x14ac:dyDescent="0.25">
      <c r="B4" s="145" t="s">
        <v>586</v>
      </c>
      <c r="C4" s="101"/>
      <c r="D4" s="102" t="s">
        <v>587</v>
      </c>
      <c r="E4" s="101"/>
      <c r="F4" s="103"/>
      <c r="G4" s="104"/>
      <c r="H4" s="104"/>
      <c r="I4" s="105" t="s">
        <v>588</v>
      </c>
      <c r="J4" s="104"/>
      <c r="K4" s="106" t="s">
        <v>31</v>
      </c>
    </row>
    <row r="5" spans="2:11" ht="20.100000000000001" customHeight="1" x14ac:dyDescent="0.25">
      <c r="B5" s="141">
        <f>DashBoardFinanceiroAtualRef!C11</f>
        <v>32282</v>
      </c>
      <c r="C5" s="101"/>
      <c r="D5" s="107" t="s">
        <v>597</v>
      </c>
      <c r="E5" s="101"/>
      <c r="F5" s="108"/>
      <c r="I5" s="101"/>
      <c r="J5" s="109"/>
      <c r="K5" s="110"/>
    </row>
    <row r="6" spans="2:11" ht="20.100000000000001" customHeight="1" x14ac:dyDescent="0.25">
      <c r="B6" s="144"/>
      <c r="C6" s="101"/>
      <c r="D6" s="101"/>
      <c r="E6" s="101"/>
      <c r="F6" s="108"/>
      <c r="I6" s="101"/>
      <c r="J6" s="101"/>
      <c r="K6" s="110"/>
    </row>
    <row r="7" spans="2:11" ht="20.100000000000001" customHeight="1" x14ac:dyDescent="0.25">
      <c r="B7" s="145" t="s">
        <v>589</v>
      </c>
      <c r="C7" s="101"/>
      <c r="D7" s="194"/>
      <c r="E7" s="101"/>
      <c r="F7" s="108"/>
      <c r="I7" s="101"/>
      <c r="J7" s="101"/>
      <c r="K7" s="111" t="s">
        <v>576</v>
      </c>
    </row>
    <row r="8" spans="2:11" ht="20.100000000000001" customHeight="1" x14ac:dyDescent="0.25">
      <c r="B8" s="146">
        <f>DashBoardFinanceiroAtualRef!D13</f>
        <v>10511</v>
      </c>
      <c r="C8" s="101"/>
      <c r="D8" s="195"/>
      <c r="E8" s="101"/>
      <c r="F8" s="108"/>
      <c r="I8" s="101"/>
      <c r="J8" s="101"/>
      <c r="K8" s="175">
        <f>SUM(DashBoardFinanceiroAtualRef!J5:J16)</f>
        <v>25860</v>
      </c>
    </row>
    <row r="9" spans="2:11" ht="20.100000000000001" customHeight="1" x14ac:dyDescent="0.25">
      <c r="B9" s="144"/>
      <c r="C9" s="101"/>
      <c r="D9" s="101"/>
      <c r="E9" s="101"/>
      <c r="F9" s="108"/>
      <c r="I9" s="101"/>
      <c r="J9" s="101"/>
      <c r="K9" s="112"/>
    </row>
    <row r="10" spans="2:11" ht="20.100000000000001" customHeight="1" x14ac:dyDescent="0.25">
      <c r="B10" s="145" t="s">
        <v>590</v>
      </c>
      <c r="C10" s="101"/>
      <c r="D10" s="194"/>
      <c r="E10" s="101"/>
      <c r="F10" s="108"/>
      <c r="I10" s="101"/>
      <c r="J10" s="101"/>
      <c r="K10" s="112"/>
    </row>
    <row r="11" spans="2:11" ht="20.100000000000001" customHeight="1" x14ac:dyDescent="0.25">
      <c r="B11" s="147">
        <f>DashBoardFinanceiroAtualRef!D14</f>
        <v>19719</v>
      </c>
      <c r="C11" s="101"/>
      <c r="D11" s="195"/>
      <c r="E11" s="101"/>
      <c r="F11" s="113"/>
      <c r="G11" s="114"/>
      <c r="H11" s="114"/>
      <c r="I11" s="115"/>
      <c r="J11" s="115"/>
      <c r="K11" s="116"/>
    </row>
    <row r="12" spans="2:11" ht="20.100000000000001" customHeight="1" x14ac:dyDescent="0.25">
      <c r="B12" s="144"/>
      <c r="C12" s="101"/>
      <c r="D12" s="101"/>
      <c r="E12" s="101"/>
      <c r="I12" s="101"/>
      <c r="J12" s="101"/>
      <c r="K12" s="101"/>
    </row>
    <row r="13" spans="2:11" ht="20.100000000000001" customHeight="1" x14ac:dyDescent="0.25">
      <c r="B13" s="191" t="s">
        <v>591</v>
      </c>
      <c r="C13" s="192"/>
      <c r="D13" s="193"/>
      <c r="E13" s="101"/>
      <c r="F13" s="191" t="s">
        <v>592</v>
      </c>
      <c r="G13" s="193"/>
      <c r="I13" s="117" t="s">
        <v>593</v>
      </c>
      <c r="J13" s="101"/>
      <c r="K13" s="118" t="s">
        <v>594</v>
      </c>
    </row>
    <row r="14" spans="2:11" ht="20.100000000000001" customHeight="1" x14ac:dyDescent="0.25">
      <c r="B14" s="148"/>
      <c r="C14" s="120"/>
      <c r="D14" s="121"/>
      <c r="E14" s="101"/>
      <c r="F14" s="119" t="s">
        <v>595</v>
      </c>
      <c r="G14" s="122" t="s">
        <v>596</v>
      </c>
      <c r="I14" s="181">
        <f>DashBoardFinanceiroAtualRef!E32</f>
        <v>11472</v>
      </c>
      <c r="J14" s="101"/>
      <c r="K14" s="123" t="s">
        <v>31</v>
      </c>
    </row>
    <row r="15" spans="2:11" ht="20.100000000000001" customHeight="1" x14ac:dyDescent="0.25">
      <c r="B15" s="148"/>
      <c r="C15" s="101"/>
      <c r="D15" s="121"/>
      <c r="E15" s="101"/>
      <c r="F15" s="124"/>
      <c r="G15" s="125"/>
      <c r="I15" s="126"/>
      <c r="J15" s="101"/>
      <c r="K15" s="180">
        <f>DashBoardFinanceiroAtualRef!H44</f>
        <v>29675</v>
      </c>
    </row>
    <row r="16" spans="2:11" ht="20.100000000000001" customHeight="1" x14ac:dyDescent="0.25">
      <c r="B16" s="127">
        <f>DashBoardFinanceiroAtualRef!E22</f>
        <v>271771</v>
      </c>
      <c r="C16" s="101"/>
      <c r="D16" s="121"/>
      <c r="E16" s="101"/>
      <c r="F16" s="128">
        <f ca="1">DashBoardFinanceiroAtualRef!E27</f>
        <v>392.24002472832353</v>
      </c>
      <c r="G16" s="129">
        <f ca="1">DashBoardFinanceiroAtualRef!J27</f>
        <v>317.28577579153523</v>
      </c>
      <c r="I16" s="126"/>
      <c r="J16" s="101"/>
      <c r="K16" s="130"/>
    </row>
    <row r="17" spans="2:11" ht="20.100000000000001" customHeight="1" x14ac:dyDescent="0.25">
      <c r="B17" s="127"/>
      <c r="C17" s="101"/>
      <c r="D17" s="121"/>
      <c r="E17" s="101"/>
      <c r="F17" s="131"/>
      <c r="G17" s="125"/>
      <c r="I17" s="126"/>
      <c r="J17" s="101"/>
      <c r="K17" s="130"/>
    </row>
    <row r="18" spans="2:11" ht="18.75" x14ac:dyDescent="0.25">
      <c r="B18" s="148"/>
      <c r="C18" s="101"/>
      <c r="D18" s="121"/>
      <c r="E18" s="101"/>
      <c r="F18" s="132" t="s">
        <v>580</v>
      </c>
      <c r="G18" s="133" t="s">
        <v>580</v>
      </c>
      <c r="I18" s="126"/>
      <c r="J18" s="101"/>
      <c r="K18" s="130"/>
    </row>
    <row r="19" spans="2:11" ht="26.25" x14ac:dyDescent="0.25">
      <c r="B19" s="134"/>
      <c r="C19" s="135"/>
      <c r="D19" s="136"/>
      <c r="E19" s="101"/>
      <c r="F19" s="137"/>
      <c r="G19" s="138"/>
      <c r="I19" s="139"/>
      <c r="J19" s="101"/>
      <c r="K19" s="140"/>
    </row>
    <row r="20" spans="2:11" x14ac:dyDescent="0.25">
      <c r="B20" s="144"/>
      <c r="C20" s="101"/>
      <c r="D20" s="101"/>
      <c r="E20" s="101"/>
      <c r="J20" s="101"/>
      <c r="K20" s="101"/>
    </row>
    <row r="21" spans="2:11" x14ac:dyDescent="0.25">
      <c r="B21" s="149"/>
      <c r="C21" s="71"/>
      <c r="D21" s="71"/>
      <c r="E21" s="71"/>
      <c r="F21" s="71"/>
      <c r="G21" s="71"/>
      <c r="H21" s="71"/>
      <c r="I21" s="71"/>
      <c r="J21" s="71"/>
      <c r="K21" s="71"/>
    </row>
  </sheetData>
  <sheetProtection sheet="1" objects="1" scenarios="1" selectLockedCells="1" autoFilter="0" pivotTables="0"/>
  <mergeCells count="4">
    <mergeCell ref="D7:D8"/>
    <mergeCell ref="D10:D11"/>
    <mergeCell ref="B13:D13"/>
    <mergeCell ref="F13:G13"/>
  </mergeCells>
  <conditionalFormatting sqref="I14">
    <cfRule type="cellIs" dxfId="2" priority="1" operator="lessThan">
      <formula>0</formula>
    </cfRule>
  </conditionalFormatting>
  <dataValidations count="2">
    <dataValidation type="list" allowBlank="1" showInputMessage="1" showErrorMessage="1" errorTitle="Conta Inexisente!" error="Selecione um item da conta." sqref="K4" xr:uid="{4D84014F-3423-45D4-9C76-AA854A991878}">
      <formula1 xml:space="preserve"> PCEntradasN2_Nivel_2</formula1>
    </dataValidation>
    <dataValidation type="list" allowBlank="1" showInputMessage="1" showErrorMessage="1" errorTitle="Conta Inexistente!" error="Selecione uma conta da lista." sqref="K14" xr:uid="{7620A0F2-B16F-4C79-8EF7-4DFFD30337B3}">
      <formula1 xml:space="preserve"> PCSaidasN2_Nivel_2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low="1" negative="1" displayXAxis="1" minAxisType="group" maxAxisType="group" xr2:uid="{BDB6379D-C2F4-4488-A78A-627F553A1CF5}">
          <x14:colorSeries rgb="FFFF0000"/>
          <x14:colorNegative theme="6"/>
          <x14:colorAxis rgb="FF000000"/>
          <x14:colorMarkers theme="5" tint="-0.249977111117893"/>
          <x14:colorFirst theme="5" tint="-0.249977111117893"/>
          <x14:colorLast theme="5" tint="-0.249977111117893"/>
          <x14:colorHigh theme="4" tint="-0.249977111117893"/>
          <x14:colorLow theme="5" tint="-0.249977111117893"/>
          <x14:sparklines>
            <x14:sparkline>
              <xm:f>DashBoardFinanceiroAtualRef!G5:G16</xm:f>
              <xm:sqref>D7</xm:sqref>
            </x14:sparkline>
          </x14:sparklines>
        </x14:sparklineGroup>
        <x14:sparklineGroup type="column" displayEmptyCellsAs="gap" high="1" low="1" negative="1" displayXAxis="1" minAxisType="group" maxAxisType="group" xr2:uid="{BE94DD0F-1EA9-421F-8FEF-E0110E2D5CDE}">
          <x14:colorSeries rgb="FF00B050"/>
          <x14:colorNegative rgb="FFFF0000"/>
          <x14:colorAxis rgb="FF000000"/>
          <x14:colorMarkers rgb="FFD00000"/>
          <x14:colorFirst rgb="FFD00000"/>
          <x14:colorLast rgb="FFD00000"/>
          <x14:colorHigh theme="4" tint="-0.249977111117893"/>
          <x14:colorLow theme="5" tint="-0.249977111117893"/>
          <x14:sparklines>
            <x14:sparkline>
              <xm:f>DashBoardFinanceiroAtualRef!H5:H16</xm:f>
              <xm:sqref>D10</xm:sqref>
            </x14:sparkline>
          </x14:sparklines>
        </x14:sparklineGroup>
      </x14:sparklineGroup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B22A9-BE71-4ADA-A562-C5A1ABB1C91C}">
  <dimension ref="A1:M46"/>
  <sheetViews>
    <sheetView showGridLines="0" showRowColHeaders="0" zoomScale="130" zoomScaleNormal="130" workbookViewId="0">
      <selection activeCell="F31" sqref="F31"/>
    </sheetView>
  </sheetViews>
  <sheetFormatPr defaultColWidth="0" defaultRowHeight="20.100000000000001" customHeight="1" x14ac:dyDescent="0.25"/>
  <cols>
    <col min="1" max="1" width="2.28515625" customWidth="1"/>
    <col min="2" max="2" width="30.7109375" customWidth="1"/>
    <col min="3" max="3" width="13.7109375" customWidth="1"/>
    <col min="4" max="5" width="13.28515625" customWidth="1"/>
    <col min="6" max="6" width="15.7109375" customWidth="1"/>
    <col min="7" max="7" width="15.85546875" customWidth="1"/>
    <col min="8" max="8" width="18" customWidth="1"/>
    <col min="9" max="9" width="11.7109375" customWidth="1"/>
    <col min="10" max="10" width="25.7109375" customWidth="1"/>
    <col min="11" max="11" width="14.7109375" customWidth="1"/>
    <col min="12" max="12" width="9.140625" customWidth="1"/>
    <col min="13" max="13" width="2.28515625" customWidth="1"/>
    <col min="14" max="16384" width="9.140625" hidden="1"/>
  </cols>
  <sheetData>
    <row r="1" spans="1:12" ht="15" x14ac:dyDescent="0.25">
      <c r="A1" s="72"/>
      <c r="B1" s="73" t="s">
        <v>546</v>
      </c>
      <c r="C1" s="73"/>
      <c r="D1" s="73"/>
      <c r="E1" s="73"/>
      <c r="F1" s="73"/>
      <c r="G1" s="73"/>
      <c r="H1" s="73"/>
      <c r="I1" s="73"/>
      <c r="J1" s="73"/>
      <c r="K1" s="73"/>
      <c r="L1" s="73"/>
    </row>
    <row r="2" spans="1:12" ht="15" x14ac:dyDescent="0.25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</row>
    <row r="3" spans="1:12" ht="15" x14ac:dyDescent="0.25">
      <c r="A3" s="72"/>
      <c r="B3" s="72"/>
      <c r="C3" s="72"/>
      <c r="D3" s="72"/>
      <c r="E3" s="72"/>
      <c r="F3" s="74" t="s">
        <v>548</v>
      </c>
      <c r="G3" s="72"/>
      <c r="H3" s="72"/>
      <c r="I3" s="72"/>
      <c r="J3" s="74" t="s">
        <v>549</v>
      </c>
      <c r="K3" s="75" t="s">
        <v>550</v>
      </c>
      <c r="L3" s="76">
        <f>C4</f>
        <v>2018</v>
      </c>
    </row>
    <row r="4" spans="1:12" ht="15" x14ac:dyDescent="0.25">
      <c r="A4" s="72"/>
      <c r="B4" s="75" t="s">
        <v>547</v>
      </c>
      <c r="C4" s="182">
        <f>DashboardFInanceiraAnual!K2</f>
        <v>2018</v>
      </c>
      <c r="D4" s="72"/>
      <c r="E4" s="72"/>
      <c r="F4" s="77" t="s">
        <v>551</v>
      </c>
      <c r="G4" s="78" t="s">
        <v>552</v>
      </c>
      <c r="H4" s="77" t="s">
        <v>553</v>
      </c>
      <c r="I4" s="72"/>
      <c r="J4" s="99" t="str">
        <f>DashboardFInanceiraAnual!K4</f>
        <v>Livros</v>
      </c>
      <c r="K4" s="77" t="s">
        <v>554</v>
      </c>
      <c r="L4" s="77" t="s">
        <v>551</v>
      </c>
    </row>
    <row r="5" spans="1:12" ht="15" x14ac:dyDescent="0.25">
      <c r="A5" s="72"/>
      <c r="B5" s="72"/>
      <c r="C5" s="72"/>
      <c r="D5" s="72"/>
      <c r="E5" s="72"/>
      <c r="F5" s="79">
        <v>1</v>
      </c>
      <c r="G5" s="80">
        <f>SUMIFS(RegistroSaidas[Valor],RegistroSaidas[Mês Previsto],F5,RegistroSaidas[Ano Previsto],$C$4,RegistroSaidas[Data do Caixa Realizado],"")</f>
        <v>1155</v>
      </c>
      <c r="H5" s="80">
        <f>SUMIFS(RegistroEntradas[Valor],RegistroEntradas[Mês Previsto],F5,RegistroEntradas[Ano Previsto],$C$4,RegistroEntradas[Data do Caixa Realizado],"")</f>
        <v>1284</v>
      </c>
      <c r="I5" s="72"/>
      <c r="J5" s="80">
        <f xml:space="preserve"> SUMIFS(RegistroEntradas[Valor], RegistroEntradas[Conta Nível 2], $J$4, RegistroEntradas[Ano Competência], $L$3, RegistroEntradas[Mês Competência], F5)</f>
        <v>0</v>
      </c>
      <c r="K5" s="80">
        <f>IF(J5=0,0,J5)</f>
        <v>0</v>
      </c>
      <c r="L5" s="81" t="s">
        <v>555</v>
      </c>
    </row>
    <row r="6" spans="1:12" ht="15" x14ac:dyDescent="0.25">
      <c r="A6" s="72"/>
      <c r="B6" s="72"/>
      <c r="C6" s="72"/>
      <c r="D6" s="72"/>
      <c r="E6" s="72"/>
      <c r="F6" s="72">
        <v>2</v>
      </c>
      <c r="G6" s="82">
        <f>SUMIFS(RegistroSaidas[Valor],RegistroSaidas[Mês Previsto],F6,RegistroSaidas[Ano Previsto],$C$4,RegistroSaidas[Data do Caixa Realizado],"")</f>
        <v>0</v>
      </c>
      <c r="H6" s="82">
        <f>SUMIFS(RegistroEntradas[Valor],RegistroEntradas[Mês Previsto],F6,RegistroEntradas[Ano Previsto],$C$4,RegistroEntradas[Data do Caixa Realizado],"")</f>
        <v>0</v>
      </c>
      <c r="I6" s="72"/>
      <c r="J6" s="82">
        <f xml:space="preserve"> SUMIFS(RegistroEntradas[Valor], RegistroEntradas[Conta Nível 2], $J$4, RegistroEntradas[Ano Competência], $L$3, RegistroEntradas[Mês Competência], F6)</f>
        <v>5718</v>
      </c>
      <c r="K6" s="82">
        <f t="shared" ref="K6:K16" si="0">IF(J6=0,0,J6)</f>
        <v>5718</v>
      </c>
      <c r="L6" s="75" t="s">
        <v>556</v>
      </c>
    </row>
    <row r="7" spans="1:12" ht="15" x14ac:dyDescent="0.25">
      <c r="A7" s="72"/>
      <c r="B7" s="74" t="s">
        <v>557</v>
      </c>
      <c r="C7" s="72"/>
      <c r="D7" s="72"/>
      <c r="E7" s="72"/>
      <c r="F7" s="72">
        <v>3</v>
      </c>
      <c r="G7" s="82">
        <f>SUMIFS(RegistroSaidas[Valor],RegistroSaidas[Mês Previsto],F7,RegistroSaidas[Ano Previsto],$C$4,RegistroSaidas[Data do Caixa Realizado],"")</f>
        <v>4438</v>
      </c>
      <c r="H7" s="82">
        <f>SUMIFS(RegistroEntradas[Valor],RegistroEntradas[Mês Previsto],F7,RegistroEntradas[Ano Previsto],$C$4,RegistroEntradas[Data do Caixa Realizado],"")</f>
        <v>0</v>
      </c>
      <c r="I7" s="72"/>
      <c r="J7" s="82">
        <f xml:space="preserve"> SUMIFS(RegistroEntradas[Valor], RegistroEntradas[Conta Nível 2], $J$4, RegistroEntradas[Ano Competência], $L$3, RegistroEntradas[Mês Competência], F7)</f>
        <v>4918</v>
      </c>
      <c r="K7" s="82">
        <f t="shared" si="0"/>
        <v>4918</v>
      </c>
      <c r="L7" s="75" t="s">
        <v>558</v>
      </c>
    </row>
    <row r="8" spans="1:12" ht="15" x14ac:dyDescent="0.25">
      <c r="A8" s="72"/>
      <c r="B8" s="79" t="s">
        <v>585</v>
      </c>
      <c r="C8" s="83">
        <f xml:space="preserve"> SUMIFS(RegistroEntradas[Valor], RegistroEntradas[Ano Caixa],"&lt;"&amp;C4, RegistroEntradas[Ano Caixa],"&lt;&gt;0") - SUMIFS(RegistroSaidas[Valor], RegistroSaidas[Ano Caixa], "&lt;"&amp;C4, RegistroSaidas[Ano Caixa],"&lt;&gt;0")</f>
        <v>16535</v>
      </c>
      <c r="D8" s="72"/>
      <c r="E8" s="72"/>
      <c r="F8" s="72">
        <v>4</v>
      </c>
      <c r="G8" s="82">
        <f>SUMIFS(RegistroSaidas[Valor],RegistroSaidas[Mês Previsto],F8,RegistroSaidas[Ano Previsto],$C$4,RegistroSaidas[Data do Caixa Realizado],"")</f>
        <v>0</v>
      </c>
      <c r="H8" s="82">
        <f>SUMIFS(RegistroEntradas[Valor],RegistroEntradas[Mês Previsto],F8,RegistroEntradas[Ano Previsto],$C$4,RegistroEntradas[Data do Caixa Realizado],"")</f>
        <v>2388</v>
      </c>
      <c r="I8" s="72"/>
      <c r="J8" s="82">
        <f xml:space="preserve"> SUMIFS(RegistroEntradas[Valor], RegistroEntradas[Conta Nível 2], $J$4, RegistroEntradas[Ano Competência], $L$3, RegistroEntradas[Mês Competência], F8)</f>
        <v>3446</v>
      </c>
      <c r="K8" s="82">
        <f t="shared" si="0"/>
        <v>3446</v>
      </c>
      <c r="L8" s="75" t="s">
        <v>560</v>
      </c>
    </row>
    <row r="9" spans="1:12" ht="15" x14ac:dyDescent="0.25">
      <c r="A9" s="72"/>
      <c r="B9" s="72" t="s">
        <v>559</v>
      </c>
      <c r="C9" s="84">
        <f>SUMIFS(RegistroEntradas[Valor],RegistroEntradas[Ano Caixa],C4)</f>
        <v>308319</v>
      </c>
      <c r="D9" s="72"/>
      <c r="E9" s="72"/>
      <c r="F9" s="72">
        <v>5</v>
      </c>
      <c r="G9" s="82">
        <f>SUMIFS(RegistroSaidas[Valor],RegistroSaidas[Mês Previsto],F9,RegistroSaidas[Ano Previsto],$C$4,RegistroSaidas[Data do Caixa Realizado],"")</f>
        <v>0</v>
      </c>
      <c r="H9" s="82">
        <f>SUMIFS(RegistroEntradas[Valor],RegistroEntradas[Mês Previsto],F9,RegistroEntradas[Ano Previsto],$C$4,RegistroEntradas[Data do Caixa Realizado],"")</f>
        <v>0</v>
      </c>
      <c r="I9" s="72"/>
      <c r="J9" s="82">
        <f xml:space="preserve"> SUMIFS(RegistroEntradas[Valor], RegistroEntradas[Conta Nível 2], $J$4, RegistroEntradas[Ano Competência], $L$3, RegistroEntradas[Mês Competência], F9)</f>
        <v>611</v>
      </c>
      <c r="K9" s="82">
        <f t="shared" si="0"/>
        <v>611</v>
      </c>
      <c r="L9" s="75" t="s">
        <v>562</v>
      </c>
    </row>
    <row r="10" spans="1:12" ht="15" x14ac:dyDescent="0.25">
      <c r="A10" s="72"/>
      <c r="B10" s="72" t="s">
        <v>561</v>
      </c>
      <c r="C10" s="84">
        <f>SUMIFS(RegistroSaidas[Valor],RegistroSaidas[Ano Caixa],C4)</f>
        <v>310108</v>
      </c>
      <c r="D10" s="72"/>
      <c r="E10" s="72"/>
      <c r="F10" s="72">
        <v>6</v>
      </c>
      <c r="G10" s="82">
        <f>SUMIFS(RegistroSaidas[Valor],RegistroSaidas[Mês Previsto],F10,RegistroSaidas[Ano Previsto],$C$4,RegistroSaidas[Data do Caixa Realizado],"")</f>
        <v>701</v>
      </c>
      <c r="H10" s="82">
        <f>SUMIFS(RegistroEntradas[Valor],RegistroEntradas[Mês Previsto],F10,RegistroEntradas[Ano Previsto],$C$4,RegistroEntradas[Data do Caixa Realizado],"")</f>
        <v>6102</v>
      </c>
      <c r="I10" s="72"/>
      <c r="J10" s="82">
        <f xml:space="preserve"> SUMIFS(RegistroEntradas[Valor], RegistroEntradas[Conta Nível 2], $J$4, RegistroEntradas[Ano Competência], $L$3, RegistroEntradas[Mês Competência], F10)</f>
        <v>3224</v>
      </c>
      <c r="K10" s="82">
        <f t="shared" si="0"/>
        <v>3224</v>
      </c>
      <c r="L10" s="75" t="s">
        <v>564</v>
      </c>
    </row>
    <row r="11" spans="1:12" ht="15" x14ac:dyDescent="0.25">
      <c r="A11" s="72"/>
      <c r="B11" s="85" t="s">
        <v>563</v>
      </c>
      <c r="C11" s="86">
        <f>C8+C9-C10</f>
        <v>14746</v>
      </c>
      <c r="D11" s="72"/>
      <c r="E11" s="72"/>
      <c r="F11" s="72">
        <v>7</v>
      </c>
      <c r="G11" s="82">
        <f>SUMIFS(RegistroSaidas[Valor],RegistroSaidas[Mês Previsto],F11,RegistroSaidas[Ano Previsto],$C$4,RegistroSaidas[Data do Caixa Realizado],"")</f>
        <v>0</v>
      </c>
      <c r="H11" s="82">
        <f>SUMIFS(RegistroEntradas[Valor],RegistroEntradas[Mês Previsto],F11,RegistroEntradas[Ano Previsto],$C$4,RegistroEntradas[Data do Caixa Realizado],"")</f>
        <v>0</v>
      </c>
      <c r="I11" s="72"/>
      <c r="J11" s="82">
        <f xml:space="preserve"> SUMIFS(RegistroEntradas[Valor], RegistroEntradas[Conta Nível 2], $J$4, RegistroEntradas[Ano Competência], $L$3, RegistroEntradas[Mês Competência], F11)</f>
        <v>1306</v>
      </c>
      <c r="K11" s="82">
        <f t="shared" si="0"/>
        <v>1306</v>
      </c>
      <c r="L11" s="75" t="s">
        <v>565</v>
      </c>
    </row>
    <row r="12" spans="1:12" ht="15" x14ac:dyDescent="0.25">
      <c r="A12" s="72"/>
      <c r="B12" s="72"/>
      <c r="C12" s="72"/>
      <c r="D12" s="72"/>
      <c r="E12" s="72"/>
      <c r="F12" s="72">
        <v>8</v>
      </c>
      <c r="G12" s="82">
        <f>SUMIFS(RegistroSaidas[Valor],RegistroSaidas[Mês Previsto],F12,RegistroSaidas[Ano Previsto],$C$4,RegistroSaidas[Data do Caixa Realizado],"")</f>
        <v>4217</v>
      </c>
      <c r="H12" s="82">
        <f>SUMIFS(RegistroEntradas[Valor],RegistroEntradas[Mês Previsto],F12,RegistroEntradas[Ano Previsto],$C$4,RegistroEntradas[Data do Caixa Realizado],"")</f>
        <v>770</v>
      </c>
      <c r="I12" s="72"/>
      <c r="J12" s="82">
        <f xml:space="preserve"> SUMIFS(RegistroEntradas[Valor], RegistroEntradas[Conta Nível 2], $J$4, RegistroEntradas[Ano Competência], $L$3, RegistroEntradas[Mês Competência], F12)</f>
        <v>0</v>
      </c>
      <c r="K12" s="82">
        <f t="shared" si="0"/>
        <v>0</v>
      </c>
      <c r="L12" s="75" t="s">
        <v>567</v>
      </c>
    </row>
    <row r="13" spans="1:12" ht="15" x14ac:dyDescent="0.25">
      <c r="A13" s="72"/>
      <c r="B13" s="87" t="s">
        <v>566</v>
      </c>
      <c r="C13" s="87"/>
      <c r="D13" s="83">
        <f>SUMIFS(RegistroSaidas[Valor],RegistroSaidas[Data do Caixa Realizado],"",RegistroSaidas[Ano Previsto],C4)</f>
        <v>10511</v>
      </c>
      <c r="E13" s="72"/>
      <c r="F13" s="72">
        <v>9</v>
      </c>
      <c r="G13" s="82">
        <f>SUMIFS(RegistroSaidas[Valor],RegistroSaidas[Mês Previsto],F13,RegistroSaidas[Ano Previsto],$C$4,RegistroSaidas[Data do Caixa Realizado],"")</f>
        <v>0</v>
      </c>
      <c r="H13" s="82">
        <f>SUMIFS(RegistroEntradas[Valor],RegistroEntradas[Mês Previsto],F13,RegistroEntradas[Ano Previsto],$C$4,RegistroEntradas[Data do Caixa Realizado],"")</f>
        <v>4253</v>
      </c>
      <c r="I13" s="72"/>
      <c r="J13" s="82">
        <f xml:space="preserve"> SUMIFS(RegistroEntradas[Valor], RegistroEntradas[Conta Nível 2], $J$4, RegistroEntradas[Ano Competência], $L$3, RegistroEntradas[Mês Competência], F13)</f>
        <v>6637</v>
      </c>
      <c r="K13" s="82">
        <f t="shared" si="0"/>
        <v>6637</v>
      </c>
      <c r="L13" s="75" t="s">
        <v>569</v>
      </c>
    </row>
    <row r="14" spans="1:12" ht="15" x14ac:dyDescent="0.25">
      <c r="A14" s="72"/>
      <c r="B14" s="88" t="s">
        <v>568</v>
      </c>
      <c r="C14" s="88"/>
      <c r="D14" s="89">
        <f>SUMIFS(RegistroEntradas[Valor],RegistroEntradas[Data do Caixa Realizado],"",RegistroEntradas[Ano Previsto],C4)</f>
        <v>26691</v>
      </c>
      <c r="E14" s="72"/>
      <c r="F14" s="72">
        <v>10</v>
      </c>
      <c r="G14" s="82">
        <f>SUMIFS(RegistroSaidas[Valor],RegistroSaidas[Mês Previsto],F14,RegistroSaidas[Ano Previsto],$C$4,RegistroSaidas[Data do Caixa Realizado],"")</f>
        <v>0</v>
      </c>
      <c r="H14" s="82">
        <f>SUMIFS(RegistroEntradas[Valor],RegistroEntradas[Mês Previsto],F14,RegistroEntradas[Ano Previsto],$C$4,RegistroEntradas[Data do Caixa Realizado],"")</f>
        <v>4922</v>
      </c>
      <c r="I14" s="72"/>
      <c r="J14" s="82">
        <f xml:space="preserve"> SUMIFS(RegistroEntradas[Valor], RegistroEntradas[Conta Nível 2], $J$4, RegistroEntradas[Ano Competência], $L$3, RegistroEntradas[Mês Competência], F14)</f>
        <v>0</v>
      </c>
      <c r="K14" s="82">
        <f t="shared" si="0"/>
        <v>0</v>
      </c>
      <c r="L14" s="75" t="s">
        <v>570</v>
      </c>
    </row>
    <row r="15" spans="1:12" ht="15" x14ac:dyDescent="0.25">
      <c r="A15" s="72"/>
      <c r="B15" s="72"/>
      <c r="C15" s="72"/>
      <c r="D15" s="72"/>
      <c r="E15" s="72"/>
      <c r="F15" s="72">
        <v>11</v>
      </c>
      <c r="G15" s="82">
        <f>SUMIFS(RegistroSaidas[Valor],RegistroSaidas[Mês Previsto],F15,RegistroSaidas[Ano Previsto],$C$4,RegistroSaidas[Data do Caixa Realizado],"")</f>
        <v>0</v>
      </c>
      <c r="H15" s="82">
        <f>SUMIFS(RegistroEntradas[Valor],RegistroEntradas[Mês Previsto],F15,RegistroEntradas[Ano Previsto],$C$4,RegistroEntradas[Data do Caixa Realizado],"")</f>
        <v>0</v>
      </c>
      <c r="I15" s="72"/>
      <c r="J15" s="82">
        <f xml:space="preserve"> SUMIFS(RegistroEntradas[Valor], RegistroEntradas[Conta Nível 2], $J$4, RegistroEntradas[Ano Competência], $L$3, RegistroEntradas[Mês Competência], F15)</f>
        <v>1820</v>
      </c>
      <c r="K15" s="82">
        <f t="shared" si="0"/>
        <v>1820</v>
      </c>
      <c r="L15" s="75" t="s">
        <v>571</v>
      </c>
    </row>
    <row r="16" spans="1:12" ht="15" x14ac:dyDescent="0.25">
      <c r="A16" s="72"/>
      <c r="B16" s="72"/>
      <c r="C16" s="72"/>
      <c r="D16" s="72"/>
      <c r="E16" s="72"/>
      <c r="F16" s="85">
        <v>12</v>
      </c>
      <c r="G16" s="82">
        <f>SUMIFS(RegistroSaidas[Valor],RegistroSaidas[Mês Previsto],F16,RegistroSaidas[Ano Previsto],$C$4,RegistroSaidas[Data do Caixa Realizado],"")</f>
        <v>0</v>
      </c>
      <c r="H16" s="82">
        <f>SUMIFS(RegistroEntradas[Valor],RegistroEntradas[Mês Previsto],F16,RegistroEntradas[Ano Previsto],$C$4,RegistroEntradas[Data do Caixa Realizado],"")</f>
        <v>6972</v>
      </c>
      <c r="I16" s="72"/>
      <c r="J16" s="82">
        <f xml:space="preserve"> SUMIFS(RegistroEntradas[Valor], RegistroEntradas[Conta Nível 2], $J$4, RegistroEntradas[Ano Competência], $L$3, RegistroEntradas[Mês Competência], F16)</f>
        <v>0</v>
      </c>
      <c r="K16" s="82">
        <f t="shared" si="0"/>
        <v>0</v>
      </c>
      <c r="L16" s="90" t="s">
        <v>572</v>
      </c>
    </row>
    <row r="17" spans="1:12" ht="15" x14ac:dyDescent="0.25">
      <c r="A17" s="72"/>
      <c r="B17" s="72"/>
      <c r="C17" s="72"/>
      <c r="D17" s="72"/>
      <c r="E17" s="72"/>
      <c r="F17" s="173" t="s">
        <v>576</v>
      </c>
      <c r="G17" s="174">
        <f>SUM(G5:G16)</f>
        <v>10511</v>
      </c>
      <c r="H17" s="174">
        <f>SUM(H5:H16)</f>
        <v>26691</v>
      </c>
      <c r="I17" s="72"/>
      <c r="J17" s="72"/>
      <c r="K17" s="72"/>
      <c r="L17" s="72"/>
    </row>
    <row r="18" spans="1:12" ht="15" x14ac:dyDescent="0.25">
      <c r="A18" s="72"/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</row>
    <row r="19" spans="1:12" ht="15" x14ac:dyDescent="0.25">
      <c r="A19" s="72"/>
      <c r="B19" s="72"/>
      <c r="C19" s="72"/>
      <c r="D19" s="72"/>
      <c r="E19" s="72"/>
      <c r="F19" s="72"/>
      <c r="G19" s="72"/>
      <c r="H19" s="72"/>
      <c r="I19" s="72"/>
      <c r="J19" s="72"/>
      <c r="K19" s="72"/>
      <c r="L19" s="72"/>
    </row>
    <row r="20" spans="1:12" ht="15" x14ac:dyDescent="0.25">
      <c r="A20" s="72"/>
      <c r="B20" s="74" t="s">
        <v>573</v>
      </c>
      <c r="C20" s="72"/>
      <c r="D20" s="72"/>
      <c r="E20" s="91"/>
      <c r="F20" s="72"/>
      <c r="G20" s="72"/>
      <c r="H20" s="72"/>
      <c r="I20" s="72"/>
      <c r="J20" s="72"/>
      <c r="K20" s="72"/>
      <c r="L20" s="72"/>
    </row>
    <row r="21" spans="1:12" ht="15" x14ac:dyDescent="0.25">
      <c r="A21" s="72"/>
      <c r="B21" s="77" t="s">
        <v>574</v>
      </c>
      <c r="C21" s="78" t="s">
        <v>575</v>
      </c>
      <c r="D21" s="78" t="s">
        <v>599</v>
      </c>
      <c r="E21" s="78" t="s">
        <v>576</v>
      </c>
      <c r="F21" s="72"/>
      <c r="G21" s="72"/>
      <c r="H21" s="72"/>
      <c r="I21" s="72"/>
      <c r="J21" s="72"/>
      <c r="K21" s="72"/>
      <c r="L21" s="72"/>
    </row>
    <row r="22" spans="1:12" ht="15" x14ac:dyDescent="0.25">
      <c r="A22" s="72"/>
      <c r="B22" s="92">
        <f>C4</f>
        <v>2018</v>
      </c>
      <c r="C22" s="93">
        <f>SUMIFS(RegistroEntradas[Valor],RegistroEntradas[Venda à Vista],"À Vista",RegistroEntradas[Ano Competência],$B$22)</f>
        <v>6516</v>
      </c>
      <c r="D22" s="93">
        <f>SUMIFS(RegistroEntradas[Valor],RegistroEntradas[Venda à Vista],"À Prazo",RegistroEntradas[Ano Competência],$B$22)</f>
        <v>314058</v>
      </c>
      <c r="E22" s="93">
        <f>SUM(C22:D22)</f>
        <v>320574</v>
      </c>
      <c r="F22" s="72"/>
      <c r="G22" s="72"/>
      <c r="H22" s="72"/>
      <c r="I22" s="72"/>
      <c r="J22" s="72"/>
      <c r="K22" s="72"/>
      <c r="L22" s="72"/>
    </row>
    <row r="23" spans="1:12" ht="15" x14ac:dyDescent="0.25">
      <c r="A23" s="72"/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</row>
    <row r="24" spans="1:12" ht="15" x14ac:dyDescent="0.25">
      <c r="A24" s="72"/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</row>
    <row r="25" spans="1:12" ht="15" x14ac:dyDescent="0.25">
      <c r="A25" s="72"/>
      <c r="B25" s="74" t="s">
        <v>577</v>
      </c>
      <c r="C25" s="72"/>
      <c r="D25" s="72"/>
      <c r="E25" s="72"/>
      <c r="F25" s="72"/>
      <c r="G25" s="74" t="s">
        <v>578</v>
      </c>
      <c r="H25" s="72"/>
      <c r="I25" s="72"/>
      <c r="J25" s="72"/>
      <c r="K25" s="72"/>
      <c r="L25" s="72"/>
    </row>
    <row r="26" spans="1:12" ht="15" x14ac:dyDescent="0.25">
      <c r="A26" s="72"/>
      <c r="B26" s="77" t="s">
        <v>574</v>
      </c>
      <c r="C26" s="78" t="s">
        <v>579</v>
      </c>
      <c r="D26" s="78" t="s">
        <v>580</v>
      </c>
      <c r="E26" s="78" t="s">
        <v>581</v>
      </c>
      <c r="F26" s="72"/>
      <c r="G26" s="77" t="s">
        <v>574</v>
      </c>
      <c r="H26" s="78" t="s">
        <v>579</v>
      </c>
      <c r="I26" s="78" t="s">
        <v>580</v>
      </c>
      <c r="J26" s="78" t="s">
        <v>581</v>
      </c>
      <c r="K26" s="72"/>
      <c r="L26" s="72"/>
    </row>
    <row r="27" spans="1:12" ht="15" x14ac:dyDescent="0.25">
      <c r="A27" s="72"/>
      <c r="B27" s="92">
        <f>C4</f>
        <v>2018</v>
      </c>
      <c r="C27" s="94">
        <f ca="1" xml:space="preserve"> COUNTIFS(RegistroEntradas[Ano Competência],B27,RegistroEntradas[Dias de Atraso],"&gt;0")</f>
        <v>42</v>
      </c>
      <c r="D27" s="94">
        <f ca="1" xml:space="preserve"> SUMIFS(RegistroEntradas[Dias de Atraso], RegistroEntradas[Ano Competência],B27,RegistroEntradas[Dias de Atraso],"&gt;0")</f>
        <v>19872.764717979037</v>
      </c>
      <c r="E27" s="94">
        <f ca="1">D27/C27</f>
        <v>473.16106471378657</v>
      </c>
      <c r="F27" s="72"/>
      <c r="G27" s="92">
        <f>C4</f>
        <v>2018</v>
      </c>
      <c r="H27" s="94">
        <f ca="1" xml:space="preserve"> COUNTIFS(RegistroSaidas[Ano Competência],B27,RegistroSaidas[Dias de Atraso],"&gt;0")</f>
        <v>28</v>
      </c>
      <c r="I27" s="94">
        <f ca="1" xml:space="preserve"> SUMIFS(RegistroSaidas[Dias de Atraso], RegistroSaidas[Ano Competência],B27,RegistroSaidas[Dias de Atraso],"&gt;0")</f>
        <v>10297.449022545981</v>
      </c>
      <c r="J27" s="94">
        <f ca="1">I27/H27</f>
        <v>367.76603651949932</v>
      </c>
      <c r="K27" s="72"/>
      <c r="L27" s="72"/>
    </row>
    <row r="28" spans="1:12" ht="15" x14ac:dyDescent="0.25">
      <c r="A28" s="72"/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/>
    </row>
    <row r="29" spans="1:12" ht="15" x14ac:dyDescent="0.25">
      <c r="A29" s="72"/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</row>
    <row r="30" spans="1:12" ht="15" x14ac:dyDescent="0.25">
      <c r="A30" s="72"/>
      <c r="B30" s="74" t="s">
        <v>582</v>
      </c>
      <c r="C30" s="72"/>
      <c r="D30" s="72"/>
      <c r="E30" s="72"/>
      <c r="F30" s="72"/>
      <c r="G30" s="74" t="s">
        <v>583</v>
      </c>
      <c r="H30" s="95">
        <f>C4</f>
        <v>2018</v>
      </c>
      <c r="I30" s="72"/>
      <c r="J30" s="72"/>
      <c r="K30" s="72"/>
      <c r="L30" s="72"/>
    </row>
    <row r="31" spans="1:12" ht="15" x14ac:dyDescent="0.25">
      <c r="A31" s="72"/>
      <c r="B31" s="96" t="s">
        <v>574</v>
      </c>
      <c r="C31" s="81" t="s">
        <v>559</v>
      </c>
      <c r="D31" s="81" t="s">
        <v>561</v>
      </c>
      <c r="E31" s="81" t="s">
        <v>584</v>
      </c>
      <c r="F31" s="72"/>
      <c r="G31" s="77" t="s">
        <v>551</v>
      </c>
      <c r="H31" s="100" t="str">
        <f>DashboardFInanceiraAnual!K14</f>
        <v>Livros</v>
      </c>
      <c r="I31" s="72"/>
      <c r="J31" s="72"/>
      <c r="K31" s="72"/>
      <c r="L31" s="72"/>
    </row>
    <row r="32" spans="1:12" ht="15" x14ac:dyDescent="0.25">
      <c r="A32" s="72"/>
      <c r="B32" s="179">
        <f>C4</f>
        <v>2018</v>
      </c>
      <c r="C32" s="97">
        <f xml:space="preserve"> SUMIFS(RegistroEntradas[Valor],RegistroEntradas[Ano Competência],B32)</f>
        <v>320574</v>
      </c>
      <c r="D32" s="97">
        <f xml:space="preserve"> SUMIFS(RegistroSaidas[Valor],RegistroSaidas[Ano Competência],B32)</f>
        <v>302150</v>
      </c>
      <c r="E32" s="98">
        <f>C32-D32</f>
        <v>18424</v>
      </c>
      <c r="F32" s="72"/>
      <c r="G32" s="72">
        <v>1</v>
      </c>
      <c r="H32" s="82">
        <f xml:space="preserve"> SUMIFS(RegistroSaidas[Valor],RegistroSaidas[Conta Nível 2],$H$31,RegistroSaidas[Ano Competência],$H$30,RegistroSaidas[Mês Competência],G32)</f>
        <v>2247</v>
      </c>
      <c r="I32" s="72"/>
      <c r="J32" s="72"/>
      <c r="K32" s="72"/>
      <c r="L32" s="72"/>
    </row>
    <row r="33" spans="1:12" ht="15" x14ac:dyDescent="0.25">
      <c r="A33" s="72"/>
      <c r="B33" s="72"/>
      <c r="C33" s="72"/>
      <c r="D33" s="72"/>
      <c r="E33" s="72"/>
      <c r="F33" s="72"/>
      <c r="G33" s="72">
        <v>2</v>
      </c>
      <c r="H33" s="82">
        <f xml:space="preserve"> SUMIFS(RegistroSaidas[Valor],RegistroSaidas[Conta Nível 2],$H$31,RegistroSaidas[Ano Competência],$H$30,RegistroSaidas[Mês Competência],G33)</f>
        <v>3503</v>
      </c>
      <c r="I33" s="72"/>
      <c r="J33" s="72"/>
      <c r="K33" s="72"/>
      <c r="L33" s="72"/>
    </row>
    <row r="34" spans="1:12" ht="15" x14ac:dyDescent="0.25">
      <c r="A34" s="72"/>
      <c r="B34" s="72"/>
      <c r="C34" s="72"/>
      <c r="D34" s="72"/>
      <c r="E34" s="72"/>
      <c r="F34" s="72"/>
      <c r="G34" s="72">
        <v>3</v>
      </c>
      <c r="H34" s="82">
        <f xml:space="preserve"> SUMIFS(RegistroSaidas[Valor],RegistroSaidas[Conta Nível 2],$H$31,RegistroSaidas[Ano Competência],$H$30,RegistroSaidas[Mês Competência],G34)</f>
        <v>3893</v>
      </c>
      <c r="I34" s="72"/>
      <c r="J34" s="72"/>
      <c r="K34" s="72"/>
      <c r="L34" s="72"/>
    </row>
    <row r="35" spans="1:12" ht="15" x14ac:dyDescent="0.25">
      <c r="A35" s="72"/>
      <c r="B35" s="72"/>
      <c r="C35" s="72"/>
      <c r="D35" s="72"/>
      <c r="E35" s="72"/>
      <c r="F35" s="72"/>
      <c r="G35" s="72">
        <v>4</v>
      </c>
      <c r="H35" s="82">
        <f xml:space="preserve"> SUMIFS(RegistroSaidas[Valor],RegistroSaidas[Conta Nível 2],$H$31,RegistroSaidas[Ano Competência],$H$30,RegistroSaidas[Mês Competência],G35)</f>
        <v>4867</v>
      </c>
      <c r="I35" s="72"/>
      <c r="J35" s="72"/>
      <c r="K35" s="72"/>
      <c r="L35" s="72"/>
    </row>
    <row r="36" spans="1:12" ht="15" x14ac:dyDescent="0.25">
      <c r="A36" s="72"/>
      <c r="B36" s="72"/>
      <c r="C36" s="72"/>
      <c r="D36" s="72"/>
      <c r="E36" s="72"/>
      <c r="F36" s="72"/>
      <c r="G36" s="72">
        <v>5</v>
      </c>
      <c r="H36" s="82">
        <f xml:space="preserve"> SUMIFS(RegistroSaidas[Valor],RegistroSaidas[Conta Nível 2],$H$31,RegistroSaidas[Ano Competência],$H$30,RegistroSaidas[Mês Competência],G36)</f>
        <v>0</v>
      </c>
      <c r="I36" s="72"/>
      <c r="J36" s="72"/>
      <c r="K36" s="72"/>
      <c r="L36" s="72"/>
    </row>
    <row r="37" spans="1:12" ht="15" x14ac:dyDescent="0.25">
      <c r="A37" s="72"/>
      <c r="B37" s="72"/>
      <c r="C37" s="72"/>
      <c r="D37" s="72"/>
      <c r="E37" s="72"/>
      <c r="F37" s="72"/>
      <c r="G37" s="72">
        <v>6</v>
      </c>
      <c r="H37" s="82">
        <f xml:space="preserve"> SUMIFS(RegistroSaidas[Valor],RegistroSaidas[Conta Nível 2],$H$31,RegistroSaidas[Ano Competência],$H$30,RegistroSaidas[Mês Competência],G37)</f>
        <v>0</v>
      </c>
      <c r="I37" s="72"/>
      <c r="J37" s="72"/>
      <c r="K37" s="72"/>
      <c r="L37" s="72"/>
    </row>
    <row r="38" spans="1:12" ht="15" x14ac:dyDescent="0.25">
      <c r="A38" s="72"/>
      <c r="B38" s="72"/>
      <c r="C38" s="72"/>
      <c r="D38" s="72"/>
      <c r="E38" s="72"/>
      <c r="F38" s="72"/>
      <c r="G38" s="72">
        <v>7</v>
      </c>
      <c r="H38" s="82">
        <f xml:space="preserve"> SUMIFS(RegistroSaidas[Valor],RegistroSaidas[Conta Nível 2],$H$31,RegistroSaidas[Ano Competência],$H$30,RegistroSaidas[Mês Competência],G38)</f>
        <v>1108</v>
      </c>
      <c r="I38" s="72"/>
      <c r="J38" s="72"/>
      <c r="K38" s="72"/>
      <c r="L38" s="72"/>
    </row>
    <row r="39" spans="1:12" ht="15" x14ac:dyDescent="0.25">
      <c r="A39" s="72"/>
      <c r="B39" s="72"/>
      <c r="C39" s="72"/>
      <c r="D39" s="72"/>
      <c r="E39" s="72"/>
      <c r="F39" s="72"/>
      <c r="G39" s="72">
        <v>8</v>
      </c>
      <c r="H39" s="82">
        <f xml:space="preserve"> SUMIFS(RegistroSaidas[Valor],RegistroSaidas[Conta Nível 2],$H$31,RegistroSaidas[Ano Competência],$H$30,RegistroSaidas[Mês Competência],G39)</f>
        <v>4462</v>
      </c>
      <c r="I39" s="72"/>
      <c r="J39" s="72"/>
      <c r="K39" s="72"/>
      <c r="L39" s="72"/>
    </row>
    <row r="40" spans="1:12" ht="15" x14ac:dyDescent="0.25">
      <c r="A40" s="72"/>
      <c r="B40" s="72"/>
      <c r="C40" s="72"/>
      <c r="D40" s="72"/>
      <c r="E40" s="72"/>
      <c r="F40" s="72"/>
      <c r="G40" s="72">
        <v>9</v>
      </c>
      <c r="H40" s="82">
        <f xml:space="preserve"> SUMIFS(RegistroSaidas[Valor],RegistroSaidas[Conta Nível 2],$H$31,RegistroSaidas[Ano Competência],$H$30,RegistroSaidas[Mês Competência],G40)</f>
        <v>159</v>
      </c>
      <c r="I40" s="72"/>
      <c r="J40" s="72"/>
      <c r="K40" s="72"/>
      <c r="L40" s="72"/>
    </row>
    <row r="41" spans="1:12" ht="15" x14ac:dyDescent="0.25">
      <c r="A41" s="72"/>
      <c r="B41" s="72"/>
      <c r="C41" s="72"/>
      <c r="D41" s="72"/>
      <c r="E41" s="72"/>
      <c r="F41" s="72"/>
      <c r="G41" s="72">
        <v>10</v>
      </c>
      <c r="H41" s="82">
        <f xml:space="preserve"> SUMIFS(RegistroSaidas[Valor],RegistroSaidas[Conta Nível 2],$H$31,RegistroSaidas[Ano Competência],$H$30,RegistroSaidas[Mês Competência],G41)</f>
        <v>9436</v>
      </c>
      <c r="I41" s="72"/>
      <c r="J41" s="72"/>
      <c r="K41" s="72"/>
      <c r="L41" s="72"/>
    </row>
    <row r="42" spans="1:12" ht="15" x14ac:dyDescent="0.25">
      <c r="A42" s="72"/>
      <c r="B42" s="72"/>
      <c r="C42" s="72"/>
      <c r="D42" s="72"/>
      <c r="E42" s="72"/>
      <c r="F42" s="72"/>
      <c r="G42" s="72">
        <v>11</v>
      </c>
      <c r="H42" s="82">
        <f xml:space="preserve"> SUMIFS(RegistroSaidas[Valor],RegistroSaidas[Conta Nível 2],$H$31,RegistroSaidas[Ano Competência],$H$30,RegistroSaidas[Mês Competência],G42)</f>
        <v>0</v>
      </c>
      <c r="I42" s="72"/>
      <c r="J42" s="72"/>
      <c r="K42" s="72"/>
      <c r="L42" s="72"/>
    </row>
    <row r="43" spans="1:12" ht="15" x14ac:dyDescent="0.25">
      <c r="A43" s="72"/>
      <c r="B43" s="72"/>
      <c r="C43" s="72"/>
      <c r="D43" s="72"/>
      <c r="E43" s="72"/>
      <c r="F43" s="72"/>
      <c r="G43" s="85">
        <v>12</v>
      </c>
      <c r="H43" s="82">
        <f xml:space="preserve"> SUMIFS(RegistroSaidas[Valor],RegistroSaidas[Conta Nível 2],$H$31,RegistroSaidas[Ano Competência],$H$30,RegistroSaidas[Mês Competência],G43)</f>
        <v>0</v>
      </c>
      <c r="I43" s="72"/>
      <c r="J43" s="72"/>
      <c r="K43" s="72"/>
      <c r="L43" s="72"/>
    </row>
    <row r="44" spans="1:12" ht="15" x14ac:dyDescent="0.25">
      <c r="A44" s="72"/>
      <c r="B44" s="72"/>
      <c r="C44" s="72"/>
      <c r="D44" s="72"/>
      <c r="E44" s="72"/>
      <c r="F44" s="72"/>
      <c r="G44" s="77" t="s">
        <v>576</v>
      </c>
      <c r="H44" s="82">
        <f>SUM(H32:H43)</f>
        <v>29675</v>
      </c>
      <c r="I44" s="72"/>
      <c r="J44" s="72"/>
      <c r="K44" s="72"/>
      <c r="L44" s="72"/>
    </row>
    <row r="45" spans="1:12" ht="15" x14ac:dyDescent="0.25">
      <c r="A45" s="72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</row>
    <row r="46" spans="1:12" ht="20.100000000000001" customHeight="1" x14ac:dyDescent="0.25">
      <c r="G46" s="72"/>
      <c r="H46" s="72"/>
      <c r="I46" s="72"/>
      <c r="J46" s="72"/>
    </row>
  </sheetData>
  <sheetProtection sheet="1" objects="1" scenarios="1" selectLockedCells="1"/>
  <conditionalFormatting sqref="C11">
    <cfRule type="cellIs" dxfId="1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084CE-8251-418A-AD91-B2109FA336B4}">
  <dimension ref="A1:M49"/>
  <sheetViews>
    <sheetView showGridLines="0" showRowColHeaders="0" zoomScale="130" zoomScaleNormal="130" workbookViewId="0">
      <selection activeCell="G20" sqref="G20"/>
    </sheetView>
  </sheetViews>
  <sheetFormatPr defaultColWidth="0" defaultRowHeight="20.100000000000001" customHeight="1" x14ac:dyDescent="0.25"/>
  <cols>
    <col min="1" max="1" width="2.28515625" customWidth="1"/>
    <col min="2" max="2" width="30.7109375" customWidth="1"/>
    <col min="3" max="3" width="13.7109375" customWidth="1"/>
    <col min="4" max="5" width="13.28515625" customWidth="1"/>
    <col min="6" max="6" width="15.7109375" customWidth="1"/>
    <col min="7" max="7" width="15.85546875" customWidth="1"/>
    <col min="8" max="8" width="18" customWidth="1"/>
    <col min="9" max="9" width="11.7109375" customWidth="1"/>
    <col min="10" max="10" width="25.7109375" customWidth="1"/>
    <col min="11" max="11" width="14.7109375" customWidth="1"/>
    <col min="12" max="12" width="11.5703125" bestFit="1" customWidth="1"/>
    <col min="13" max="13" width="2.28515625" customWidth="1"/>
    <col min="14" max="16384" width="9.140625" hidden="1"/>
  </cols>
  <sheetData>
    <row r="1" spans="1:12" ht="15" x14ac:dyDescent="0.25">
      <c r="A1" s="72"/>
      <c r="B1" s="73" t="s">
        <v>546</v>
      </c>
      <c r="C1" s="73"/>
      <c r="D1" s="73"/>
      <c r="E1" s="73"/>
      <c r="F1" s="73"/>
      <c r="G1" s="73"/>
      <c r="H1" s="73"/>
      <c r="I1" s="73"/>
      <c r="J1" s="73"/>
      <c r="K1" s="73"/>
      <c r="L1" s="73"/>
    </row>
    <row r="2" spans="1:12" ht="15" x14ac:dyDescent="0.25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</row>
    <row r="3" spans="1:12" ht="15" x14ac:dyDescent="0.25">
      <c r="A3" s="72"/>
      <c r="B3" s="72"/>
      <c r="C3" s="72"/>
      <c r="D3" s="72"/>
      <c r="E3" s="72"/>
      <c r="F3" s="74" t="s">
        <v>548</v>
      </c>
      <c r="G3" s="72"/>
      <c r="H3" s="72"/>
      <c r="I3" s="72"/>
      <c r="J3" s="74" t="s">
        <v>549</v>
      </c>
      <c r="K3" s="75" t="s">
        <v>550</v>
      </c>
      <c r="L3" s="190">
        <f>C4</f>
        <v>43404</v>
      </c>
    </row>
    <row r="4" spans="1:12" ht="15" x14ac:dyDescent="0.25">
      <c r="A4" s="72"/>
      <c r="B4" s="75" t="s">
        <v>603</v>
      </c>
      <c r="C4" s="187">
        <f>DashboardFInanceiraAtual!K2</f>
        <v>43404</v>
      </c>
      <c r="D4" s="72"/>
      <c r="E4" s="72"/>
      <c r="F4" s="77" t="s">
        <v>551</v>
      </c>
      <c r="G4" s="78" t="s">
        <v>552</v>
      </c>
      <c r="H4" s="77" t="s">
        <v>553</v>
      </c>
      <c r="I4" s="72"/>
      <c r="J4" s="99" t="str">
        <f>DashboardFInanceiraAtual!K4</f>
        <v>Livros</v>
      </c>
      <c r="K4" s="77" t="s">
        <v>554</v>
      </c>
      <c r="L4" s="77" t="s">
        <v>551</v>
      </c>
    </row>
    <row r="5" spans="1:12" ht="15" x14ac:dyDescent="0.25">
      <c r="A5" s="72"/>
      <c r="B5" s="75" t="s">
        <v>547</v>
      </c>
      <c r="C5" s="205">
        <f>YEAR(DashboardFInanceiraAtual!K2)</f>
        <v>2018</v>
      </c>
      <c r="D5" s="72"/>
      <c r="E5" s="72"/>
      <c r="F5" s="79">
        <v>1</v>
      </c>
      <c r="G5" s="80">
        <f>SUMIFS(RegistroSaidas[Valor],RegistroSaidas[Mês Previsto],F5,RegistroSaidas[Data do Caixa Previsto],"&lt;="&amp;$C$4,RegistroSaidas[Data do Caixa Realizado],"",RegistroSaidas[Ano Previsto],$C$5)</f>
        <v>1155</v>
      </c>
      <c r="H5" s="80">
        <f>SUMIFS(RegistroEntradas[Valor],RegistroEntradas[Mês Previsto],F5,RegistroEntradas[Data do Caixa Previsto],"&lt;="&amp;$C$4,RegistroEntradas[Data do Caixa Realizado],"",RegistroEntradas[Ano Previsto],$C$5)</f>
        <v>1284</v>
      </c>
      <c r="I5" s="72"/>
      <c r="J5" s="80">
        <f xml:space="preserve"> SUMIFS(RegistroEntradas[Valor], RegistroEntradas[Conta Nível 2], $J$4, RegistroEntradas[Data da Competência],"&lt;="&amp;$L$3, RegistroEntradas[Mês Competência], F5,RegistroEntradas[Ano Competência],$C$5)</f>
        <v>0</v>
      </c>
      <c r="K5" s="80">
        <f>IF(J5=0,0,J5)</f>
        <v>0</v>
      </c>
      <c r="L5" s="81" t="s">
        <v>555</v>
      </c>
    </row>
    <row r="6" spans="1:12" ht="15" x14ac:dyDescent="0.25">
      <c r="A6" s="72"/>
      <c r="B6" s="72"/>
      <c r="C6" s="72"/>
      <c r="D6" s="72"/>
      <c r="E6" s="72"/>
      <c r="F6" s="72">
        <v>2</v>
      </c>
      <c r="G6" s="82">
        <f>SUMIFS(RegistroSaidas[Valor],RegistroSaidas[Mês Previsto],F6,RegistroSaidas[Data do Caixa Previsto],"&lt;="&amp;$C$4,RegistroSaidas[Data do Caixa Realizado],"",RegistroSaidas[Ano Previsto],$C$5)</f>
        <v>0</v>
      </c>
      <c r="H6" s="82">
        <f>SUMIFS(RegistroEntradas[Valor],RegistroEntradas[Mês Previsto],F6,RegistroEntradas[Data do Caixa Previsto],"&lt;="&amp;$C$4,RegistroEntradas[Data do Caixa Realizado],"",RegistroEntradas[Ano Previsto],$C$5)</f>
        <v>0</v>
      </c>
      <c r="I6" s="72"/>
      <c r="J6" s="82">
        <f xml:space="preserve"> SUMIFS(RegistroEntradas[Valor], RegistroEntradas[Conta Nível 2], $J$4, RegistroEntradas[Data da Competência],"&lt;="&amp;$L$3, RegistroEntradas[Mês Competência], F6,RegistroEntradas[Ano Competência],$C$5)</f>
        <v>5718</v>
      </c>
      <c r="K6" s="82">
        <f t="shared" ref="K6:K16" si="0">IF(J6=0,0,J6)</f>
        <v>5718</v>
      </c>
      <c r="L6" s="75" t="s">
        <v>556</v>
      </c>
    </row>
    <row r="7" spans="1:12" ht="15" x14ac:dyDescent="0.25">
      <c r="A7" s="72"/>
      <c r="B7" s="74" t="s">
        <v>557</v>
      </c>
      <c r="C7" s="72"/>
      <c r="D7" s="72"/>
      <c r="E7" s="72"/>
      <c r="F7" s="72">
        <v>3</v>
      </c>
      <c r="G7" s="82">
        <f>SUMIFS(RegistroSaidas[Valor],RegistroSaidas[Mês Previsto],F7,RegistroSaidas[Data do Caixa Previsto],"&lt;="&amp;$C$4,RegistroSaidas[Data do Caixa Realizado],"",RegistroSaidas[Ano Previsto],$C$5)</f>
        <v>4438</v>
      </c>
      <c r="H7" s="82">
        <f>SUMIFS(RegistroEntradas[Valor],RegistroEntradas[Mês Previsto],F7,RegistroEntradas[Data do Caixa Previsto],"&lt;="&amp;$C$4,RegistroEntradas[Data do Caixa Realizado],"",RegistroEntradas[Ano Previsto],$C$5)</f>
        <v>0</v>
      </c>
      <c r="I7" s="72"/>
      <c r="J7" s="82">
        <f xml:space="preserve"> SUMIFS(RegistroEntradas[Valor], RegistroEntradas[Conta Nível 2], $J$4, RegistroEntradas[Data da Competência],"&lt;="&amp;$L$3, RegistroEntradas[Mês Competência], F7,RegistroEntradas[Ano Competência],$C$5)</f>
        <v>4918</v>
      </c>
      <c r="K7" s="82">
        <f t="shared" si="0"/>
        <v>4918</v>
      </c>
      <c r="L7" s="75" t="s">
        <v>558</v>
      </c>
    </row>
    <row r="8" spans="1:12" ht="15" x14ac:dyDescent="0.25">
      <c r="A8" s="72"/>
      <c r="B8" s="79" t="s">
        <v>585</v>
      </c>
      <c r="C8" s="83">
        <f xml:space="preserve"> SUMIFS(RegistroEntradas[Valor], RegistroEntradas[Ano Caixa],"="&amp;C5, RegistroEntradas[Ano Caixa],"&lt;&gt;0", RegistroEntradas[Data do Caixa Realizado],"&lt;="&amp;C4) - SUMIFS(RegistroSaidas[Valor], RegistroSaidas[Ano Caixa], "="&amp;C5, RegistroSaidas[Ano Caixa],"&lt;&gt;0", RegistroSaidas[Data do Caixa Realizado],"&lt;="&amp;C4)</f>
        <v>16141</v>
      </c>
      <c r="D8" s="72"/>
      <c r="E8" s="72"/>
      <c r="F8" s="72">
        <v>4</v>
      </c>
      <c r="G8" s="82">
        <f>SUMIFS(RegistroSaidas[Valor],RegistroSaidas[Mês Previsto],F8,RegistroSaidas[Data do Caixa Previsto],"&lt;="&amp;$C$4,RegistroSaidas[Data do Caixa Realizado],"",RegistroSaidas[Ano Previsto],$C$5)</f>
        <v>0</v>
      </c>
      <c r="H8" s="82">
        <f>SUMIFS(RegistroEntradas[Valor],RegistroEntradas[Mês Previsto],F8,RegistroEntradas[Data do Caixa Previsto],"&lt;="&amp;$C$4,RegistroEntradas[Data do Caixa Realizado],"",RegistroEntradas[Ano Previsto],$C$5)</f>
        <v>2388</v>
      </c>
      <c r="I8" s="72"/>
      <c r="J8" s="82">
        <f xml:space="preserve"> SUMIFS(RegistroEntradas[Valor], RegistroEntradas[Conta Nível 2], $J$4, RegistroEntradas[Data da Competência],"&lt;="&amp;$L$3, RegistroEntradas[Mês Competência], F8,RegistroEntradas[Ano Competência],$C$5)</f>
        <v>3446</v>
      </c>
      <c r="K8" s="82">
        <f t="shared" si="0"/>
        <v>3446</v>
      </c>
      <c r="L8" s="75" t="s">
        <v>560</v>
      </c>
    </row>
    <row r="9" spans="1:12" ht="15" x14ac:dyDescent="0.25">
      <c r="A9" s="72"/>
      <c r="B9" s="72" t="s">
        <v>559</v>
      </c>
      <c r="C9" s="84">
        <f>SUMIFS(RegistroEntradas[Valor],RegistroEntradas[Data do Caixa Realizado],"&lt;="&amp;C4,RegistroEntradas[Ano Caixa],C5)</f>
        <v>271308</v>
      </c>
      <c r="D9" s="72"/>
      <c r="E9" s="72"/>
      <c r="F9" s="72">
        <v>5</v>
      </c>
      <c r="G9" s="82">
        <f>SUMIFS(RegistroSaidas[Valor],RegistroSaidas[Mês Previsto],F9,RegistroSaidas[Data do Caixa Previsto],"&lt;="&amp;$C$4,RegistroSaidas[Data do Caixa Realizado],"",RegistroSaidas[Ano Previsto],$C$5)</f>
        <v>0</v>
      </c>
      <c r="H9" s="82">
        <f>SUMIFS(RegistroEntradas[Valor],RegistroEntradas[Mês Previsto],F9,RegistroEntradas[Data do Caixa Previsto],"&lt;="&amp;$C$4,RegistroEntradas[Data do Caixa Realizado],"",RegistroEntradas[Ano Previsto],$C$5)</f>
        <v>0</v>
      </c>
      <c r="I9" s="72"/>
      <c r="J9" s="82">
        <f xml:space="preserve"> SUMIFS(RegistroEntradas[Valor], RegistroEntradas[Conta Nível 2], $J$4, RegistroEntradas[Data da Competência],"&lt;="&amp;$L$3, RegistroEntradas[Mês Competência], F9,RegistroEntradas[Ano Competência],$C$5)</f>
        <v>611</v>
      </c>
      <c r="K9" s="82">
        <f t="shared" si="0"/>
        <v>611</v>
      </c>
      <c r="L9" s="75" t="s">
        <v>562</v>
      </c>
    </row>
    <row r="10" spans="1:12" ht="15" x14ac:dyDescent="0.25">
      <c r="A10" s="72"/>
      <c r="B10" s="72" t="s">
        <v>561</v>
      </c>
      <c r="C10" s="84">
        <f>SUMIFS(RegistroSaidas[Valor],RegistroSaidas[Data do Caixa Realizado],"&lt;="&amp;C4,RegistroSaidas[Ano Caixa],C5)</f>
        <v>255167</v>
      </c>
      <c r="D10" s="72"/>
      <c r="E10" s="72"/>
      <c r="F10" s="72">
        <v>6</v>
      </c>
      <c r="G10" s="82">
        <f>SUMIFS(RegistroSaidas[Valor],RegistroSaidas[Mês Previsto],F10,RegistroSaidas[Data do Caixa Previsto],"&lt;="&amp;$C$4,RegistroSaidas[Data do Caixa Realizado],"",RegistroSaidas[Ano Previsto],$C$5)</f>
        <v>701</v>
      </c>
      <c r="H10" s="82">
        <f>SUMIFS(RegistroEntradas[Valor],RegistroEntradas[Mês Previsto],F10,RegistroEntradas[Data do Caixa Previsto],"&lt;="&amp;$C$4,RegistroEntradas[Data do Caixa Realizado],"",RegistroEntradas[Ano Previsto],$C$5)</f>
        <v>6102</v>
      </c>
      <c r="I10" s="72"/>
      <c r="J10" s="82">
        <f xml:space="preserve"> SUMIFS(RegistroEntradas[Valor], RegistroEntradas[Conta Nível 2], $J$4, RegistroEntradas[Data da Competência],"&lt;="&amp;$L$3, RegistroEntradas[Mês Competência], F10,RegistroEntradas[Ano Competência],$C$5)</f>
        <v>3224</v>
      </c>
      <c r="K10" s="82">
        <f t="shared" si="0"/>
        <v>3224</v>
      </c>
      <c r="L10" s="75" t="s">
        <v>564</v>
      </c>
    </row>
    <row r="11" spans="1:12" ht="15" x14ac:dyDescent="0.25">
      <c r="A11" s="72"/>
      <c r="B11" s="85" t="s">
        <v>563</v>
      </c>
      <c r="C11" s="86">
        <f>C8+C9-C10</f>
        <v>32282</v>
      </c>
      <c r="D11" s="72"/>
      <c r="E11" s="72"/>
      <c r="F11" s="72">
        <v>7</v>
      </c>
      <c r="G11" s="82">
        <f>SUMIFS(RegistroSaidas[Valor],RegistroSaidas[Mês Previsto],F11,RegistroSaidas[Data do Caixa Previsto],"&lt;="&amp;$C$4,RegistroSaidas[Data do Caixa Realizado],"",RegistroSaidas[Ano Previsto],$C$5)</f>
        <v>0</v>
      </c>
      <c r="H11" s="82">
        <f>SUMIFS(RegistroEntradas[Valor],RegistroEntradas[Mês Previsto],F11,RegistroEntradas[Data do Caixa Previsto],"&lt;="&amp;$C$4,RegistroEntradas[Data do Caixa Realizado],"",RegistroEntradas[Ano Previsto],$C$5)</f>
        <v>0</v>
      </c>
      <c r="I11" s="72"/>
      <c r="J11" s="82">
        <f xml:space="preserve"> SUMIFS(RegistroEntradas[Valor], RegistroEntradas[Conta Nível 2], $J$4, RegistroEntradas[Data da Competência],"&lt;="&amp;$L$3, RegistroEntradas[Mês Competência], F11,RegistroEntradas[Ano Competência],$C$5)</f>
        <v>1306</v>
      </c>
      <c r="K11" s="82">
        <f t="shared" si="0"/>
        <v>1306</v>
      </c>
      <c r="L11" s="75" t="s">
        <v>565</v>
      </c>
    </row>
    <row r="12" spans="1:12" ht="15" x14ac:dyDescent="0.25">
      <c r="A12" s="72"/>
      <c r="B12" s="72"/>
      <c r="C12" s="72"/>
      <c r="D12" s="72"/>
      <c r="E12" s="72"/>
      <c r="F12" s="72">
        <v>8</v>
      </c>
      <c r="G12" s="82">
        <f>SUMIFS(RegistroSaidas[Valor],RegistroSaidas[Mês Previsto],F12,RegistroSaidas[Data do Caixa Previsto],"&lt;="&amp;$C$4,RegistroSaidas[Data do Caixa Realizado],"",RegistroSaidas[Ano Previsto],$C$5)</f>
        <v>4217</v>
      </c>
      <c r="H12" s="82">
        <f>SUMIFS(RegistroEntradas[Valor],RegistroEntradas[Mês Previsto],F12,RegistroEntradas[Data do Caixa Previsto],"&lt;="&amp;$C$4,RegistroEntradas[Data do Caixa Realizado],"",RegistroEntradas[Ano Previsto],$C$5)</f>
        <v>770</v>
      </c>
      <c r="I12" s="72"/>
      <c r="J12" s="82">
        <f xml:space="preserve"> SUMIFS(RegistroEntradas[Valor], RegistroEntradas[Conta Nível 2], $J$4, RegistroEntradas[Data da Competência],"&lt;="&amp;$L$3, RegistroEntradas[Mês Competência], F12,RegistroEntradas[Ano Competência],$C$5)</f>
        <v>0</v>
      </c>
      <c r="K12" s="82">
        <f t="shared" si="0"/>
        <v>0</v>
      </c>
      <c r="L12" s="75" t="s">
        <v>567</v>
      </c>
    </row>
    <row r="13" spans="1:12" ht="15" x14ac:dyDescent="0.25">
      <c r="A13" s="72"/>
      <c r="B13" s="87" t="s">
        <v>566</v>
      </c>
      <c r="C13" s="87"/>
      <c r="D13" s="83">
        <f>SUMIFS(RegistroSaidas[Valor],RegistroSaidas[Data do Caixa Realizado],"",RegistroSaidas[Data do Caixa Previsto],"&lt;="&amp;C4, RegistroSaidas[Ano Previsto],C5)</f>
        <v>10511</v>
      </c>
      <c r="E13" s="72"/>
      <c r="F13" s="72">
        <v>9</v>
      </c>
      <c r="G13" s="82">
        <f>SUMIFS(RegistroSaidas[Valor],RegistroSaidas[Mês Previsto],F13,RegistroSaidas[Data do Caixa Previsto],"&lt;="&amp;$C$4,RegistroSaidas[Data do Caixa Realizado],"",RegistroSaidas[Ano Previsto],$C$5)</f>
        <v>0</v>
      </c>
      <c r="H13" s="82">
        <f>SUMIFS(RegistroEntradas[Valor],RegistroEntradas[Mês Previsto],F13,RegistroEntradas[Data do Caixa Previsto],"&lt;="&amp;$C$4,RegistroEntradas[Data do Caixa Realizado],"",RegistroEntradas[Ano Previsto],$C$5)</f>
        <v>4253</v>
      </c>
      <c r="I13" s="72"/>
      <c r="J13" s="82">
        <f xml:space="preserve"> SUMIFS(RegistroEntradas[Valor], RegistroEntradas[Conta Nível 2], $J$4, RegistroEntradas[Data da Competência],"&lt;="&amp;$L$3, RegistroEntradas[Mês Competência], F13,RegistroEntradas[Ano Competência],$C$5)</f>
        <v>6637</v>
      </c>
      <c r="K13" s="82">
        <f t="shared" si="0"/>
        <v>6637</v>
      </c>
      <c r="L13" s="75" t="s">
        <v>569</v>
      </c>
    </row>
    <row r="14" spans="1:12" ht="15" x14ac:dyDescent="0.25">
      <c r="A14" s="72"/>
      <c r="B14" s="88" t="s">
        <v>568</v>
      </c>
      <c r="C14" s="88"/>
      <c r="D14" s="89">
        <f>SUMIFS(RegistroEntradas[Valor],RegistroEntradas[Data do Caixa Realizado],"",RegistroEntradas[Data do Caixa Previsto],"&lt;="&amp;C4, RegistroEntradas[Ano Previsto],C5)</f>
        <v>19719</v>
      </c>
      <c r="E14" s="72"/>
      <c r="F14" s="72">
        <v>10</v>
      </c>
      <c r="G14" s="82">
        <f>SUMIFS(RegistroSaidas[Valor],RegistroSaidas[Mês Previsto],F14,RegistroSaidas[Data do Caixa Previsto],"&lt;="&amp;$C$4,RegistroSaidas[Data do Caixa Realizado],"",RegistroSaidas[Ano Previsto],$C$5)</f>
        <v>0</v>
      </c>
      <c r="H14" s="82">
        <f>SUMIFS(RegistroEntradas[Valor],RegistroEntradas[Mês Previsto],F14,RegistroEntradas[Data do Caixa Previsto],"&lt;="&amp;$C$4,RegistroEntradas[Data do Caixa Realizado],"",RegistroEntradas[Ano Previsto],$C$5)</f>
        <v>4922</v>
      </c>
      <c r="I14" s="72"/>
      <c r="J14" s="82">
        <f xml:space="preserve"> SUMIFS(RegistroEntradas[Valor], RegistroEntradas[Conta Nível 2], $J$4, RegistroEntradas[Data da Competência],"&lt;="&amp;$L$3, RegistroEntradas[Mês Competência], F14,RegistroEntradas[Ano Competência],$C$5)</f>
        <v>0</v>
      </c>
      <c r="K14" s="82">
        <f t="shared" si="0"/>
        <v>0</v>
      </c>
      <c r="L14" s="75" t="s">
        <v>570</v>
      </c>
    </row>
    <row r="15" spans="1:12" ht="15" x14ac:dyDescent="0.25">
      <c r="A15" s="72"/>
      <c r="B15" s="72"/>
      <c r="C15" s="72"/>
      <c r="D15" s="72"/>
      <c r="E15" s="72"/>
      <c r="F15" s="72">
        <v>11</v>
      </c>
      <c r="G15" s="82">
        <f>SUMIFS(RegistroSaidas[Valor],RegistroSaidas[Mês Previsto],F15,RegistroSaidas[Data do Caixa Previsto],"&lt;="&amp;$C$4,RegistroSaidas[Data do Caixa Realizado],"",RegistroSaidas[Ano Previsto],$C$5)</f>
        <v>0</v>
      </c>
      <c r="H15" s="82">
        <f>SUMIFS(RegistroEntradas[Valor],RegistroEntradas[Mês Previsto],F15,RegistroEntradas[Data do Caixa Previsto],"&lt;="&amp;$C$4,RegistroEntradas[Data do Caixa Realizado],"",RegistroEntradas[Ano Previsto],$C$5)</f>
        <v>0</v>
      </c>
      <c r="I15" s="72"/>
      <c r="J15" s="82">
        <f xml:space="preserve"> SUMIFS(RegistroEntradas[Valor], RegistroEntradas[Conta Nível 2], $J$4, RegistroEntradas[Data da Competência],"&lt;="&amp;$L$3, RegistroEntradas[Mês Competência], F15,RegistroEntradas[Ano Competência],$C$5)</f>
        <v>0</v>
      </c>
      <c r="K15" s="82">
        <f t="shared" si="0"/>
        <v>0</v>
      </c>
      <c r="L15" s="75" t="s">
        <v>571</v>
      </c>
    </row>
    <row r="16" spans="1:12" ht="15" x14ac:dyDescent="0.25">
      <c r="A16" s="72"/>
      <c r="B16" s="72"/>
      <c r="C16" s="72"/>
      <c r="D16" s="72"/>
      <c r="E16" s="72"/>
      <c r="F16" s="85">
        <v>12</v>
      </c>
      <c r="G16" s="82">
        <f>SUMIFS(RegistroSaidas[Valor],RegistroSaidas[Mês Previsto],F16,RegistroSaidas[Data do Caixa Previsto],"&lt;="&amp;$C$4,RegistroSaidas[Data do Caixa Realizado],"",RegistroSaidas[Ano Previsto],$C$5)</f>
        <v>0</v>
      </c>
      <c r="H16" s="82">
        <f>SUMIFS(RegistroEntradas[Valor],RegistroEntradas[Mês Previsto],F16,RegistroEntradas[Data do Caixa Previsto],"&lt;="&amp;$C$4,RegistroEntradas[Data do Caixa Realizado],"",RegistroEntradas[Ano Previsto],$C$5)</f>
        <v>0</v>
      </c>
      <c r="I16" s="72"/>
      <c r="J16" s="82">
        <f xml:space="preserve"> SUMIFS(RegistroEntradas[Valor], RegistroEntradas[Conta Nível 2], $J$4, RegistroEntradas[Data da Competência],"&lt;="&amp;$L$3, RegistroEntradas[Mês Competência], F16,RegistroEntradas[Ano Competência],$C$5)</f>
        <v>0</v>
      </c>
      <c r="K16" s="82">
        <f t="shared" si="0"/>
        <v>0</v>
      </c>
      <c r="L16" s="90" t="s">
        <v>572</v>
      </c>
    </row>
    <row r="17" spans="1:12" ht="15" x14ac:dyDescent="0.25">
      <c r="A17" s="72"/>
      <c r="B17" s="72"/>
      <c r="C17" s="72"/>
      <c r="D17" s="72"/>
      <c r="E17" s="72"/>
      <c r="F17" s="173" t="s">
        <v>576</v>
      </c>
      <c r="G17" s="174">
        <f>SUM(G5:G16)</f>
        <v>10511</v>
      </c>
      <c r="H17" s="174">
        <f>SUM(H5:H16)</f>
        <v>19719</v>
      </c>
      <c r="I17" s="72"/>
      <c r="J17" s="72"/>
      <c r="K17" s="72"/>
      <c r="L17" s="72"/>
    </row>
    <row r="18" spans="1:12" ht="15" x14ac:dyDescent="0.25">
      <c r="A18" s="72"/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</row>
    <row r="19" spans="1:12" ht="15" x14ac:dyDescent="0.25">
      <c r="A19" s="72"/>
      <c r="B19" s="72"/>
      <c r="C19" s="72"/>
      <c r="D19" s="72"/>
      <c r="E19" s="72"/>
      <c r="F19" s="72"/>
      <c r="G19" s="72"/>
      <c r="H19" s="72"/>
      <c r="I19" s="72"/>
      <c r="J19" s="72"/>
      <c r="K19" s="72"/>
      <c r="L19" s="72"/>
    </row>
    <row r="20" spans="1:12" ht="15" x14ac:dyDescent="0.25">
      <c r="A20" s="72"/>
      <c r="B20" s="74" t="s">
        <v>573</v>
      </c>
      <c r="C20" s="72"/>
      <c r="D20" s="72"/>
      <c r="E20" s="91"/>
      <c r="F20" s="72"/>
      <c r="G20" s="72"/>
      <c r="H20" s="72"/>
      <c r="I20" s="72"/>
      <c r="J20" s="72"/>
      <c r="K20" s="72"/>
      <c r="L20" s="72"/>
    </row>
    <row r="21" spans="1:12" ht="15" x14ac:dyDescent="0.25">
      <c r="A21" s="72"/>
      <c r="B21" s="77" t="s">
        <v>604</v>
      </c>
      <c r="C21" s="78" t="s">
        <v>575</v>
      </c>
      <c r="D21" s="78" t="s">
        <v>599</v>
      </c>
      <c r="E21" s="78" t="s">
        <v>576</v>
      </c>
      <c r="F21" s="72"/>
      <c r="G21" s="72"/>
      <c r="H21" s="72"/>
      <c r="I21" s="72"/>
      <c r="J21" s="72"/>
      <c r="K21" s="72"/>
      <c r="L21" s="72"/>
    </row>
    <row r="22" spans="1:12" ht="15" x14ac:dyDescent="0.25">
      <c r="A22" s="72"/>
      <c r="B22" s="188">
        <f>C4</f>
        <v>43404</v>
      </c>
      <c r="C22" s="93">
        <f>SUMIFS(RegistroEntradas[Valor],RegistroEntradas[Venda à Vista],"À Vista",RegistroEntradas[Data da Competência],"&lt;="&amp;$B$22, RegistroEntradas[Ano Competência],C5)</f>
        <v>6516</v>
      </c>
      <c r="D22" s="93">
        <f>SUMIFS(RegistroEntradas[Valor],RegistroEntradas[Venda à Vista],"À Prazo",RegistroEntradas[Data da Competência],"&lt;="&amp;$B$22,RegistroEntradas[Ano Competência],C5)</f>
        <v>265255</v>
      </c>
      <c r="E22" s="93">
        <f>SUM(C22:D22)</f>
        <v>271771</v>
      </c>
      <c r="F22" s="72"/>
      <c r="G22" s="72"/>
      <c r="H22" s="72"/>
      <c r="I22" s="72"/>
      <c r="J22" s="72"/>
      <c r="K22" s="72"/>
      <c r="L22" s="72"/>
    </row>
    <row r="23" spans="1:12" ht="15" x14ac:dyDescent="0.25">
      <c r="A23" s="72"/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</row>
    <row r="24" spans="1:12" ht="15" x14ac:dyDescent="0.25">
      <c r="A24" s="72"/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</row>
    <row r="25" spans="1:12" ht="15" x14ac:dyDescent="0.25">
      <c r="A25" s="72"/>
      <c r="B25" s="74" t="s">
        <v>577</v>
      </c>
      <c r="C25" s="72"/>
      <c r="D25" s="72"/>
      <c r="E25" s="72"/>
      <c r="F25" s="72"/>
      <c r="G25" s="74" t="s">
        <v>578</v>
      </c>
      <c r="H25" s="72"/>
      <c r="I25" s="72"/>
      <c r="J25" s="72"/>
      <c r="K25" s="72"/>
      <c r="L25" s="72"/>
    </row>
    <row r="26" spans="1:12" ht="15" x14ac:dyDescent="0.25">
      <c r="A26" s="72"/>
      <c r="B26" s="77" t="s">
        <v>604</v>
      </c>
      <c r="C26" s="78" t="s">
        <v>579</v>
      </c>
      <c r="D26" s="78" t="s">
        <v>580</v>
      </c>
      <c r="E26" s="78" t="s">
        <v>581</v>
      </c>
      <c r="F26" s="72"/>
      <c r="G26" s="77" t="s">
        <v>604</v>
      </c>
      <c r="H26" s="78" t="s">
        <v>579</v>
      </c>
      <c r="I26" s="78" t="s">
        <v>580</v>
      </c>
      <c r="J26" s="78" t="s">
        <v>581</v>
      </c>
      <c r="K26" s="72"/>
      <c r="L26" s="72"/>
    </row>
    <row r="27" spans="1:12" ht="15" x14ac:dyDescent="0.25">
      <c r="A27" s="72"/>
      <c r="B27" s="188">
        <f>C4</f>
        <v>43404</v>
      </c>
      <c r="C27" s="94">
        <f ca="1" xml:space="preserve"> COUNTIFS(RegistroEntradas[Data da Competência],"&lt;="&amp;B27,RegistroEntradas[Dias de Atraso],"&gt;0",RegistroEntradas[Ano Competência],C5)</f>
        <v>32</v>
      </c>
      <c r="D27" s="94">
        <f ca="1" xml:space="preserve"> SUMIFS(RegistroEntradas[Dias de Atraso], RegistroEntradas[Data da Competência],"&lt;="&amp;B27,RegistroEntradas[Dias de Atraso],"&gt;0",RegistroEntradas[Ano Competência],C5)</f>
        <v>12551.680791306353</v>
      </c>
      <c r="E27" s="94">
        <f ca="1">D27/C27</f>
        <v>392.24002472832353</v>
      </c>
      <c r="F27" s="72"/>
      <c r="G27" s="188">
        <f>C4</f>
        <v>43404</v>
      </c>
      <c r="H27" s="94">
        <f ca="1" xml:space="preserve"> COUNTIFS(RegistroSaidas[Data da Competência],"&lt;="&amp;B27,RegistroSaidas[Dias de Atraso],"&gt;0",RegistroSaidas[Ano Competência],C5)</f>
        <v>21</v>
      </c>
      <c r="I27" s="94">
        <f ca="1" xml:space="preserve"> SUMIFS(RegistroSaidas[Dias de Atraso], RegistroSaidas[Data da Competência],"&lt;="&amp;B27,RegistroSaidas[Dias de Atraso],"&gt;0",RegistroSaidas[Ano Competência],C5)</f>
        <v>6663.0012916222404</v>
      </c>
      <c r="J27" s="94">
        <f ca="1">I27/H27</f>
        <v>317.28577579153523</v>
      </c>
      <c r="K27" s="72"/>
      <c r="L27" s="72"/>
    </row>
    <row r="28" spans="1:12" ht="15" x14ac:dyDescent="0.25">
      <c r="A28" s="72"/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/>
    </row>
    <row r="29" spans="1:12" ht="15" x14ac:dyDescent="0.25">
      <c r="A29" s="72"/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</row>
    <row r="30" spans="1:12" ht="15" x14ac:dyDescent="0.25">
      <c r="A30" s="72"/>
      <c r="B30" s="74" t="s">
        <v>582</v>
      </c>
      <c r="C30" s="72"/>
      <c r="D30" s="72"/>
      <c r="E30" s="72"/>
      <c r="F30" s="72"/>
      <c r="G30" s="74" t="s">
        <v>583</v>
      </c>
      <c r="H30" s="91">
        <f>C4</f>
        <v>43404</v>
      </c>
      <c r="I30" s="72"/>
      <c r="J30" s="72"/>
      <c r="K30" s="72"/>
      <c r="L30" s="72"/>
    </row>
    <row r="31" spans="1:12" ht="15" x14ac:dyDescent="0.25">
      <c r="A31" s="72"/>
      <c r="B31" s="77" t="s">
        <v>604</v>
      </c>
      <c r="C31" s="81" t="s">
        <v>559</v>
      </c>
      <c r="D31" s="81" t="s">
        <v>561</v>
      </c>
      <c r="E31" s="81" t="s">
        <v>584</v>
      </c>
      <c r="F31" s="72"/>
      <c r="G31" s="77" t="s">
        <v>551</v>
      </c>
      <c r="H31" s="100" t="str">
        <f>DashboardFInanceiraAtual!K14</f>
        <v>Livros</v>
      </c>
      <c r="I31" s="72"/>
      <c r="J31" s="72"/>
      <c r="K31" s="72"/>
      <c r="L31" s="72"/>
    </row>
    <row r="32" spans="1:12" ht="15" x14ac:dyDescent="0.25">
      <c r="A32" s="72"/>
      <c r="B32" s="189">
        <f>C4</f>
        <v>43404</v>
      </c>
      <c r="C32" s="97">
        <f xml:space="preserve"> SUMIFS(RegistroEntradas[Valor],RegistroEntradas[Data da Competência],"&lt;="&amp;B32,RegistroEntradas[Ano Competência],C5)</f>
        <v>271771</v>
      </c>
      <c r="D32" s="97">
        <f xml:space="preserve"> SUMIFS(RegistroSaidas[Valor],RegistroSaidas[Data da Competência],"&lt;="&amp;B32,RegistroSaidas[Ano Competência],C5)</f>
        <v>260299</v>
      </c>
      <c r="E32" s="98">
        <f>C32-D32</f>
        <v>11472</v>
      </c>
      <c r="F32" s="72"/>
      <c r="G32" s="72">
        <v>1</v>
      </c>
      <c r="H32" s="82">
        <f xml:space="preserve"> SUMIFS(RegistroSaidas[Valor],RegistroSaidas[Conta Nível 2],$H$31,RegistroSaidas[Data da Competência],"&lt;="&amp;$H$30,RegistroSaidas[Mês Competência],G32, RegistroSaidas[Ano Competência],$C$5)</f>
        <v>2247</v>
      </c>
      <c r="I32" s="72"/>
      <c r="J32" s="72"/>
      <c r="K32" s="72"/>
      <c r="L32" s="72"/>
    </row>
    <row r="33" spans="1:12" ht="15" x14ac:dyDescent="0.25">
      <c r="A33" s="72"/>
      <c r="B33" s="72"/>
      <c r="C33" s="72"/>
      <c r="D33" s="72"/>
      <c r="E33" s="72"/>
      <c r="F33" s="72"/>
      <c r="G33" s="72">
        <v>2</v>
      </c>
      <c r="H33" s="82">
        <f xml:space="preserve"> SUMIFS(RegistroSaidas[Valor],RegistroSaidas[Conta Nível 2],$H$31,RegistroSaidas[Data da Competência],"&lt;="&amp;$H$30,RegistroSaidas[Mês Competência],G33, RegistroSaidas[Ano Competência],$C$5)</f>
        <v>3503</v>
      </c>
      <c r="I33" s="72"/>
      <c r="J33" s="72"/>
      <c r="K33" s="72"/>
      <c r="L33" s="72"/>
    </row>
    <row r="34" spans="1:12" ht="15" x14ac:dyDescent="0.25">
      <c r="A34" s="72"/>
      <c r="B34" s="72"/>
      <c r="C34" s="72"/>
      <c r="D34" s="72"/>
      <c r="E34" s="72"/>
      <c r="F34" s="72"/>
      <c r="G34" s="72">
        <v>3</v>
      </c>
      <c r="H34" s="82">
        <f xml:space="preserve"> SUMIFS(RegistroSaidas[Valor],RegistroSaidas[Conta Nível 2],$H$31,RegistroSaidas[Data da Competência],"&lt;="&amp;$H$30,RegistroSaidas[Mês Competência],G34, RegistroSaidas[Ano Competência],$C$5)</f>
        <v>3893</v>
      </c>
      <c r="I34" s="72"/>
      <c r="J34" s="72"/>
      <c r="K34" s="72"/>
      <c r="L34" s="72"/>
    </row>
    <row r="35" spans="1:12" ht="15" x14ac:dyDescent="0.25">
      <c r="A35" s="72"/>
      <c r="B35" s="72"/>
      <c r="C35" s="72"/>
      <c r="D35" s="72"/>
      <c r="E35" s="72"/>
      <c r="F35" s="72"/>
      <c r="G35" s="72">
        <v>4</v>
      </c>
      <c r="H35" s="82">
        <f xml:space="preserve"> SUMIFS(RegistroSaidas[Valor],RegistroSaidas[Conta Nível 2],$H$31,RegistroSaidas[Data da Competência],"&lt;="&amp;$H$30,RegistroSaidas[Mês Competência],G35, RegistroSaidas[Ano Competência],$C$5)</f>
        <v>4867</v>
      </c>
      <c r="I35" s="72"/>
      <c r="J35" s="72"/>
      <c r="K35" s="72"/>
      <c r="L35" s="72"/>
    </row>
    <row r="36" spans="1:12" ht="15" x14ac:dyDescent="0.25">
      <c r="A36" s="72"/>
      <c r="B36" s="72"/>
      <c r="C36" s="72"/>
      <c r="D36" s="72"/>
      <c r="E36" s="72"/>
      <c r="F36" s="72"/>
      <c r="G36" s="72">
        <v>5</v>
      </c>
      <c r="H36" s="82">
        <f xml:space="preserve"> SUMIFS(RegistroSaidas[Valor],RegistroSaidas[Conta Nível 2],$H$31,RegistroSaidas[Data da Competência],"&lt;="&amp;$H$30,RegistroSaidas[Mês Competência],G36, RegistroSaidas[Ano Competência],$C$5)</f>
        <v>0</v>
      </c>
      <c r="I36" s="72"/>
      <c r="J36" s="72"/>
      <c r="K36" s="72"/>
      <c r="L36" s="72"/>
    </row>
    <row r="37" spans="1:12" ht="15" x14ac:dyDescent="0.25">
      <c r="A37" s="72"/>
      <c r="B37" s="72"/>
      <c r="C37" s="72"/>
      <c r="D37" s="72"/>
      <c r="E37" s="72"/>
      <c r="F37" s="72"/>
      <c r="G37" s="72">
        <v>6</v>
      </c>
      <c r="H37" s="82">
        <f xml:space="preserve"> SUMIFS(RegistroSaidas[Valor],RegistroSaidas[Conta Nível 2],$H$31,RegistroSaidas[Data da Competência],"&lt;="&amp;$H$30,RegistroSaidas[Mês Competência],G37, RegistroSaidas[Ano Competência],$C$5)</f>
        <v>0</v>
      </c>
      <c r="I37" s="72"/>
      <c r="J37" s="72"/>
      <c r="K37" s="72"/>
      <c r="L37" s="72"/>
    </row>
    <row r="38" spans="1:12" ht="15" x14ac:dyDescent="0.25">
      <c r="A38" s="72"/>
      <c r="B38" s="72"/>
      <c r="C38" s="72"/>
      <c r="D38" s="72"/>
      <c r="E38" s="72"/>
      <c r="F38" s="72"/>
      <c r="G38" s="72">
        <v>7</v>
      </c>
      <c r="H38" s="82">
        <f xml:space="preserve"> SUMIFS(RegistroSaidas[Valor],RegistroSaidas[Conta Nível 2],$H$31,RegistroSaidas[Data da Competência],"&lt;="&amp;$H$30,RegistroSaidas[Mês Competência],G38, RegistroSaidas[Ano Competência],$C$5)</f>
        <v>1108</v>
      </c>
      <c r="I38" s="72"/>
      <c r="J38" s="72"/>
      <c r="K38" s="72"/>
      <c r="L38" s="72"/>
    </row>
    <row r="39" spans="1:12" ht="15" x14ac:dyDescent="0.25">
      <c r="A39" s="72"/>
      <c r="B39" s="72"/>
      <c r="C39" s="72"/>
      <c r="D39" s="72"/>
      <c r="E39" s="72"/>
      <c r="F39" s="72"/>
      <c r="G39" s="72">
        <v>8</v>
      </c>
      <c r="H39" s="82">
        <f xml:space="preserve"> SUMIFS(RegistroSaidas[Valor],RegistroSaidas[Conta Nível 2],$H$31,RegistroSaidas[Data da Competência],"&lt;="&amp;$H$30,RegistroSaidas[Mês Competência],G39, RegistroSaidas[Ano Competência],$C$5)</f>
        <v>4462</v>
      </c>
      <c r="I39" s="72"/>
      <c r="J39" s="72"/>
      <c r="K39" s="72"/>
      <c r="L39" s="72"/>
    </row>
    <row r="40" spans="1:12" ht="15" x14ac:dyDescent="0.25">
      <c r="A40" s="72"/>
      <c r="B40" s="72"/>
      <c r="C40" s="72"/>
      <c r="D40" s="72"/>
      <c r="E40" s="72"/>
      <c r="F40" s="72"/>
      <c r="G40" s="72">
        <v>9</v>
      </c>
      <c r="H40" s="82">
        <f xml:space="preserve"> SUMIFS(RegistroSaidas[Valor],RegistroSaidas[Conta Nível 2],$H$31,RegistroSaidas[Data da Competência],"&lt;="&amp;$H$30,RegistroSaidas[Mês Competência],G40, RegistroSaidas[Ano Competência],$C$5)</f>
        <v>159</v>
      </c>
      <c r="I40" s="72"/>
      <c r="J40" s="72"/>
      <c r="K40" s="72"/>
      <c r="L40" s="72"/>
    </row>
    <row r="41" spans="1:12" ht="15" x14ac:dyDescent="0.25">
      <c r="A41" s="72"/>
      <c r="B41" s="72"/>
      <c r="C41" s="72"/>
      <c r="D41" s="72"/>
      <c r="E41" s="72"/>
      <c r="F41" s="72"/>
      <c r="G41" s="72">
        <v>10</v>
      </c>
      <c r="H41" s="82">
        <f xml:space="preserve"> SUMIFS(RegistroSaidas[Valor],RegistroSaidas[Conta Nível 2],$H$31,RegistroSaidas[Data da Competência],"&lt;="&amp;$H$30,RegistroSaidas[Mês Competência],G41, RegistroSaidas[Ano Competência],$C$5)</f>
        <v>9436</v>
      </c>
      <c r="I41" s="72"/>
      <c r="J41" s="72"/>
      <c r="K41" s="72"/>
      <c r="L41" s="72"/>
    </row>
    <row r="42" spans="1:12" ht="15" x14ac:dyDescent="0.25">
      <c r="A42" s="72"/>
      <c r="B42" s="72"/>
      <c r="C42" s="72"/>
      <c r="D42" s="72"/>
      <c r="E42" s="72"/>
      <c r="F42" s="72"/>
      <c r="G42" s="72">
        <v>11</v>
      </c>
      <c r="H42" s="82">
        <f xml:space="preserve"> SUMIFS(RegistroSaidas[Valor],RegistroSaidas[Conta Nível 2],$H$31,RegistroSaidas[Data da Competência],"&lt;="&amp;$H$30,RegistroSaidas[Mês Competência],G42, RegistroSaidas[Ano Competência],$C$5)</f>
        <v>0</v>
      </c>
      <c r="I42" s="72"/>
      <c r="J42" s="72"/>
      <c r="K42" s="72"/>
      <c r="L42" s="72"/>
    </row>
    <row r="43" spans="1:12" ht="15" x14ac:dyDescent="0.25">
      <c r="A43" s="72"/>
      <c r="B43" s="72"/>
      <c r="C43" s="72"/>
      <c r="D43" s="72"/>
      <c r="E43" s="72"/>
      <c r="F43" s="72"/>
      <c r="G43" s="85">
        <v>12</v>
      </c>
      <c r="H43" s="82">
        <f xml:space="preserve"> SUMIFS(RegistroSaidas[Valor],RegistroSaidas[Conta Nível 2],$H$31,RegistroSaidas[Data da Competência],"&lt;="&amp;$H$30,RegistroSaidas[Mês Competência],G43, RegistroSaidas[Ano Competência],$C$5)</f>
        <v>0</v>
      </c>
      <c r="I43" s="72"/>
      <c r="J43" s="72"/>
      <c r="K43" s="72"/>
      <c r="L43" s="72"/>
    </row>
    <row r="44" spans="1:12" ht="15" x14ac:dyDescent="0.25">
      <c r="A44" s="72"/>
      <c r="B44" s="72"/>
      <c r="C44" s="72"/>
      <c r="D44" s="72"/>
      <c r="E44" s="72"/>
      <c r="F44" s="72"/>
      <c r="G44" s="77" t="s">
        <v>576</v>
      </c>
      <c r="H44" s="82">
        <f>SUM(H32:H43)</f>
        <v>29675</v>
      </c>
      <c r="I44" s="72"/>
      <c r="J44" s="72"/>
      <c r="K44" s="72"/>
      <c r="L44" s="72"/>
    </row>
    <row r="45" spans="1:12" ht="15" x14ac:dyDescent="0.25">
      <c r="A45" s="72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</row>
    <row r="46" spans="1:12" ht="20.100000000000001" customHeight="1" x14ac:dyDescent="0.25">
      <c r="G46" s="72"/>
      <c r="H46" s="72"/>
      <c r="I46" s="72"/>
      <c r="J46" s="72"/>
    </row>
    <row r="49" customFormat="1" ht="20.100000000000001" customHeight="1" x14ac:dyDescent="0.25"/>
  </sheetData>
  <sheetProtection sheet="1" scenarios="1" selectLockedCells="1" autoFilter="0" pivotTables="0"/>
  <conditionalFormatting sqref="C11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2E10E-E6B7-417F-8EC9-B9F62E01750A}">
  <dimension ref="A1:O17"/>
  <sheetViews>
    <sheetView showGridLines="0" zoomScale="130" zoomScaleNormal="130" workbookViewId="0">
      <selection activeCell="B11" sqref="B11"/>
    </sheetView>
  </sheetViews>
  <sheetFormatPr defaultColWidth="0" defaultRowHeight="15" x14ac:dyDescent="0.25"/>
  <cols>
    <col min="1" max="1" width="2" customWidth="1"/>
    <col min="2" max="2" width="40.7109375" customWidth="1"/>
    <col min="3" max="14" width="11.7109375" customWidth="1"/>
    <col min="15" max="15" width="2.7109375" customWidth="1"/>
    <col min="16" max="16384" width="9.140625" hidden="1"/>
  </cols>
  <sheetData>
    <row r="1" spans="2:14" ht="39.950000000000003" customHeight="1" x14ac:dyDescent="0.25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4</v>
      </c>
    </row>
    <row r="2" spans="2:14" ht="39.950000000000003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2:14" ht="20.100000000000001" customHeight="1" x14ac:dyDescent="0.25"/>
    <row r="4" spans="2:14" ht="20.100000000000001" customHeight="1" x14ac:dyDescent="0.25"/>
    <row r="5" spans="2:14" ht="20.100000000000001" customHeight="1" x14ac:dyDescent="0.25"/>
    <row r="6" spans="2:14" ht="20.100000000000001" customHeight="1" x14ac:dyDescent="0.25"/>
    <row r="7" spans="2:14" ht="20.100000000000001" customHeight="1" x14ac:dyDescent="0.25"/>
    <row r="8" spans="2:14" ht="20.100000000000001" customHeight="1" x14ac:dyDescent="0.25"/>
    <row r="9" spans="2:14" ht="20.100000000000001" customHeight="1" x14ac:dyDescent="0.25"/>
    <row r="10" spans="2:14" ht="20.100000000000001" customHeight="1" x14ac:dyDescent="0.25"/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3A5C2-CD7A-46C6-947E-D12147BD1BAC}">
  <dimension ref="A1:O17"/>
  <sheetViews>
    <sheetView showGridLines="0" showRowColHeaders="0" zoomScale="130" zoomScaleNormal="130" workbookViewId="0">
      <pane ySplit="4" topLeftCell="A5" activePane="bottomLeft" state="frozen"/>
      <selection pane="bottomLeft" activeCell="B4" sqref="B4"/>
    </sheetView>
  </sheetViews>
  <sheetFormatPr defaultColWidth="0" defaultRowHeight="15" x14ac:dyDescent="0.25"/>
  <cols>
    <col min="1" max="1" width="2" customWidth="1"/>
    <col min="2" max="3" width="40.7109375" customWidth="1"/>
    <col min="4" max="4" width="13.7109375" customWidth="1"/>
    <col min="5" max="14" width="8.7109375" customWidth="1"/>
    <col min="15" max="15" width="2.7109375" customWidth="1"/>
    <col min="16" max="16384" width="9.140625" hidden="1"/>
  </cols>
  <sheetData>
    <row r="1" spans="2:14" ht="39.950000000000003" customHeight="1" x14ac:dyDescent="0.25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5</v>
      </c>
    </row>
    <row r="2" spans="2:14" ht="39.950000000000003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2:14" ht="20.100000000000001" customHeight="1" x14ac:dyDescent="0.25">
      <c r="B3" s="7" t="s">
        <v>18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2:14" ht="20.100000000000001" customHeight="1" x14ac:dyDescent="0.25">
      <c r="B4" s="8" t="s">
        <v>19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2:14" ht="20.100000000000001" customHeight="1" x14ac:dyDescent="0.25">
      <c r="B5" t="s">
        <v>20</v>
      </c>
    </row>
    <row r="6" spans="2:14" ht="20.100000000000001" customHeight="1" x14ac:dyDescent="0.25">
      <c r="B6" t="s">
        <v>21</v>
      </c>
    </row>
    <row r="7" spans="2:14" ht="20.100000000000001" customHeight="1" x14ac:dyDescent="0.25">
      <c r="B7" t="s">
        <v>22</v>
      </c>
    </row>
    <row r="8" spans="2:14" ht="20.100000000000001" customHeight="1" x14ac:dyDescent="0.25">
      <c r="B8" t="s">
        <v>23</v>
      </c>
    </row>
    <row r="9" spans="2:14" ht="20.100000000000001" customHeight="1" x14ac:dyDescent="0.25">
      <c r="B9" t="s">
        <v>24</v>
      </c>
    </row>
    <row r="10" spans="2:14" ht="20.100000000000001" customHeight="1" x14ac:dyDescent="0.25"/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</sheetData>
  <sheetProtection sheet="1" objects="1" scenarios="1" selectLockedCells="1" autoFilter="0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B94A-8EAF-4F20-BDC8-0A23C5DA15D9}">
  <dimension ref="A1:O17"/>
  <sheetViews>
    <sheetView showGridLines="0" showRowColHeaders="0" zoomScale="130" zoomScaleNormal="130" workbookViewId="0">
      <pane ySplit="4" topLeftCell="A5" activePane="bottomLeft" state="frozen"/>
      <selection pane="bottomLeft" activeCell="C4" sqref="C4"/>
    </sheetView>
  </sheetViews>
  <sheetFormatPr defaultColWidth="0" defaultRowHeight="15" x14ac:dyDescent="0.25"/>
  <cols>
    <col min="1" max="1" width="2" customWidth="1"/>
    <col min="2" max="3" width="40.7109375" customWidth="1"/>
    <col min="4" max="4" width="13.7109375" customWidth="1"/>
    <col min="5" max="14" width="8.7109375" customWidth="1"/>
    <col min="15" max="15" width="2.7109375" customWidth="1"/>
    <col min="16" max="16384" width="9.140625" hidden="1"/>
  </cols>
  <sheetData>
    <row r="1" spans="2:14" ht="39.950000000000003" customHeight="1" x14ac:dyDescent="0.25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6</v>
      </c>
    </row>
    <row r="2" spans="2:14" ht="39.950000000000003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2:14" ht="20.100000000000001" customHeight="1" x14ac:dyDescent="0.25">
      <c r="B3" s="196" t="s">
        <v>6</v>
      </c>
      <c r="C3" s="197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2:14" ht="20.100000000000001" customHeight="1" x14ac:dyDescent="0.25">
      <c r="B4" s="8" t="s">
        <v>19</v>
      </c>
      <c r="C4" s="8" t="s">
        <v>25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2:14" ht="20.100000000000001" customHeight="1" x14ac:dyDescent="0.25">
      <c r="B5" t="s">
        <v>20</v>
      </c>
      <c r="C5" t="s">
        <v>26</v>
      </c>
    </row>
    <row r="6" spans="2:14" ht="20.100000000000001" customHeight="1" x14ac:dyDescent="0.25">
      <c r="B6" t="s">
        <v>22</v>
      </c>
      <c r="C6" t="s">
        <v>27</v>
      </c>
    </row>
    <row r="7" spans="2:14" ht="20.100000000000001" customHeight="1" x14ac:dyDescent="0.25">
      <c r="B7" t="s">
        <v>23</v>
      </c>
      <c r="C7" t="s">
        <v>28</v>
      </c>
    </row>
    <row r="8" spans="2:14" ht="20.100000000000001" customHeight="1" x14ac:dyDescent="0.25">
      <c r="B8" t="s">
        <v>24</v>
      </c>
      <c r="C8" t="s">
        <v>29</v>
      </c>
    </row>
    <row r="9" spans="2:14" ht="20.100000000000001" customHeight="1" x14ac:dyDescent="0.25">
      <c r="B9" t="s">
        <v>24</v>
      </c>
      <c r="C9" t="s">
        <v>30</v>
      </c>
    </row>
    <row r="10" spans="2:14" ht="20.100000000000001" customHeight="1" x14ac:dyDescent="0.25">
      <c r="B10" t="s">
        <v>24</v>
      </c>
      <c r="C10" t="s">
        <v>31</v>
      </c>
    </row>
    <row r="11" spans="2:14" ht="20.100000000000001" customHeight="1" x14ac:dyDescent="0.25">
      <c r="B11" t="s">
        <v>24</v>
      </c>
      <c r="C11" t="s">
        <v>32</v>
      </c>
    </row>
    <row r="12" spans="2:14" ht="20.100000000000001" customHeight="1" x14ac:dyDescent="0.25">
      <c r="B12" t="s">
        <v>24</v>
      </c>
      <c r="C12" t="s">
        <v>33</v>
      </c>
    </row>
    <row r="13" spans="2:14" ht="20.100000000000001" customHeight="1" x14ac:dyDescent="0.25">
      <c r="B13" t="s">
        <v>21</v>
      </c>
      <c r="C13" t="s">
        <v>54</v>
      </c>
    </row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</sheetData>
  <sheetProtection sheet="1" objects="1" scenarios="1" selectLockedCells="1" autoFilter="0"/>
  <mergeCells count="1">
    <mergeCell ref="B3:C3"/>
  </mergeCells>
  <dataValidations count="1">
    <dataValidation type="list" allowBlank="1" showInputMessage="1" showErrorMessage="1" sqref="B5:B13" xr:uid="{2E562CCA-4632-47F8-9BAB-5A7A6303DCE3}">
      <formula1>PCEntradasN1_Nivel_1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1CDB1-636D-4B16-B340-69BD9994184D}">
  <dimension ref="A1:O17"/>
  <sheetViews>
    <sheetView showGridLines="0" showRowColHeaders="0" zoomScale="130" zoomScaleNormal="130" workbookViewId="0">
      <pane ySplit="4" topLeftCell="A5" activePane="bottomLeft" state="frozen"/>
      <selection pane="bottomLeft" activeCell="C10" sqref="C10"/>
    </sheetView>
  </sheetViews>
  <sheetFormatPr defaultColWidth="0" defaultRowHeight="15" x14ac:dyDescent="0.25"/>
  <cols>
    <col min="1" max="1" width="2" customWidth="1"/>
    <col min="2" max="3" width="40.7109375" customWidth="1"/>
    <col min="4" max="4" width="13.7109375" customWidth="1"/>
    <col min="5" max="14" width="8.7109375" customWidth="1"/>
    <col min="15" max="15" width="2.7109375" customWidth="1"/>
    <col min="16" max="16384" width="9.140625" hidden="1"/>
  </cols>
  <sheetData>
    <row r="1" spans="2:14" ht="39.950000000000003" customHeight="1" x14ac:dyDescent="0.25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8</v>
      </c>
    </row>
    <row r="2" spans="2:14" ht="39.950000000000003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2:14" ht="20.100000000000001" customHeight="1" x14ac:dyDescent="0.25">
      <c r="B3" s="7" t="s">
        <v>8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2:14" ht="20.100000000000001" customHeight="1" x14ac:dyDescent="0.25">
      <c r="B4" s="8" t="s">
        <v>19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2:14" ht="20.100000000000001" customHeight="1" x14ac:dyDescent="0.25">
      <c r="B5" t="s">
        <v>34</v>
      </c>
    </row>
    <row r="6" spans="2:14" ht="20.100000000000001" customHeight="1" x14ac:dyDescent="0.25">
      <c r="B6" t="s">
        <v>35</v>
      </c>
    </row>
    <row r="7" spans="2:14" ht="20.100000000000001" customHeight="1" x14ac:dyDescent="0.25">
      <c r="B7" t="s">
        <v>36</v>
      </c>
    </row>
    <row r="8" spans="2:14" ht="20.100000000000001" customHeight="1" x14ac:dyDescent="0.25">
      <c r="B8" t="s">
        <v>37</v>
      </c>
    </row>
    <row r="9" spans="2:14" ht="20.100000000000001" customHeight="1" x14ac:dyDescent="0.25">
      <c r="B9" t="s">
        <v>38</v>
      </c>
    </row>
    <row r="10" spans="2:14" ht="20.100000000000001" customHeight="1" x14ac:dyDescent="0.25">
      <c r="B10" t="s">
        <v>39</v>
      </c>
    </row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</sheetData>
  <sheetProtection sheet="1" objects="1" scenarios="1" selectLockedCells="1" autoFilter="0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6E357-8E37-4B34-AB56-290E99BD348B}">
  <dimension ref="A1:O17"/>
  <sheetViews>
    <sheetView showGridLines="0" showRowColHeaders="0" zoomScale="130" zoomScaleNormal="130" workbookViewId="0">
      <pane ySplit="4" topLeftCell="A5" activePane="bottomLeft" state="frozen"/>
      <selection pane="bottomLeft" activeCell="D9" sqref="D9"/>
    </sheetView>
  </sheetViews>
  <sheetFormatPr defaultColWidth="0" defaultRowHeight="15" x14ac:dyDescent="0.25"/>
  <cols>
    <col min="1" max="1" width="2" customWidth="1"/>
    <col min="2" max="3" width="40.7109375" customWidth="1"/>
    <col min="4" max="4" width="13.7109375" customWidth="1"/>
    <col min="5" max="14" width="8.7109375" customWidth="1"/>
    <col min="15" max="15" width="2.7109375" customWidth="1"/>
    <col min="16" max="16384" width="9.140625" hidden="1"/>
  </cols>
  <sheetData>
    <row r="1" spans="2:14" ht="39.950000000000003" customHeight="1" x14ac:dyDescent="0.25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7</v>
      </c>
    </row>
    <row r="2" spans="2:14" ht="39.950000000000003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2:14" ht="20.100000000000001" customHeight="1" x14ac:dyDescent="0.25">
      <c r="B3" s="198" t="s">
        <v>7</v>
      </c>
      <c r="C3" s="199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2:14" ht="20.100000000000001" customHeight="1" x14ac:dyDescent="0.25">
      <c r="B4" s="8" t="s">
        <v>19</v>
      </c>
      <c r="C4" s="8" t="s">
        <v>25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2:14" ht="20.100000000000001" customHeight="1" x14ac:dyDescent="0.25">
      <c r="B5" t="s">
        <v>34</v>
      </c>
      <c r="C5" t="s">
        <v>29</v>
      </c>
    </row>
    <row r="6" spans="2:14" ht="20.100000000000001" customHeight="1" x14ac:dyDescent="0.25">
      <c r="B6" t="s">
        <v>34</v>
      </c>
      <c r="C6" t="s">
        <v>30</v>
      </c>
    </row>
    <row r="7" spans="2:14" ht="20.100000000000001" customHeight="1" x14ac:dyDescent="0.25">
      <c r="B7" t="s">
        <v>34</v>
      </c>
      <c r="C7" t="s">
        <v>31</v>
      </c>
    </row>
    <row r="8" spans="2:14" ht="20.100000000000001" customHeight="1" x14ac:dyDescent="0.25">
      <c r="B8" t="s">
        <v>34</v>
      </c>
      <c r="C8" t="s">
        <v>33</v>
      </c>
    </row>
    <row r="9" spans="2:14" ht="20.100000000000001" customHeight="1" x14ac:dyDescent="0.25">
      <c r="B9" t="s">
        <v>34</v>
      </c>
      <c r="C9" t="s">
        <v>40</v>
      </c>
    </row>
    <row r="10" spans="2:14" ht="20.100000000000001" customHeight="1" x14ac:dyDescent="0.25">
      <c r="B10" t="s">
        <v>35</v>
      </c>
      <c r="C10" t="s">
        <v>41</v>
      </c>
    </row>
    <row r="11" spans="2:14" ht="20.100000000000001" customHeight="1" x14ac:dyDescent="0.25">
      <c r="B11" t="s">
        <v>35</v>
      </c>
      <c r="C11" t="s">
        <v>42</v>
      </c>
    </row>
    <row r="12" spans="2:14" ht="20.100000000000001" customHeight="1" x14ac:dyDescent="0.25">
      <c r="B12" t="s">
        <v>36</v>
      </c>
      <c r="C12" t="s">
        <v>43</v>
      </c>
    </row>
    <row r="13" spans="2:14" ht="20.100000000000001" customHeight="1" x14ac:dyDescent="0.25">
      <c r="B13" t="s">
        <v>36</v>
      </c>
      <c r="C13" t="s">
        <v>44</v>
      </c>
    </row>
    <row r="14" spans="2:14" ht="20.100000000000001" customHeight="1" x14ac:dyDescent="0.25">
      <c r="B14" t="s">
        <v>37</v>
      </c>
      <c r="C14" t="s">
        <v>45</v>
      </c>
    </row>
    <row r="15" spans="2:14" ht="20.100000000000001" customHeight="1" x14ac:dyDescent="0.25">
      <c r="B15" t="s">
        <v>38</v>
      </c>
      <c r="C15" t="s">
        <v>46</v>
      </c>
    </row>
    <row r="16" spans="2:14" ht="20.100000000000001" customHeight="1" x14ac:dyDescent="0.25">
      <c r="B16" t="s">
        <v>39</v>
      </c>
      <c r="C16" t="s">
        <v>54</v>
      </c>
    </row>
    <row r="17" ht="20.100000000000001" customHeight="1" x14ac:dyDescent="0.25"/>
  </sheetData>
  <sheetProtection sheet="1" objects="1" scenarios="1" selectLockedCells="1" autoFilter="0"/>
  <mergeCells count="1">
    <mergeCell ref="B3:C3"/>
  </mergeCells>
  <dataValidations count="1">
    <dataValidation type="list" allowBlank="1" showInputMessage="1" showErrorMessage="1" sqref="B5:B16" xr:uid="{0F95D0B8-5057-449B-900B-5C6F92137753}">
      <formula1>PCSaidasN1_Nivel_1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E521D-C2CE-4F68-8A71-55913E6DA6F1}">
  <dimension ref="A1:X234"/>
  <sheetViews>
    <sheetView showGridLines="0" showRowColHeaders="0" zoomScale="130" zoomScaleNormal="130" workbookViewId="0">
      <pane ySplit="3" topLeftCell="A4" activePane="bottomLeft" state="frozen"/>
      <selection activeCell="E7" sqref="E7"/>
      <selection pane="bottomLeft" activeCell="E13" sqref="E13"/>
    </sheetView>
  </sheetViews>
  <sheetFormatPr defaultColWidth="0" defaultRowHeight="20.100000000000001" customHeight="1" x14ac:dyDescent="0.25"/>
  <cols>
    <col min="1" max="1" width="2" customWidth="1"/>
    <col min="2" max="3" width="16.7109375" style="9" customWidth="1"/>
    <col min="4" max="4" width="15.7109375" style="9" customWidth="1"/>
    <col min="5" max="6" width="40.7109375" customWidth="1"/>
    <col min="7" max="7" width="25.7109375" customWidth="1"/>
    <col min="8" max="8" width="25.7109375" style="15" customWidth="1"/>
    <col min="9" max="10" width="5.7109375" hidden="1" customWidth="1"/>
    <col min="11" max="12" width="12.7109375" hidden="1" customWidth="1"/>
    <col min="13" max="14" width="8.7109375" hidden="1" customWidth="1"/>
    <col min="15" max="16" width="7.7109375" hidden="1" customWidth="1"/>
    <col min="17" max="17" width="7.7109375" style="38" hidden="1" customWidth="1"/>
    <col min="18" max="18" width="2.7109375" customWidth="1"/>
    <col min="19" max="24" width="0" hidden="1" customWidth="1"/>
    <col min="25" max="16384" width="9.140625" hidden="1"/>
  </cols>
  <sheetData>
    <row r="1" spans="2:17" ht="39.950000000000003" customHeight="1" x14ac:dyDescent="0.25">
      <c r="B1" s="200" t="s">
        <v>1</v>
      </c>
      <c r="C1" s="200"/>
      <c r="D1" s="11"/>
      <c r="E1" s="1"/>
      <c r="F1" s="1"/>
      <c r="G1" s="1"/>
      <c r="H1" s="176" t="s">
        <v>9</v>
      </c>
      <c r="I1" s="2"/>
      <c r="J1" s="13"/>
      <c r="K1" s="13"/>
      <c r="L1" s="13"/>
      <c r="M1" s="13"/>
      <c r="N1" s="13"/>
      <c r="O1" s="13"/>
      <c r="P1" s="13"/>
      <c r="Q1" s="176" t="s">
        <v>9</v>
      </c>
    </row>
    <row r="2" spans="2:17" ht="39.950000000000003" customHeight="1" x14ac:dyDescent="0.25">
      <c r="B2" s="12"/>
      <c r="C2" s="12"/>
      <c r="D2" s="12"/>
      <c r="E2" s="5"/>
      <c r="F2" s="5"/>
      <c r="G2" s="5"/>
      <c r="H2" s="14"/>
      <c r="I2" s="5"/>
      <c r="J2" s="5"/>
      <c r="K2" s="5"/>
      <c r="L2" s="5"/>
      <c r="M2" s="5"/>
      <c r="N2" s="5"/>
      <c r="O2" s="5"/>
      <c r="P2" s="5"/>
      <c r="Q2" s="177"/>
    </row>
    <row r="3" spans="2:17" ht="39.950000000000003" customHeight="1" x14ac:dyDescent="0.25">
      <c r="B3" s="16" t="s">
        <v>48</v>
      </c>
      <c r="C3" s="17" t="s">
        <v>47</v>
      </c>
      <c r="D3" s="17" t="s">
        <v>49</v>
      </c>
      <c r="E3" s="18" t="s">
        <v>50</v>
      </c>
      <c r="F3" s="18" t="s">
        <v>51</v>
      </c>
      <c r="G3" s="18" t="s">
        <v>52</v>
      </c>
      <c r="H3" s="19" t="s">
        <v>53</v>
      </c>
      <c r="I3" s="37" t="s">
        <v>532</v>
      </c>
      <c r="J3" s="37" t="s">
        <v>533</v>
      </c>
      <c r="K3" s="37" t="s">
        <v>534</v>
      </c>
      <c r="L3" s="37" t="s">
        <v>535</v>
      </c>
      <c r="M3" s="37" t="s">
        <v>540</v>
      </c>
      <c r="N3" s="37" t="s">
        <v>541</v>
      </c>
      <c r="O3" s="37" t="s">
        <v>543</v>
      </c>
      <c r="P3" s="37" t="s">
        <v>598</v>
      </c>
      <c r="Q3" s="178" t="s">
        <v>601</v>
      </c>
    </row>
    <row r="4" spans="2:17" ht="20.100000000000001" customHeight="1" x14ac:dyDescent="0.25">
      <c r="B4" s="9">
        <v>42994.360242603791</v>
      </c>
      <c r="C4" s="9">
        <v>42957</v>
      </c>
      <c r="D4" s="9">
        <v>42972.730282070355</v>
      </c>
      <c r="E4" t="s">
        <v>24</v>
      </c>
      <c r="F4" t="s">
        <v>30</v>
      </c>
      <c r="G4" t="s">
        <v>55</v>
      </c>
      <c r="H4" s="10">
        <v>1133</v>
      </c>
      <c r="I4">
        <f>IF(RegistroEntradas[[#This Row],[Data do Caixa Realizado]] = "", 0, MONTH(RegistroEntradas[[#This Row],[Data do Caixa Realizado]]))</f>
        <v>9</v>
      </c>
      <c r="J4">
        <f>IF(RegistroEntradas[[#This Row],[Data do Caixa Realizado]] = "",0,YEAR(RegistroEntradas[[#This Row],[Data do Caixa Realizado]]))</f>
        <v>2017</v>
      </c>
      <c r="K4">
        <f xml:space="preserve"> IF(RegistroEntradas[[#This Row],[Data da Competência]] = "", 0, MONTH(RegistroEntradas[[#This Row],[Data da Competência]]))</f>
        <v>8</v>
      </c>
      <c r="L4">
        <f xml:space="preserve"> IF(RegistroEntradas[[#This Row],[Data da Competência]] = "", 0, YEAR(RegistroEntradas[[#This Row],[Data da Competência]]))</f>
        <v>2017</v>
      </c>
      <c r="M4">
        <f xml:space="preserve"> IF(RegistroEntradas[[#This Row],[Data do Caixa Previsto]]="",0,MONTH(RegistroEntradas[[#This Row],[Data do Caixa Previsto]]))</f>
        <v>8</v>
      </c>
      <c r="N4">
        <f xml:space="preserve"> IF(RegistroEntradas[[#This Row],[Data do Caixa Previsto]]="",0,YEAR(RegistroEntradas[[#This Row],[Data do Caixa Previsto]]))</f>
        <v>2017</v>
      </c>
      <c r="O4" t="str">
        <f ca="1">IF(AND(RegistroEntradas[[#This Row],[Data do Caixa Previsto]]&lt;TODAY(),RegistroEntradas[[#This Row],[Data do Caixa Realizado]]=""),"Vencida","Paga")</f>
        <v>Paga</v>
      </c>
      <c r="P4" t="str">
        <f xml:space="preserve"> IF(RegistroEntradas[[#This Row],[Data da Competência]]=RegistroEntradas[[#This Row],[Data do Caixa Previsto]],"À Vista","À Prazo")</f>
        <v>À Prazo</v>
      </c>
      <c r="Q4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21.629960533435224</v>
      </c>
    </row>
    <row r="5" spans="2:17" ht="20.100000000000001" customHeight="1" x14ac:dyDescent="0.25">
      <c r="B5" s="9">
        <v>42985.921072815276</v>
      </c>
      <c r="C5" s="9">
        <v>42960</v>
      </c>
      <c r="D5" s="9">
        <v>42985.08192799228</v>
      </c>
      <c r="E5" t="s">
        <v>24</v>
      </c>
      <c r="F5" t="s">
        <v>32</v>
      </c>
      <c r="G5" t="s">
        <v>56</v>
      </c>
      <c r="H5" s="10">
        <v>164</v>
      </c>
      <c r="I5">
        <f>IF(RegistroEntradas[[#This Row],[Data do Caixa Realizado]] = "", 0, MONTH(RegistroEntradas[[#This Row],[Data do Caixa Realizado]]))</f>
        <v>9</v>
      </c>
      <c r="J5">
        <f>IF(RegistroEntradas[[#This Row],[Data do Caixa Realizado]] = "",0,YEAR(RegistroEntradas[[#This Row],[Data do Caixa Realizado]]))</f>
        <v>2017</v>
      </c>
      <c r="K5">
        <f xml:space="preserve"> IF(RegistroEntradas[[#This Row],[Data da Competência]] = "", 0, MONTH(RegistroEntradas[[#This Row],[Data da Competência]]))</f>
        <v>8</v>
      </c>
      <c r="L5">
        <f xml:space="preserve"> IF(RegistroEntradas[[#This Row],[Data da Competência]] = "", 0, YEAR(RegistroEntradas[[#This Row],[Data da Competência]]))</f>
        <v>2017</v>
      </c>
      <c r="M5">
        <f xml:space="preserve"> IF(RegistroEntradas[[#This Row],[Data do Caixa Previsto]]="",0,MONTH(RegistroEntradas[[#This Row],[Data do Caixa Previsto]]))</f>
        <v>9</v>
      </c>
      <c r="N5">
        <f xml:space="preserve"> IF(RegistroEntradas[[#This Row],[Data do Caixa Previsto]]="",0,YEAR(RegistroEntradas[[#This Row],[Data do Caixa Previsto]]))</f>
        <v>2017</v>
      </c>
      <c r="O5" t="str">
        <f ca="1">IF(AND(RegistroEntradas[[#This Row],[Data do Caixa Previsto]]&lt;TODAY(),RegistroEntradas[[#This Row],[Data do Caixa Realizado]]=""),"Vencida","Paga")</f>
        <v>Paga</v>
      </c>
      <c r="P5" t="str">
        <f xml:space="preserve"> IF(RegistroEntradas[[#This Row],[Data da Competência]]=RegistroEntradas[[#This Row],[Data do Caixa Previsto]],"À Vista","À Prazo")</f>
        <v>À Prazo</v>
      </c>
      <c r="Q5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0.83914482299587689</v>
      </c>
    </row>
    <row r="6" spans="2:17" ht="20.100000000000001" customHeight="1" x14ac:dyDescent="0.25">
      <c r="B6" s="9">
        <v>43007.497531597422</v>
      </c>
      <c r="C6" s="9">
        <v>42964</v>
      </c>
      <c r="D6" s="9">
        <v>43001.085754998392</v>
      </c>
      <c r="E6" t="s">
        <v>24</v>
      </c>
      <c r="F6" t="s">
        <v>32</v>
      </c>
      <c r="G6" t="s">
        <v>57</v>
      </c>
      <c r="H6" s="10">
        <v>2937</v>
      </c>
      <c r="I6">
        <f>IF(RegistroEntradas[[#This Row],[Data do Caixa Realizado]] = "", 0, MONTH(RegistroEntradas[[#This Row],[Data do Caixa Realizado]]))</f>
        <v>9</v>
      </c>
      <c r="J6">
        <f>IF(RegistroEntradas[[#This Row],[Data do Caixa Realizado]] = "",0,YEAR(RegistroEntradas[[#This Row],[Data do Caixa Realizado]]))</f>
        <v>2017</v>
      </c>
      <c r="K6">
        <f xml:space="preserve"> IF(RegistroEntradas[[#This Row],[Data da Competência]] = "", 0, MONTH(RegistroEntradas[[#This Row],[Data da Competência]]))</f>
        <v>8</v>
      </c>
      <c r="L6">
        <f xml:space="preserve"> IF(RegistroEntradas[[#This Row],[Data da Competência]] = "", 0, YEAR(RegistroEntradas[[#This Row],[Data da Competência]]))</f>
        <v>2017</v>
      </c>
      <c r="M6">
        <f xml:space="preserve"> IF(RegistroEntradas[[#This Row],[Data do Caixa Previsto]]="",0,MONTH(RegistroEntradas[[#This Row],[Data do Caixa Previsto]]))</f>
        <v>9</v>
      </c>
      <c r="N6">
        <f xml:space="preserve"> IF(RegistroEntradas[[#This Row],[Data do Caixa Previsto]]="",0,YEAR(RegistroEntradas[[#This Row],[Data do Caixa Previsto]]))</f>
        <v>2017</v>
      </c>
      <c r="O6" t="str">
        <f ca="1">IF(AND(RegistroEntradas[[#This Row],[Data do Caixa Previsto]]&lt;TODAY(),RegistroEntradas[[#This Row],[Data do Caixa Realizado]]=""),"Vencida","Paga")</f>
        <v>Paga</v>
      </c>
      <c r="P6" t="str">
        <f xml:space="preserve"> IF(RegistroEntradas[[#This Row],[Data da Competência]]=RegistroEntradas[[#This Row],[Data do Caixa Previsto]],"À Vista","À Prazo")</f>
        <v>À Prazo</v>
      </c>
      <c r="Q6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6.4117765990304179</v>
      </c>
    </row>
    <row r="7" spans="2:17" ht="20.100000000000001" customHeight="1" x14ac:dyDescent="0.25">
      <c r="B7" s="9">
        <v>43020.93099062844</v>
      </c>
      <c r="C7" s="9">
        <v>42969</v>
      </c>
      <c r="D7" s="9">
        <v>43020.93099062844</v>
      </c>
      <c r="E7" t="s">
        <v>24</v>
      </c>
      <c r="F7" t="s">
        <v>33</v>
      </c>
      <c r="G7" t="s">
        <v>58</v>
      </c>
      <c r="H7" s="10">
        <v>807</v>
      </c>
      <c r="I7">
        <f>IF(RegistroEntradas[[#This Row],[Data do Caixa Realizado]] = "", 0, MONTH(RegistroEntradas[[#This Row],[Data do Caixa Realizado]]))</f>
        <v>10</v>
      </c>
      <c r="J7">
        <f>IF(RegistroEntradas[[#This Row],[Data do Caixa Realizado]] = "",0,YEAR(RegistroEntradas[[#This Row],[Data do Caixa Realizado]]))</f>
        <v>2017</v>
      </c>
      <c r="K7">
        <f xml:space="preserve"> IF(RegistroEntradas[[#This Row],[Data da Competência]] = "", 0, MONTH(RegistroEntradas[[#This Row],[Data da Competência]]))</f>
        <v>8</v>
      </c>
      <c r="L7">
        <f xml:space="preserve"> IF(RegistroEntradas[[#This Row],[Data da Competência]] = "", 0, YEAR(RegistroEntradas[[#This Row],[Data da Competência]]))</f>
        <v>2017</v>
      </c>
      <c r="M7">
        <f xml:space="preserve"> IF(RegistroEntradas[[#This Row],[Data do Caixa Previsto]]="",0,MONTH(RegistroEntradas[[#This Row],[Data do Caixa Previsto]]))</f>
        <v>10</v>
      </c>
      <c r="N7">
        <f xml:space="preserve"> IF(RegistroEntradas[[#This Row],[Data do Caixa Previsto]]="",0,YEAR(RegistroEntradas[[#This Row],[Data do Caixa Previsto]]))</f>
        <v>2017</v>
      </c>
      <c r="O7" t="str">
        <f ca="1">IF(AND(RegistroEntradas[[#This Row],[Data do Caixa Previsto]]&lt;TODAY(),RegistroEntradas[[#This Row],[Data do Caixa Realizado]]=""),"Vencida","Paga")</f>
        <v>Paga</v>
      </c>
      <c r="P7" t="str">
        <f xml:space="preserve"> IF(RegistroEntradas[[#This Row],[Data da Competência]]=RegistroEntradas[[#This Row],[Data do Caixa Previsto]],"À Vista","À Prazo")</f>
        <v>À Prazo</v>
      </c>
      <c r="Q7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8" spans="2:17" ht="20.100000000000001" customHeight="1" x14ac:dyDescent="0.25">
      <c r="B8" s="9">
        <v>43014.490029992223</v>
      </c>
      <c r="C8" s="9">
        <v>42972</v>
      </c>
      <c r="D8" s="9">
        <v>43014.490029992223</v>
      </c>
      <c r="E8" t="s">
        <v>24</v>
      </c>
      <c r="F8" t="s">
        <v>30</v>
      </c>
      <c r="G8" t="s">
        <v>59</v>
      </c>
      <c r="H8" s="10">
        <v>2612</v>
      </c>
      <c r="I8">
        <f>IF(RegistroEntradas[[#This Row],[Data do Caixa Realizado]] = "", 0, MONTH(RegistroEntradas[[#This Row],[Data do Caixa Realizado]]))</f>
        <v>10</v>
      </c>
      <c r="J8">
        <f>IF(RegistroEntradas[[#This Row],[Data do Caixa Realizado]] = "",0,YEAR(RegistroEntradas[[#This Row],[Data do Caixa Realizado]]))</f>
        <v>2017</v>
      </c>
      <c r="K8">
        <f xml:space="preserve"> IF(RegistroEntradas[[#This Row],[Data da Competência]] = "", 0, MONTH(RegistroEntradas[[#This Row],[Data da Competência]]))</f>
        <v>8</v>
      </c>
      <c r="L8">
        <f xml:space="preserve"> IF(RegistroEntradas[[#This Row],[Data da Competência]] = "", 0, YEAR(RegistroEntradas[[#This Row],[Data da Competência]]))</f>
        <v>2017</v>
      </c>
      <c r="M8">
        <f xml:space="preserve"> IF(RegistroEntradas[[#This Row],[Data do Caixa Previsto]]="",0,MONTH(RegistroEntradas[[#This Row],[Data do Caixa Previsto]]))</f>
        <v>10</v>
      </c>
      <c r="N8">
        <f xml:space="preserve"> IF(RegistroEntradas[[#This Row],[Data do Caixa Previsto]]="",0,YEAR(RegistroEntradas[[#This Row],[Data do Caixa Previsto]]))</f>
        <v>2017</v>
      </c>
      <c r="O8" t="str">
        <f ca="1">IF(AND(RegistroEntradas[[#This Row],[Data do Caixa Previsto]]&lt;TODAY(),RegistroEntradas[[#This Row],[Data do Caixa Realizado]]=""),"Vencida","Paga")</f>
        <v>Paga</v>
      </c>
      <c r="P8" t="str">
        <f xml:space="preserve"> IF(RegistroEntradas[[#This Row],[Data da Competência]]=RegistroEntradas[[#This Row],[Data do Caixa Previsto]],"À Vista","À Prazo")</f>
        <v>À Prazo</v>
      </c>
      <c r="Q8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9" spans="2:17" ht="20.100000000000001" customHeight="1" x14ac:dyDescent="0.25">
      <c r="B9" s="9">
        <v>43054.754604096757</v>
      </c>
      <c r="C9" s="9">
        <v>42974</v>
      </c>
      <c r="D9" s="9">
        <v>43030.597366701804</v>
      </c>
      <c r="E9" t="s">
        <v>24</v>
      </c>
      <c r="F9" t="s">
        <v>32</v>
      </c>
      <c r="G9" t="s">
        <v>60</v>
      </c>
      <c r="H9" s="10">
        <v>2483</v>
      </c>
      <c r="I9">
        <f>IF(RegistroEntradas[[#This Row],[Data do Caixa Realizado]] = "", 0, MONTH(RegistroEntradas[[#This Row],[Data do Caixa Realizado]]))</f>
        <v>11</v>
      </c>
      <c r="J9">
        <f>IF(RegistroEntradas[[#This Row],[Data do Caixa Realizado]] = "",0,YEAR(RegistroEntradas[[#This Row],[Data do Caixa Realizado]]))</f>
        <v>2017</v>
      </c>
      <c r="K9">
        <f xml:space="preserve"> IF(RegistroEntradas[[#This Row],[Data da Competência]] = "", 0, MONTH(RegistroEntradas[[#This Row],[Data da Competência]]))</f>
        <v>8</v>
      </c>
      <c r="L9">
        <f xml:space="preserve"> IF(RegistroEntradas[[#This Row],[Data da Competência]] = "", 0, YEAR(RegistroEntradas[[#This Row],[Data da Competência]]))</f>
        <v>2017</v>
      </c>
      <c r="M9">
        <f xml:space="preserve"> IF(RegistroEntradas[[#This Row],[Data do Caixa Previsto]]="",0,MONTH(RegistroEntradas[[#This Row],[Data do Caixa Previsto]]))</f>
        <v>10</v>
      </c>
      <c r="N9">
        <f xml:space="preserve"> IF(RegistroEntradas[[#This Row],[Data do Caixa Previsto]]="",0,YEAR(RegistroEntradas[[#This Row],[Data do Caixa Previsto]]))</f>
        <v>2017</v>
      </c>
      <c r="O9" t="str">
        <f ca="1">IF(AND(RegistroEntradas[[#This Row],[Data do Caixa Previsto]]&lt;TODAY(),RegistroEntradas[[#This Row],[Data do Caixa Realizado]]=""),"Vencida","Paga")</f>
        <v>Paga</v>
      </c>
      <c r="P9" t="str">
        <f xml:space="preserve"> IF(RegistroEntradas[[#This Row],[Data da Competência]]=RegistroEntradas[[#This Row],[Data do Caixa Previsto]],"À Vista","À Prazo")</f>
        <v>À Prazo</v>
      </c>
      <c r="Q9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24.157237394952972</v>
      </c>
    </row>
    <row r="10" spans="2:17" ht="20.100000000000001" customHeight="1" x14ac:dyDescent="0.25">
      <c r="B10" s="9">
        <v>43087.201387518355</v>
      </c>
      <c r="C10" s="9">
        <v>42979</v>
      </c>
      <c r="D10" s="9">
        <v>43009.803181410032</v>
      </c>
      <c r="E10" t="s">
        <v>24</v>
      </c>
      <c r="F10" t="s">
        <v>30</v>
      </c>
      <c r="G10" t="s">
        <v>61</v>
      </c>
      <c r="H10" s="10">
        <v>4387</v>
      </c>
      <c r="I10">
        <f>IF(RegistroEntradas[[#This Row],[Data do Caixa Realizado]] = "", 0, MONTH(RegistroEntradas[[#This Row],[Data do Caixa Realizado]]))</f>
        <v>12</v>
      </c>
      <c r="J10">
        <f>IF(RegistroEntradas[[#This Row],[Data do Caixa Realizado]] = "",0,YEAR(RegistroEntradas[[#This Row],[Data do Caixa Realizado]]))</f>
        <v>2017</v>
      </c>
      <c r="K10">
        <f xml:space="preserve"> IF(RegistroEntradas[[#This Row],[Data da Competência]] = "", 0, MONTH(RegistroEntradas[[#This Row],[Data da Competência]]))</f>
        <v>9</v>
      </c>
      <c r="L10">
        <f xml:space="preserve"> IF(RegistroEntradas[[#This Row],[Data da Competência]] = "", 0, YEAR(RegistroEntradas[[#This Row],[Data da Competência]]))</f>
        <v>2017</v>
      </c>
      <c r="M10">
        <f xml:space="preserve"> IF(RegistroEntradas[[#This Row],[Data do Caixa Previsto]]="",0,MONTH(RegistroEntradas[[#This Row],[Data do Caixa Previsto]]))</f>
        <v>10</v>
      </c>
      <c r="N10">
        <f xml:space="preserve"> IF(RegistroEntradas[[#This Row],[Data do Caixa Previsto]]="",0,YEAR(RegistroEntradas[[#This Row],[Data do Caixa Previsto]]))</f>
        <v>2017</v>
      </c>
      <c r="O10" t="str">
        <f ca="1">IF(AND(RegistroEntradas[[#This Row],[Data do Caixa Previsto]]&lt;TODAY(),RegistroEntradas[[#This Row],[Data do Caixa Realizado]]=""),"Vencida","Paga")</f>
        <v>Paga</v>
      </c>
      <c r="P10" t="str">
        <f xml:space="preserve"> IF(RegistroEntradas[[#This Row],[Data da Competência]]=RegistroEntradas[[#This Row],[Data do Caixa Previsto]],"À Vista","À Prazo")</f>
        <v>À Prazo</v>
      </c>
      <c r="Q10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77.398206108322483</v>
      </c>
    </row>
    <row r="11" spans="2:17" ht="20.100000000000001" customHeight="1" x14ac:dyDescent="0.25">
      <c r="B11" s="9">
        <v>43004.688402044558</v>
      </c>
      <c r="C11" s="9">
        <v>42980</v>
      </c>
      <c r="D11" s="9">
        <v>43004.688402044558</v>
      </c>
      <c r="E11" t="s">
        <v>24</v>
      </c>
      <c r="F11" t="s">
        <v>32</v>
      </c>
      <c r="G11" t="s">
        <v>62</v>
      </c>
      <c r="H11" s="10">
        <v>4268</v>
      </c>
      <c r="I11">
        <f>IF(RegistroEntradas[[#This Row],[Data do Caixa Realizado]] = "", 0, MONTH(RegistroEntradas[[#This Row],[Data do Caixa Realizado]]))</f>
        <v>9</v>
      </c>
      <c r="J11">
        <f>IF(RegistroEntradas[[#This Row],[Data do Caixa Realizado]] = "",0,YEAR(RegistroEntradas[[#This Row],[Data do Caixa Realizado]]))</f>
        <v>2017</v>
      </c>
      <c r="K11">
        <f xml:space="preserve"> IF(RegistroEntradas[[#This Row],[Data da Competência]] = "", 0, MONTH(RegistroEntradas[[#This Row],[Data da Competência]]))</f>
        <v>9</v>
      </c>
      <c r="L11">
        <f xml:space="preserve"> IF(RegistroEntradas[[#This Row],[Data da Competência]] = "", 0, YEAR(RegistroEntradas[[#This Row],[Data da Competência]]))</f>
        <v>2017</v>
      </c>
      <c r="M11">
        <f xml:space="preserve"> IF(RegistroEntradas[[#This Row],[Data do Caixa Previsto]]="",0,MONTH(RegistroEntradas[[#This Row],[Data do Caixa Previsto]]))</f>
        <v>9</v>
      </c>
      <c r="N11">
        <f xml:space="preserve"> IF(RegistroEntradas[[#This Row],[Data do Caixa Previsto]]="",0,YEAR(RegistroEntradas[[#This Row],[Data do Caixa Previsto]]))</f>
        <v>2017</v>
      </c>
      <c r="O11" t="str">
        <f ca="1">IF(AND(RegistroEntradas[[#This Row],[Data do Caixa Previsto]]&lt;TODAY(),RegistroEntradas[[#This Row],[Data do Caixa Realizado]]=""),"Vencida","Paga")</f>
        <v>Paga</v>
      </c>
      <c r="P11" t="str">
        <f xml:space="preserve"> IF(RegistroEntradas[[#This Row],[Data da Competência]]=RegistroEntradas[[#This Row],[Data do Caixa Previsto]],"À Vista","À Prazo")</f>
        <v>À Prazo</v>
      </c>
      <c r="Q11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12" spans="2:17" ht="20.100000000000001" customHeight="1" x14ac:dyDescent="0.25">
      <c r="B12" s="9">
        <v>43015.979718768547</v>
      </c>
      <c r="C12" s="9">
        <v>42984</v>
      </c>
      <c r="D12" s="9">
        <v>43015.979718768547</v>
      </c>
      <c r="E12" t="s">
        <v>24</v>
      </c>
      <c r="F12" t="s">
        <v>32</v>
      </c>
      <c r="G12" t="s">
        <v>63</v>
      </c>
      <c r="H12" s="10">
        <v>3761</v>
      </c>
      <c r="I12">
        <f>IF(RegistroEntradas[[#This Row],[Data do Caixa Realizado]] = "", 0, MONTH(RegistroEntradas[[#This Row],[Data do Caixa Realizado]]))</f>
        <v>10</v>
      </c>
      <c r="J12">
        <f>IF(RegistroEntradas[[#This Row],[Data do Caixa Realizado]] = "",0,YEAR(RegistroEntradas[[#This Row],[Data do Caixa Realizado]]))</f>
        <v>2017</v>
      </c>
      <c r="K12">
        <f xml:space="preserve"> IF(RegistroEntradas[[#This Row],[Data da Competência]] = "", 0, MONTH(RegistroEntradas[[#This Row],[Data da Competência]]))</f>
        <v>9</v>
      </c>
      <c r="L12">
        <f xml:space="preserve"> IF(RegistroEntradas[[#This Row],[Data da Competência]] = "", 0, YEAR(RegistroEntradas[[#This Row],[Data da Competência]]))</f>
        <v>2017</v>
      </c>
      <c r="M12">
        <f xml:space="preserve"> IF(RegistroEntradas[[#This Row],[Data do Caixa Previsto]]="",0,MONTH(RegistroEntradas[[#This Row],[Data do Caixa Previsto]]))</f>
        <v>10</v>
      </c>
      <c r="N12">
        <f xml:space="preserve"> IF(RegistroEntradas[[#This Row],[Data do Caixa Previsto]]="",0,YEAR(RegistroEntradas[[#This Row],[Data do Caixa Previsto]]))</f>
        <v>2017</v>
      </c>
      <c r="O12" t="str">
        <f ca="1">IF(AND(RegistroEntradas[[#This Row],[Data do Caixa Previsto]]&lt;TODAY(),RegistroEntradas[[#This Row],[Data do Caixa Realizado]]=""),"Vencida","Paga")</f>
        <v>Paga</v>
      </c>
      <c r="P12" t="str">
        <f xml:space="preserve"> IF(RegistroEntradas[[#This Row],[Data da Competência]]=RegistroEntradas[[#This Row],[Data do Caixa Previsto]],"À Vista","À Prazo")</f>
        <v>À Prazo</v>
      </c>
      <c r="Q12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13" spans="2:17" ht="20.100000000000001" customHeight="1" x14ac:dyDescent="0.25">
      <c r="B13" s="9" t="s">
        <v>64</v>
      </c>
      <c r="C13" s="9">
        <v>42988</v>
      </c>
      <c r="D13" s="9">
        <v>43013.954304648258</v>
      </c>
      <c r="E13" t="s">
        <v>24</v>
      </c>
      <c r="F13" t="s">
        <v>32</v>
      </c>
      <c r="G13" t="s">
        <v>65</v>
      </c>
      <c r="H13" s="10">
        <v>4983</v>
      </c>
      <c r="I13">
        <f>IF(RegistroEntradas[[#This Row],[Data do Caixa Realizado]] = "", 0, MONTH(RegistroEntradas[[#This Row],[Data do Caixa Realizado]]))</f>
        <v>0</v>
      </c>
      <c r="J13">
        <f>IF(RegistroEntradas[[#This Row],[Data do Caixa Realizado]] = "",0,YEAR(RegistroEntradas[[#This Row],[Data do Caixa Realizado]]))</f>
        <v>0</v>
      </c>
      <c r="K13">
        <f xml:space="preserve"> IF(RegistroEntradas[[#This Row],[Data da Competência]] = "", 0, MONTH(RegistroEntradas[[#This Row],[Data da Competência]]))</f>
        <v>9</v>
      </c>
      <c r="L13">
        <f xml:space="preserve"> IF(RegistroEntradas[[#This Row],[Data da Competência]] = "", 0, YEAR(RegistroEntradas[[#This Row],[Data da Competência]]))</f>
        <v>2017</v>
      </c>
      <c r="M13">
        <f xml:space="preserve"> IF(RegistroEntradas[[#This Row],[Data do Caixa Previsto]]="",0,MONTH(RegistroEntradas[[#This Row],[Data do Caixa Previsto]]))</f>
        <v>10</v>
      </c>
      <c r="N13">
        <f xml:space="preserve"> IF(RegistroEntradas[[#This Row],[Data do Caixa Previsto]]="",0,YEAR(RegistroEntradas[[#This Row],[Data do Caixa Previsto]]))</f>
        <v>2017</v>
      </c>
      <c r="O13" t="str">
        <f ca="1">IF(AND(RegistroEntradas[[#This Row],[Data do Caixa Previsto]]&lt;TODAY(),RegistroEntradas[[#This Row],[Data do Caixa Realizado]]=""),"Vencida","Paga")</f>
        <v>Vencida</v>
      </c>
      <c r="P13" t="str">
        <f xml:space="preserve"> IF(RegistroEntradas[[#This Row],[Data da Competência]]=RegistroEntradas[[#This Row],[Data do Caixa Previsto]],"À Vista","À Prazo")</f>
        <v>À Prazo</v>
      </c>
      <c r="Q13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2202.0456953517423</v>
      </c>
    </row>
    <row r="14" spans="2:17" ht="20.100000000000001" customHeight="1" x14ac:dyDescent="0.25">
      <c r="B14" s="9">
        <v>42997.551902670813</v>
      </c>
      <c r="C14" s="9">
        <v>42990</v>
      </c>
      <c r="D14" s="9">
        <v>42997.551902670813</v>
      </c>
      <c r="E14" t="s">
        <v>24</v>
      </c>
      <c r="F14" t="s">
        <v>29</v>
      </c>
      <c r="G14" t="s">
        <v>66</v>
      </c>
      <c r="H14" s="10">
        <v>2502</v>
      </c>
      <c r="I14">
        <f>IF(RegistroEntradas[[#This Row],[Data do Caixa Realizado]] = "", 0, MONTH(RegistroEntradas[[#This Row],[Data do Caixa Realizado]]))</f>
        <v>9</v>
      </c>
      <c r="J14">
        <f>IF(RegistroEntradas[[#This Row],[Data do Caixa Realizado]] = "",0,YEAR(RegistroEntradas[[#This Row],[Data do Caixa Realizado]]))</f>
        <v>2017</v>
      </c>
      <c r="K14">
        <f xml:space="preserve"> IF(RegistroEntradas[[#This Row],[Data da Competência]] = "", 0, MONTH(RegistroEntradas[[#This Row],[Data da Competência]]))</f>
        <v>9</v>
      </c>
      <c r="L14">
        <f xml:space="preserve"> IF(RegistroEntradas[[#This Row],[Data da Competência]] = "", 0, YEAR(RegistroEntradas[[#This Row],[Data da Competência]]))</f>
        <v>2017</v>
      </c>
      <c r="M14">
        <f xml:space="preserve"> IF(RegistroEntradas[[#This Row],[Data do Caixa Previsto]]="",0,MONTH(RegistroEntradas[[#This Row],[Data do Caixa Previsto]]))</f>
        <v>9</v>
      </c>
      <c r="N14">
        <f xml:space="preserve"> IF(RegistroEntradas[[#This Row],[Data do Caixa Previsto]]="",0,YEAR(RegistroEntradas[[#This Row],[Data do Caixa Previsto]]))</f>
        <v>2017</v>
      </c>
      <c r="O14" t="str">
        <f ca="1">IF(AND(RegistroEntradas[[#This Row],[Data do Caixa Previsto]]&lt;TODAY(),RegistroEntradas[[#This Row],[Data do Caixa Realizado]]=""),"Vencida","Paga")</f>
        <v>Paga</v>
      </c>
      <c r="P14" t="str">
        <f xml:space="preserve"> IF(RegistroEntradas[[#This Row],[Data da Competência]]=RegistroEntradas[[#This Row],[Data do Caixa Previsto]],"À Vista","À Prazo")</f>
        <v>À Prazo</v>
      </c>
      <c r="Q14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15" spans="2:17" ht="20.100000000000001" customHeight="1" x14ac:dyDescent="0.25">
      <c r="B15" s="9">
        <v>43004.663371860901</v>
      </c>
      <c r="C15" s="9">
        <v>42994</v>
      </c>
      <c r="D15" s="9">
        <v>43002.856606349254</v>
      </c>
      <c r="E15" t="s">
        <v>24</v>
      </c>
      <c r="F15" t="s">
        <v>32</v>
      </c>
      <c r="G15" t="s">
        <v>67</v>
      </c>
      <c r="H15" s="10">
        <v>2337</v>
      </c>
      <c r="I15">
        <f>IF(RegistroEntradas[[#This Row],[Data do Caixa Realizado]] = "", 0, MONTH(RegistroEntradas[[#This Row],[Data do Caixa Realizado]]))</f>
        <v>9</v>
      </c>
      <c r="J15">
        <f>IF(RegistroEntradas[[#This Row],[Data do Caixa Realizado]] = "",0,YEAR(RegistroEntradas[[#This Row],[Data do Caixa Realizado]]))</f>
        <v>2017</v>
      </c>
      <c r="K15">
        <f xml:space="preserve"> IF(RegistroEntradas[[#This Row],[Data da Competência]] = "", 0, MONTH(RegistroEntradas[[#This Row],[Data da Competência]]))</f>
        <v>9</v>
      </c>
      <c r="L15">
        <f xml:space="preserve"> IF(RegistroEntradas[[#This Row],[Data da Competência]] = "", 0, YEAR(RegistroEntradas[[#This Row],[Data da Competência]]))</f>
        <v>2017</v>
      </c>
      <c r="M15">
        <f xml:space="preserve"> IF(RegistroEntradas[[#This Row],[Data do Caixa Previsto]]="",0,MONTH(RegistroEntradas[[#This Row],[Data do Caixa Previsto]]))</f>
        <v>9</v>
      </c>
      <c r="N15">
        <f xml:space="preserve"> IF(RegistroEntradas[[#This Row],[Data do Caixa Previsto]]="",0,YEAR(RegistroEntradas[[#This Row],[Data do Caixa Previsto]]))</f>
        <v>2017</v>
      </c>
      <c r="O15" t="str">
        <f ca="1">IF(AND(RegistroEntradas[[#This Row],[Data do Caixa Previsto]]&lt;TODAY(),RegistroEntradas[[#This Row],[Data do Caixa Realizado]]=""),"Vencida","Paga")</f>
        <v>Paga</v>
      </c>
      <c r="P15" t="str">
        <f xml:space="preserve"> IF(RegistroEntradas[[#This Row],[Data da Competência]]=RegistroEntradas[[#This Row],[Data do Caixa Previsto]],"À Vista","À Prazo")</f>
        <v>À Prazo</v>
      </c>
      <c r="Q15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1.8067655116465176</v>
      </c>
    </row>
    <row r="16" spans="2:17" ht="20.100000000000001" customHeight="1" x14ac:dyDescent="0.25">
      <c r="B16" s="9">
        <v>43010.987674560682</v>
      </c>
      <c r="C16" s="9">
        <v>43001</v>
      </c>
      <c r="D16" s="9">
        <v>43001</v>
      </c>
      <c r="E16" t="s">
        <v>24</v>
      </c>
      <c r="F16" t="s">
        <v>31</v>
      </c>
      <c r="G16" t="s">
        <v>68</v>
      </c>
      <c r="H16" s="10">
        <v>3125</v>
      </c>
      <c r="I16">
        <f>IF(RegistroEntradas[[#This Row],[Data do Caixa Realizado]] = "", 0, MONTH(RegistroEntradas[[#This Row],[Data do Caixa Realizado]]))</f>
        <v>10</v>
      </c>
      <c r="J16">
        <f>IF(RegistroEntradas[[#This Row],[Data do Caixa Realizado]] = "",0,YEAR(RegistroEntradas[[#This Row],[Data do Caixa Realizado]]))</f>
        <v>2017</v>
      </c>
      <c r="K16">
        <f xml:space="preserve"> IF(RegistroEntradas[[#This Row],[Data da Competência]] = "", 0, MONTH(RegistroEntradas[[#This Row],[Data da Competência]]))</f>
        <v>9</v>
      </c>
      <c r="L16">
        <f xml:space="preserve"> IF(RegistroEntradas[[#This Row],[Data da Competência]] = "", 0, YEAR(RegistroEntradas[[#This Row],[Data da Competência]]))</f>
        <v>2017</v>
      </c>
      <c r="M16">
        <f xml:space="preserve"> IF(RegistroEntradas[[#This Row],[Data do Caixa Previsto]]="",0,MONTH(RegistroEntradas[[#This Row],[Data do Caixa Previsto]]))</f>
        <v>9</v>
      </c>
      <c r="N16">
        <f xml:space="preserve"> IF(RegistroEntradas[[#This Row],[Data do Caixa Previsto]]="",0,YEAR(RegistroEntradas[[#This Row],[Data do Caixa Previsto]]))</f>
        <v>2017</v>
      </c>
      <c r="O16" t="str">
        <f ca="1">IF(AND(RegistroEntradas[[#This Row],[Data do Caixa Previsto]]&lt;TODAY(),RegistroEntradas[[#This Row],[Data do Caixa Realizado]]=""),"Vencida","Paga")</f>
        <v>Paga</v>
      </c>
      <c r="P16" t="str">
        <f xml:space="preserve"> IF(RegistroEntradas[[#This Row],[Data da Competência]]=RegistroEntradas[[#This Row],[Data do Caixa Previsto]],"À Vista","À Prazo")</f>
        <v>À Vista</v>
      </c>
      <c r="Q16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9.9876745606816257</v>
      </c>
    </row>
    <row r="17" spans="2:17" ht="20.100000000000001" customHeight="1" x14ac:dyDescent="0.25">
      <c r="B17" s="9">
        <v>43056.628172621648</v>
      </c>
      <c r="C17" s="9">
        <v>43004</v>
      </c>
      <c r="D17" s="9">
        <v>43056.628172621648</v>
      </c>
      <c r="E17" t="s">
        <v>24</v>
      </c>
      <c r="F17" t="s">
        <v>32</v>
      </c>
      <c r="G17" t="s">
        <v>69</v>
      </c>
      <c r="H17" s="10">
        <v>1201</v>
      </c>
      <c r="I17">
        <f>IF(RegistroEntradas[[#This Row],[Data do Caixa Realizado]] = "", 0, MONTH(RegistroEntradas[[#This Row],[Data do Caixa Realizado]]))</f>
        <v>11</v>
      </c>
      <c r="J17">
        <f>IF(RegistroEntradas[[#This Row],[Data do Caixa Realizado]] = "",0,YEAR(RegistroEntradas[[#This Row],[Data do Caixa Realizado]]))</f>
        <v>2017</v>
      </c>
      <c r="K17">
        <f xml:space="preserve"> IF(RegistroEntradas[[#This Row],[Data da Competência]] = "", 0, MONTH(RegistroEntradas[[#This Row],[Data da Competência]]))</f>
        <v>9</v>
      </c>
      <c r="L17">
        <f xml:space="preserve"> IF(RegistroEntradas[[#This Row],[Data da Competência]] = "", 0, YEAR(RegistroEntradas[[#This Row],[Data da Competência]]))</f>
        <v>2017</v>
      </c>
      <c r="M17">
        <f xml:space="preserve"> IF(RegistroEntradas[[#This Row],[Data do Caixa Previsto]]="",0,MONTH(RegistroEntradas[[#This Row],[Data do Caixa Previsto]]))</f>
        <v>11</v>
      </c>
      <c r="N17">
        <f xml:space="preserve"> IF(RegistroEntradas[[#This Row],[Data do Caixa Previsto]]="",0,YEAR(RegistroEntradas[[#This Row],[Data do Caixa Previsto]]))</f>
        <v>2017</v>
      </c>
      <c r="O17" t="str">
        <f ca="1">IF(AND(RegistroEntradas[[#This Row],[Data do Caixa Previsto]]&lt;TODAY(),RegistroEntradas[[#This Row],[Data do Caixa Realizado]]=""),"Vencida","Paga")</f>
        <v>Paga</v>
      </c>
      <c r="P17" t="str">
        <f xml:space="preserve"> IF(RegistroEntradas[[#This Row],[Data da Competência]]=RegistroEntradas[[#This Row],[Data do Caixa Previsto]],"À Vista","À Prazo")</f>
        <v>À Prazo</v>
      </c>
      <c r="Q17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18" spans="2:17" ht="15" x14ac:dyDescent="0.25">
      <c r="B18" s="9">
        <v>43033.143288673884</v>
      </c>
      <c r="C18" s="9">
        <v>43005</v>
      </c>
      <c r="D18" s="9">
        <v>43018.800773350056</v>
      </c>
      <c r="E18" t="s">
        <v>24</v>
      </c>
      <c r="F18" t="s">
        <v>30</v>
      </c>
      <c r="G18" t="s">
        <v>70</v>
      </c>
      <c r="H18" s="10">
        <v>4380</v>
      </c>
      <c r="I18">
        <f>IF(RegistroEntradas[[#This Row],[Data do Caixa Realizado]] = "", 0, MONTH(RegistroEntradas[[#This Row],[Data do Caixa Realizado]]))</f>
        <v>10</v>
      </c>
      <c r="J18">
        <f>IF(RegistroEntradas[[#This Row],[Data do Caixa Realizado]] = "",0,YEAR(RegistroEntradas[[#This Row],[Data do Caixa Realizado]]))</f>
        <v>2017</v>
      </c>
      <c r="K18">
        <f xml:space="preserve"> IF(RegistroEntradas[[#This Row],[Data da Competência]] = "", 0, MONTH(RegistroEntradas[[#This Row],[Data da Competência]]))</f>
        <v>9</v>
      </c>
      <c r="L18">
        <f xml:space="preserve"> IF(RegistroEntradas[[#This Row],[Data da Competência]] = "", 0, YEAR(RegistroEntradas[[#This Row],[Data da Competência]]))</f>
        <v>2017</v>
      </c>
      <c r="M18">
        <f xml:space="preserve"> IF(RegistroEntradas[[#This Row],[Data do Caixa Previsto]]="",0,MONTH(RegistroEntradas[[#This Row],[Data do Caixa Previsto]]))</f>
        <v>10</v>
      </c>
      <c r="N18">
        <f xml:space="preserve"> IF(RegistroEntradas[[#This Row],[Data do Caixa Previsto]]="",0,YEAR(RegistroEntradas[[#This Row],[Data do Caixa Previsto]]))</f>
        <v>2017</v>
      </c>
      <c r="O18" t="str">
        <f ca="1">IF(AND(RegistroEntradas[[#This Row],[Data do Caixa Previsto]]&lt;TODAY(),RegistroEntradas[[#This Row],[Data do Caixa Realizado]]=""),"Vencida","Paga")</f>
        <v>Paga</v>
      </c>
      <c r="P18" t="str">
        <f xml:space="preserve"> IF(RegistroEntradas[[#This Row],[Data da Competência]]=RegistroEntradas[[#This Row],[Data do Caixa Previsto]],"À Vista","À Prazo")</f>
        <v>À Prazo</v>
      </c>
      <c r="Q18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14.342515323827683</v>
      </c>
    </row>
    <row r="19" spans="2:17" ht="20.100000000000001" customHeight="1" x14ac:dyDescent="0.25">
      <c r="B19" s="9">
        <v>43019.580095755031</v>
      </c>
      <c r="C19" s="9">
        <v>43008</v>
      </c>
      <c r="D19" s="9">
        <v>43019.580095755031</v>
      </c>
      <c r="E19" t="s">
        <v>24</v>
      </c>
      <c r="F19" t="s">
        <v>31</v>
      </c>
      <c r="G19" t="s">
        <v>71</v>
      </c>
      <c r="H19" s="10">
        <v>919</v>
      </c>
      <c r="I19">
        <f>IF(RegistroEntradas[[#This Row],[Data do Caixa Realizado]] = "", 0, MONTH(RegistroEntradas[[#This Row],[Data do Caixa Realizado]]))</f>
        <v>10</v>
      </c>
      <c r="J19">
        <f>IF(RegistroEntradas[[#This Row],[Data do Caixa Realizado]] = "",0,YEAR(RegistroEntradas[[#This Row],[Data do Caixa Realizado]]))</f>
        <v>2017</v>
      </c>
      <c r="K19">
        <f xml:space="preserve"> IF(RegistroEntradas[[#This Row],[Data da Competência]] = "", 0, MONTH(RegistroEntradas[[#This Row],[Data da Competência]]))</f>
        <v>9</v>
      </c>
      <c r="L19">
        <f xml:space="preserve"> IF(RegistroEntradas[[#This Row],[Data da Competência]] = "", 0, YEAR(RegistroEntradas[[#This Row],[Data da Competência]]))</f>
        <v>2017</v>
      </c>
      <c r="M19">
        <f xml:space="preserve"> IF(RegistroEntradas[[#This Row],[Data do Caixa Previsto]]="",0,MONTH(RegistroEntradas[[#This Row],[Data do Caixa Previsto]]))</f>
        <v>10</v>
      </c>
      <c r="N19">
        <f xml:space="preserve"> IF(RegistroEntradas[[#This Row],[Data do Caixa Previsto]]="",0,YEAR(RegistroEntradas[[#This Row],[Data do Caixa Previsto]]))</f>
        <v>2017</v>
      </c>
      <c r="O19" t="str">
        <f ca="1">IF(AND(RegistroEntradas[[#This Row],[Data do Caixa Previsto]]&lt;TODAY(),RegistroEntradas[[#This Row],[Data do Caixa Realizado]]=""),"Vencida","Paga")</f>
        <v>Paga</v>
      </c>
      <c r="P19" t="str">
        <f xml:space="preserve"> IF(RegistroEntradas[[#This Row],[Data da Competência]]=RegistroEntradas[[#This Row],[Data do Caixa Previsto]],"À Vista","À Prazo")</f>
        <v>À Prazo</v>
      </c>
      <c r="Q19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20" spans="2:17" ht="20.100000000000001" customHeight="1" x14ac:dyDescent="0.25">
      <c r="B20" s="9">
        <v>43025.995076094237</v>
      </c>
      <c r="C20" s="9">
        <v>43012</v>
      </c>
      <c r="D20" s="9">
        <v>43025.995076094237</v>
      </c>
      <c r="E20" t="s">
        <v>24</v>
      </c>
      <c r="F20" t="s">
        <v>33</v>
      </c>
      <c r="G20" t="s">
        <v>72</v>
      </c>
      <c r="H20" s="10">
        <v>4590</v>
      </c>
      <c r="I20">
        <f>IF(RegistroEntradas[[#This Row],[Data do Caixa Realizado]] = "", 0, MONTH(RegistroEntradas[[#This Row],[Data do Caixa Realizado]]))</f>
        <v>10</v>
      </c>
      <c r="J20">
        <f>IF(RegistroEntradas[[#This Row],[Data do Caixa Realizado]] = "",0,YEAR(RegistroEntradas[[#This Row],[Data do Caixa Realizado]]))</f>
        <v>2017</v>
      </c>
      <c r="K20">
        <f xml:space="preserve"> IF(RegistroEntradas[[#This Row],[Data da Competência]] = "", 0, MONTH(RegistroEntradas[[#This Row],[Data da Competência]]))</f>
        <v>10</v>
      </c>
      <c r="L20">
        <f xml:space="preserve"> IF(RegistroEntradas[[#This Row],[Data da Competência]] = "", 0, YEAR(RegistroEntradas[[#This Row],[Data da Competência]]))</f>
        <v>2017</v>
      </c>
      <c r="M20">
        <f xml:space="preserve"> IF(RegistroEntradas[[#This Row],[Data do Caixa Previsto]]="",0,MONTH(RegistroEntradas[[#This Row],[Data do Caixa Previsto]]))</f>
        <v>10</v>
      </c>
      <c r="N20">
        <f xml:space="preserve"> IF(RegistroEntradas[[#This Row],[Data do Caixa Previsto]]="",0,YEAR(RegistroEntradas[[#This Row],[Data do Caixa Previsto]]))</f>
        <v>2017</v>
      </c>
      <c r="O20" t="str">
        <f ca="1">IF(AND(RegistroEntradas[[#This Row],[Data do Caixa Previsto]]&lt;TODAY(),RegistroEntradas[[#This Row],[Data do Caixa Realizado]]=""),"Vencida","Paga")</f>
        <v>Paga</v>
      </c>
      <c r="P20" t="str">
        <f xml:space="preserve"> IF(RegistroEntradas[[#This Row],[Data da Competência]]=RegistroEntradas[[#This Row],[Data do Caixa Previsto]],"À Vista","À Prazo")</f>
        <v>À Prazo</v>
      </c>
      <c r="Q20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21" spans="2:17" ht="20.100000000000001" customHeight="1" x14ac:dyDescent="0.25">
      <c r="B21" s="9">
        <v>43052.454388600381</v>
      </c>
      <c r="C21" s="9">
        <v>43015</v>
      </c>
      <c r="D21" s="9">
        <v>43052.454388600381</v>
      </c>
      <c r="E21" t="s">
        <v>24</v>
      </c>
      <c r="F21" t="s">
        <v>29</v>
      </c>
      <c r="G21" t="s">
        <v>73</v>
      </c>
      <c r="H21" s="10">
        <v>1958</v>
      </c>
      <c r="I21">
        <f>IF(RegistroEntradas[[#This Row],[Data do Caixa Realizado]] = "", 0, MONTH(RegistroEntradas[[#This Row],[Data do Caixa Realizado]]))</f>
        <v>11</v>
      </c>
      <c r="J21">
        <f>IF(RegistroEntradas[[#This Row],[Data do Caixa Realizado]] = "",0,YEAR(RegistroEntradas[[#This Row],[Data do Caixa Realizado]]))</f>
        <v>2017</v>
      </c>
      <c r="K21">
        <f xml:space="preserve"> IF(RegistroEntradas[[#This Row],[Data da Competência]] = "", 0, MONTH(RegistroEntradas[[#This Row],[Data da Competência]]))</f>
        <v>10</v>
      </c>
      <c r="L21">
        <f xml:space="preserve"> IF(RegistroEntradas[[#This Row],[Data da Competência]] = "", 0, YEAR(RegistroEntradas[[#This Row],[Data da Competência]]))</f>
        <v>2017</v>
      </c>
      <c r="M21">
        <f xml:space="preserve"> IF(RegistroEntradas[[#This Row],[Data do Caixa Previsto]]="",0,MONTH(RegistroEntradas[[#This Row],[Data do Caixa Previsto]]))</f>
        <v>11</v>
      </c>
      <c r="N21">
        <f xml:space="preserve"> IF(RegistroEntradas[[#This Row],[Data do Caixa Previsto]]="",0,YEAR(RegistroEntradas[[#This Row],[Data do Caixa Previsto]]))</f>
        <v>2017</v>
      </c>
      <c r="O21" t="str">
        <f ca="1">IF(AND(RegistroEntradas[[#This Row],[Data do Caixa Previsto]]&lt;TODAY(),RegistroEntradas[[#This Row],[Data do Caixa Realizado]]=""),"Vencida","Paga")</f>
        <v>Paga</v>
      </c>
      <c r="P21" t="str">
        <f xml:space="preserve"> IF(RegistroEntradas[[#This Row],[Data da Competência]]=RegistroEntradas[[#This Row],[Data do Caixa Previsto]],"À Vista","À Prazo")</f>
        <v>À Prazo</v>
      </c>
      <c r="Q21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22" spans="2:17" ht="20.100000000000001" customHeight="1" x14ac:dyDescent="0.25">
      <c r="B22" s="9" t="s">
        <v>64</v>
      </c>
      <c r="C22" s="9">
        <v>43017</v>
      </c>
      <c r="D22" s="9">
        <v>43043.298497771881</v>
      </c>
      <c r="E22" t="s">
        <v>24</v>
      </c>
      <c r="F22" t="s">
        <v>30</v>
      </c>
      <c r="G22" t="s">
        <v>74</v>
      </c>
      <c r="H22" s="10">
        <v>1171</v>
      </c>
      <c r="I22">
        <f>IF(RegistroEntradas[[#This Row],[Data do Caixa Realizado]] = "", 0, MONTH(RegistroEntradas[[#This Row],[Data do Caixa Realizado]]))</f>
        <v>0</v>
      </c>
      <c r="J22">
        <f>IF(RegistroEntradas[[#This Row],[Data do Caixa Realizado]] = "",0,YEAR(RegistroEntradas[[#This Row],[Data do Caixa Realizado]]))</f>
        <v>0</v>
      </c>
      <c r="K22">
        <f xml:space="preserve"> IF(RegistroEntradas[[#This Row],[Data da Competência]] = "", 0, MONTH(RegistroEntradas[[#This Row],[Data da Competência]]))</f>
        <v>10</v>
      </c>
      <c r="L22">
        <f xml:space="preserve"> IF(RegistroEntradas[[#This Row],[Data da Competência]] = "", 0, YEAR(RegistroEntradas[[#This Row],[Data da Competência]]))</f>
        <v>2017</v>
      </c>
      <c r="M22">
        <f xml:space="preserve"> IF(RegistroEntradas[[#This Row],[Data do Caixa Previsto]]="",0,MONTH(RegistroEntradas[[#This Row],[Data do Caixa Previsto]]))</f>
        <v>11</v>
      </c>
      <c r="N22">
        <f xml:space="preserve"> IF(RegistroEntradas[[#This Row],[Data do Caixa Previsto]]="",0,YEAR(RegistroEntradas[[#This Row],[Data do Caixa Previsto]]))</f>
        <v>2017</v>
      </c>
      <c r="O22" t="str">
        <f ca="1">IF(AND(RegistroEntradas[[#This Row],[Data do Caixa Previsto]]&lt;TODAY(),RegistroEntradas[[#This Row],[Data do Caixa Realizado]]=""),"Vencida","Paga")</f>
        <v>Vencida</v>
      </c>
      <c r="P22" t="str">
        <f xml:space="preserve"> IF(RegistroEntradas[[#This Row],[Data da Competência]]=RegistroEntradas[[#This Row],[Data do Caixa Previsto]],"À Vista","À Prazo")</f>
        <v>À Prazo</v>
      </c>
      <c r="Q22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2172.7015022281194</v>
      </c>
    </row>
    <row r="23" spans="2:17" ht="20.100000000000001" customHeight="1" x14ac:dyDescent="0.25">
      <c r="B23" s="9">
        <v>43134.960630268302</v>
      </c>
      <c r="C23" s="9">
        <v>43019</v>
      </c>
      <c r="D23" s="9">
        <v>43060.909367737389</v>
      </c>
      <c r="E23" t="s">
        <v>24</v>
      </c>
      <c r="F23" t="s">
        <v>32</v>
      </c>
      <c r="G23" t="s">
        <v>75</v>
      </c>
      <c r="H23" s="10">
        <v>2587</v>
      </c>
      <c r="I23">
        <f>IF(RegistroEntradas[[#This Row],[Data do Caixa Realizado]] = "", 0, MONTH(RegistroEntradas[[#This Row],[Data do Caixa Realizado]]))</f>
        <v>2</v>
      </c>
      <c r="J23">
        <f>IF(RegistroEntradas[[#This Row],[Data do Caixa Realizado]] = "",0,YEAR(RegistroEntradas[[#This Row],[Data do Caixa Realizado]]))</f>
        <v>2018</v>
      </c>
      <c r="K23">
        <f xml:space="preserve"> IF(RegistroEntradas[[#This Row],[Data da Competência]] = "", 0, MONTH(RegistroEntradas[[#This Row],[Data da Competência]]))</f>
        <v>10</v>
      </c>
      <c r="L23">
        <f xml:space="preserve"> IF(RegistroEntradas[[#This Row],[Data da Competência]] = "", 0, YEAR(RegistroEntradas[[#This Row],[Data da Competência]]))</f>
        <v>2017</v>
      </c>
      <c r="M23">
        <f xml:space="preserve"> IF(RegistroEntradas[[#This Row],[Data do Caixa Previsto]]="",0,MONTH(RegistroEntradas[[#This Row],[Data do Caixa Previsto]]))</f>
        <v>11</v>
      </c>
      <c r="N23">
        <f xml:space="preserve"> IF(RegistroEntradas[[#This Row],[Data do Caixa Previsto]]="",0,YEAR(RegistroEntradas[[#This Row],[Data do Caixa Previsto]]))</f>
        <v>2017</v>
      </c>
      <c r="O23" t="str">
        <f ca="1">IF(AND(RegistroEntradas[[#This Row],[Data do Caixa Previsto]]&lt;TODAY(),RegistroEntradas[[#This Row],[Data do Caixa Realizado]]=""),"Vencida","Paga")</f>
        <v>Paga</v>
      </c>
      <c r="P23" t="str">
        <f xml:space="preserve"> IF(RegistroEntradas[[#This Row],[Data da Competência]]=RegistroEntradas[[#This Row],[Data do Caixa Previsto]],"À Vista","À Prazo")</f>
        <v>À Prazo</v>
      </c>
      <c r="Q23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74.051262530912936</v>
      </c>
    </row>
    <row r="24" spans="2:17" ht="20.100000000000001" customHeight="1" x14ac:dyDescent="0.25">
      <c r="B24" s="9">
        <v>43045.105355406915</v>
      </c>
      <c r="C24" s="9">
        <v>43023</v>
      </c>
      <c r="D24" s="9">
        <v>43045.105355406915</v>
      </c>
      <c r="E24" t="s">
        <v>24</v>
      </c>
      <c r="F24" t="s">
        <v>32</v>
      </c>
      <c r="G24" t="s">
        <v>76</v>
      </c>
      <c r="H24" s="10">
        <v>3425</v>
      </c>
      <c r="I24">
        <f>IF(RegistroEntradas[[#This Row],[Data do Caixa Realizado]] = "", 0, MONTH(RegistroEntradas[[#This Row],[Data do Caixa Realizado]]))</f>
        <v>11</v>
      </c>
      <c r="J24">
        <f>IF(RegistroEntradas[[#This Row],[Data do Caixa Realizado]] = "",0,YEAR(RegistroEntradas[[#This Row],[Data do Caixa Realizado]]))</f>
        <v>2017</v>
      </c>
      <c r="K24">
        <f xml:space="preserve"> IF(RegistroEntradas[[#This Row],[Data da Competência]] = "", 0, MONTH(RegistroEntradas[[#This Row],[Data da Competência]]))</f>
        <v>10</v>
      </c>
      <c r="L24">
        <f xml:space="preserve"> IF(RegistroEntradas[[#This Row],[Data da Competência]] = "", 0, YEAR(RegistroEntradas[[#This Row],[Data da Competência]]))</f>
        <v>2017</v>
      </c>
      <c r="M24">
        <f xml:space="preserve"> IF(RegistroEntradas[[#This Row],[Data do Caixa Previsto]]="",0,MONTH(RegistroEntradas[[#This Row],[Data do Caixa Previsto]]))</f>
        <v>11</v>
      </c>
      <c r="N24">
        <f xml:space="preserve"> IF(RegistroEntradas[[#This Row],[Data do Caixa Previsto]]="",0,YEAR(RegistroEntradas[[#This Row],[Data do Caixa Previsto]]))</f>
        <v>2017</v>
      </c>
      <c r="O24" t="str">
        <f ca="1">IF(AND(RegistroEntradas[[#This Row],[Data do Caixa Previsto]]&lt;TODAY(),RegistroEntradas[[#This Row],[Data do Caixa Realizado]]=""),"Vencida","Paga")</f>
        <v>Paga</v>
      </c>
      <c r="P24" t="str">
        <f xml:space="preserve"> IF(RegistroEntradas[[#This Row],[Data da Competência]]=RegistroEntradas[[#This Row],[Data do Caixa Previsto]],"À Vista","À Prazo")</f>
        <v>À Prazo</v>
      </c>
      <c r="Q24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25" spans="2:17" ht="20.100000000000001" customHeight="1" x14ac:dyDescent="0.25">
      <c r="B25" s="9">
        <v>43057.775638731524</v>
      </c>
      <c r="C25" s="9">
        <v>43026</v>
      </c>
      <c r="D25" s="9">
        <v>43057.775638731524</v>
      </c>
      <c r="E25" t="s">
        <v>24</v>
      </c>
      <c r="F25" t="s">
        <v>33</v>
      </c>
      <c r="G25" t="s">
        <v>77</v>
      </c>
      <c r="H25" s="10">
        <v>4454</v>
      </c>
      <c r="I25">
        <f>IF(RegistroEntradas[[#This Row],[Data do Caixa Realizado]] = "", 0, MONTH(RegistroEntradas[[#This Row],[Data do Caixa Realizado]]))</f>
        <v>11</v>
      </c>
      <c r="J25">
        <f>IF(RegistroEntradas[[#This Row],[Data do Caixa Realizado]] = "",0,YEAR(RegistroEntradas[[#This Row],[Data do Caixa Realizado]]))</f>
        <v>2017</v>
      </c>
      <c r="K25">
        <f xml:space="preserve"> IF(RegistroEntradas[[#This Row],[Data da Competência]] = "", 0, MONTH(RegistroEntradas[[#This Row],[Data da Competência]]))</f>
        <v>10</v>
      </c>
      <c r="L25">
        <f xml:space="preserve"> IF(RegistroEntradas[[#This Row],[Data da Competência]] = "", 0, YEAR(RegistroEntradas[[#This Row],[Data da Competência]]))</f>
        <v>2017</v>
      </c>
      <c r="M25">
        <f xml:space="preserve"> IF(RegistroEntradas[[#This Row],[Data do Caixa Previsto]]="",0,MONTH(RegistroEntradas[[#This Row],[Data do Caixa Previsto]]))</f>
        <v>11</v>
      </c>
      <c r="N25">
        <f xml:space="preserve"> IF(RegistroEntradas[[#This Row],[Data do Caixa Previsto]]="",0,YEAR(RegistroEntradas[[#This Row],[Data do Caixa Previsto]]))</f>
        <v>2017</v>
      </c>
      <c r="O25" t="str">
        <f ca="1">IF(AND(RegistroEntradas[[#This Row],[Data do Caixa Previsto]]&lt;TODAY(),RegistroEntradas[[#This Row],[Data do Caixa Realizado]]=""),"Vencida","Paga")</f>
        <v>Paga</v>
      </c>
      <c r="P25" t="str">
        <f xml:space="preserve"> IF(RegistroEntradas[[#This Row],[Data da Competência]]=RegistroEntradas[[#This Row],[Data do Caixa Previsto]],"À Vista","À Prazo")</f>
        <v>À Prazo</v>
      </c>
      <c r="Q25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26" spans="2:17" ht="20.100000000000001" customHeight="1" x14ac:dyDescent="0.25">
      <c r="B26" s="9">
        <v>43037.453877289088</v>
      </c>
      <c r="C26" s="9">
        <v>43030</v>
      </c>
      <c r="D26" s="9">
        <v>43037.453877289088</v>
      </c>
      <c r="E26" t="s">
        <v>24</v>
      </c>
      <c r="F26" t="s">
        <v>30</v>
      </c>
      <c r="G26" t="s">
        <v>78</v>
      </c>
      <c r="H26" s="10">
        <v>2134</v>
      </c>
      <c r="I26">
        <f>IF(RegistroEntradas[[#This Row],[Data do Caixa Realizado]] = "", 0, MONTH(RegistroEntradas[[#This Row],[Data do Caixa Realizado]]))</f>
        <v>10</v>
      </c>
      <c r="J26">
        <f>IF(RegistroEntradas[[#This Row],[Data do Caixa Realizado]] = "",0,YEAR(RegistroEntradas[[#This Row],[Data do Caixa Realizado]]))</f>
        <v>2017</v>
      </c>
      <c r="K26">
        <f xml:space="preserve"> IF(RegistroEntradas[[#This Row],[Data da Competência]] = "", 0, MONTH(RegistroEntradas[[#This Row],[Data da Competência]]))</f>
        <v>10</v>
      </c>
      <c r="L26">
        <f xml:space="preserve"> IF(RegistroEntradas[[#This Row],[Data da Competência]] = "", 0, YEAR(RegistroEntradas[[#This Row],[Data da Competência]]))</f>
        <v>2017</v>
      </c>
      <c r="M26">
        <f xml:space="preserve"> IF(RegistroEntradas[[#This Row],[Data do Caixa Previsto]]="",0,MONTH(RegistroEntradas[[#This Row],[Data do Caixa Previsto]]))</f>
        <v>10</v>
      </c>
      <c r="N26">
        <f xml:space="preserve"> IF(RegistroEntradas[[#This Row],[Data do Caixa Previsto]]="",0,YEAR(RegistroEntradas[[#This Row],[Data do Caixa Previsto]]))</f>
        <v>2017</v>
      </c>
      <c r="O26" t="str">
        <f ca="1">IF(AND(RegistroEntradas[[#This Row],[Data do Caixa Previsto]]&lt;TODAY(),RegistroEntradas[[#This Row],[Data do Caixa Realizado]]=""),"Vencida","Paga")</f>
        <v>Paga</v>
      </c>
      <c r="P26" t="str">
        <f xml:space="preserve"> IF(RegistroEntradas[[#This Row],[Data da Competência]]=RegistroEntradas[[#This Row],[Data do Caixa Previsto]],"À Vista","À Prazo")</f>
        <v>À Prazo</v>
      </c>
      <c r="Q26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27" spans="2:17" ht="20.100000000000001" customHeight="1" x14ac:dyDescent="0.25">
      <c r="B27" s="9">
        <v>43086.43235653804</v>
      </c>
      <c r="C27" s="9">
        <v>43032</v>
      </c>
      <c r="D27" s="9">
        <v>43058.598248659349</v>
      </c>
      <c r="E27" t="s">
        <v>24</v>
      </c>
      <c r="F27" t="s">
        <v>29</v>
      </c>
      <c r="G27" t="s">
        <v>79</v>
      </c>
      <c r="H27" s="10">
        <v>257</v>
      </c>
      <c r="I27">
        <f>IF(RegistroEntradas[[#This Row],[Data do Caixa Realizado]] = "", 0, MONTH(RegistroEntradas[[#This Row],[Data do Caixa Realizado]]))</f>
        <v>12</v>
      </c>
      <c r="J27">
        <f>IF(RegistroEntradas[[#This Row],[Data do Caixa Realizado]] = "",0,YEAR(RegistroEntradas[[#This Row],[Data do Caixa Realizado]]))</f>
        <v>2017</v>
      </c>
      <c r="K27">
        <f xml:space="preserve"> IF(RegistroEntradas[[#This Row],[Data da Competência]] = "", 0, MONTH(RegistroEntradas[[#This Row],[Data da Competência]]))</f>
        <v>10</v>
      </c>
      <c r="L27">
        <f xml:space="preserve"> IF(RegistroEntradas[[#This Row],[Data da Competência]] = "", 0, YEAR(RegistroEntradas[[#This Row],[Data da Competência]]))</f>
        <v>2017</v>
      </c>
      <c r="M27">
        <f xml:space="preserve"> IF(RegistroEntradas[[#This Row],[Data do Caixa Previsto]]="",0,MONTH(RegistroEntradas[[#This Row],[Data do Caixa Previsto]]))</f>
        <v>11</v>
      </c>
      <c r="N27">
        <f xml:space="preserve"> IF(RegistroEntradas[[#This Row],[Data do Caixa Previsto]]="",0,YEAR(RegistroEntradas[[#This Row],[Data do Caixa Previsto]]))</f>
        <v>2017</v>
      </c>
      <c r="O27" t="str">
        <f ca="1">IF(AND(RegistroEntradas[[#This Row],[Data do Caixa Previsto]]&lt;TODAY(),RegistroEntradas[[#This Row],[Data do Caixa Realizado]]=""),"Vencida","Paga")</f>
        <v>Paga</v>
      </c>
      <c r="P27" t="str">
        <f xml:space="preserve"> IF(RegistroEntradas[[#This Row],[Data da Competência]]=RegistroEntradas[[#This Row],[Data do Caixa Previsto]],"À Vista","À Prazo")</f>
        <v>À Prazo</v>
      </c>
      <c r="Q27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27.834107878690702</v>
      </c>
    </row>
    <row r="28" spans="2:17" ht="20.100000000000001" customHeight="1" x14ac:dyDescent="0.25">
      <c r="B28" s="9">
        <v>43068.089414353737</v>
      </c>
      <c r="C28" s="9">
        <v>43032</v>
      </c>
      <c r="D28" s="9">
        <v>43068.089414353737</v>
      </c>
      <c r="E28" t="s">
        <v>24</v>
      </c>
      <c r="F28" t="s">
        <v>31</v>
      </c>
      <c r="G28" t="s">
        <v>80</v>
      </c>
      <c r="H28" s="10">
        <v>2019</v>
      </c>
      <c r="I28">
        <f>IF(RegistroEntradas[[#This Row],[Data do Caixa Realizado]] = "", 0, MONTH(RegistroEntradas[[#This Row],[Data do Caixa Realizado]]))</f>
        <v>11</v>
      </c>
      <c r="J28">
        <f>IF(RegistroEntradas[[#This Row],[Data do Caixa Realizado]] = "",0,YEAR(RegistroEntradas[[#This Row],[Data do Caixa Realizado]]))</f>
        <v>2017</v>
      </c>
      <c r="K28">
        <f xml:space="preserve"> IF(RegistroEntradas[[#This Row],[Data da Competência]] = "", 0, MONTH(RegistroEntradas[[#This Row],[Data da Competência]]))</f>
        <v>10</v>
      </c>
      <c r="L28">
        <f xml:space="preserve"> IF(RegistroEntradas[[#This Row],[Data da Competência]] = "", 0, YEAR(RegistroEntradas[[#This Row],[Data da Competência]]))</f>
        <v>2017</v>
      </c>
      <c r="M28">
        <f xml:space="preserve"> IF(RegistroEntradas[[#This Row],[Data do Caixa Previsto]]="",0,MONTH(RegistroEntradas[[#This Row],[Data do Caixa Previsto]]))</f>
        <v>11</v>
      </c>
      <c r="N28">
        <f xml:space="preserve"> IF(RegistroEntradas[[#This Row],[Data do Caixa Previsto]]="",0,YEAR(RegistroEntradas[[#This Row],[Data do Caixa Previsto]]))</f>
        <v>2017</v>
      </c>
      <c r="O28" t="str">
        <f ca="1">IF(AND(RegistroEntradas[[#This Row],[Data do Caixa Previsto]]&lt;TODAY(),RegistroEntradas[[#This Row],[Data do Caixa Realizado]]=""),"Vencida","Paga")</f>
        <v>Paga</v>
      </c>
      <c r="P28" t="str">
        <f xml:space="preserve"> IF(RegistroEntradas[[#This Row],[Data da Competência]]=RegistroEntradas[[#This Row],[Data do Caixa Previsto]],"À Vista","À Prazo")</f>
        <v>À Prazo</v>
      </c>
      <c r="Q28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29" spans="2:17" ht="20.100000000000001" customHeight="1" x14ac:dyDescent="0.25">
      <c r="B29" s="9">
        <v>43091.729186681107</v>
      </c>
      <c r="C29" s="9">
        <v>43034</v>
      </c>
      <c r="D29" s="9">
        <v>43091.729186681107</v>
      </c>
      <c r="E29" t="s">
        <v>24</v>
      </c>
      <c r="F29" t="s">
        <v>32</v>
      </c>
      <c r="G29" t="s">
        <v>81</v>
      </c>
      <c r="H29" s="10">
        <v>3696</v>
      </c>
      <c r="I29">
        <f>IF(RegistroEntradas[[#This Row],[Data do Caixa Realizado]] = "", 0, MONTH(RegistroEntradas[[#This Row],[Data do Caixa Realizado]]))</f>
        <v>12</v>
      </c>
      <c r="J29">
        <f>IF(RegistroEntradas[[#This Row],[Data do Caixa Realizado]] = "",0,YEAR(RegistroEntradas[[#This Row],[Data do Caixa Realizado]]))</f>
        <v>2017</v>
      </c>
      <c r="K29">
        <f xml:space="preserve"> IF(RegistroEntradas[[#This Row],[Data da Competência]] = "", 0, MONTH(RegistroEntradas[[#This Row],[Data da Competência]]))</f>
        <v>10</v>
      </c>
      <c r="L29">
        <f xml:space="preserve"> IF(RegistroEntradas[[#This Row],[Data da Competência]] = "", 0, YEAR(RegistroEntradas[[#This Row],[Data da Competência]]))</f>
        <v>2017</v>
      </c>
      <c r="M29">
        <f xml:space="preserve"> IF(RegistroEntradas[[#This Row],[Data do Caixa Previsto]]="",0,MONTH(RegistroEntradas[[#This Row],[Data do Caixa Previsto]]))</f>
        <v>12</v>
      </c>
      <c r="N29">
        <f xml:space="preserve"> IF(RegistroEntradas[[#This Row],[Data do Caixa Previsto]]="",0,YEAR(RegistroEntradas[[#This Row],[Data do Caixa Previsto]]))</f>
        <v>2017</v>
      </c>
      <c r="O29" t="str">
        <f ca="1">IF(AND(RegistroEntradas[[#This Row],[Data do Caixa Previsto]]&lt;TODAY(),RegistroEntradas[[#This Row],[Data do Caixa Realizado]]=""),"Vencida","Paga")</f>
        <v>Paga</v>
      </c>
      <c r="P29" t="str">
        <f xml:space="preserve"> IF(RegistroEntradas[[#This Row],[Data da Competência]]=RegistroEntradas[[#This Row],[Data do Caixa Previsto]],"À Vista","À Prazo")</f>
        <v>À Prazo</v>
      </c>
      <c r="Q29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30" spans="2:17" ht="20.100000000000001" customHeight="1" x14ac:dyDescent="0.25">
      <c r="B30" s="9">
        <v>43052.461098465239</v>
      </c>
      <c r="C30" s="9">
        <v>43038</v>
      </c>
      <c r="D30" s="9">
        <v>43052.461098465239</v>
      </c>
      <c r="E30" t="s">
        <v>24</v>
      </c>
      <c r="F30" t="s">
        <v>31</v>
      </c>
      <c r="G30" t="s">
        <v>82</v>
      </c>
      <c r="H30" s="10">
        <v>4446</v>
      </c>
      <c r="I30">
        <f>IF(RegistroEntradas[[#This Row],[Data do Caixa Realizado]] = "", 0, MONTH(RegistroEntradas[[#This Row],[Data do Caixa Realizado]]))</f>
        <v>11</v>
      </c>
      <c r="J30">
        <f>IF(RegistroEntradas[[#This Row],[Data do Caixa Realizado]] = "",0,YEAR(RegistroEntradas[[#This Row],[Data do Caixa Realizado]]))</f>
        <v>2017</v>
      </c>
      <c r="K30">
        <f xml:space="preserve"> IF(RegistroEntradas[[#This Row],[Data da Competência]] = "", 0, MONTH(RegistroEntradas[[#This Row],[Data da Competência]]))</f>
        <v>10</v>
      </c>
      <c r="L30">
        <f xml:space="preserve"> IF(RegistroEntradas[[#This Row],[Data da Competência]] = "", 0, YEAR(RegistroEntradas[[#This Row],[Data da Competência]]))</f>
        <v>2017</v>
      </c>
      <c r="M30">
        <f xml:space="preserve"> IF(RegistroEntradas[[#This Row],[Data do Caixa Previsto]]="",0,MONTH(RegistroEntradas[[#This Row],[Data do Caixa Previsto]]))</f>
        <v>11</v>
      </c>
      <c r="N30">
        <f xml:space="preserve"> IF(RegistroEntradas[[#This Row],[Data do Caixa Previsto]]="",0,YEAR(RegistroEntradas[[#This Row],[Data do Caixa Previsto]]))</f>
        <v>2017</v>
      </c>
      <c r="O30" t="str">
        <f ca="1">IF(AND(RegistroEntradas[[#This Row],[Data do Caixa Previsto]]&lt;TODAY(),RegistroEntradas[[#This Row],[Data do Caixa Realizado]]=""),"Vencida","Paga")</f>
        <v>Paga</v>
      </c>
      <c r="P30" t="str">
        <f xml:space="preserve"> IF(RegistroEntradas[[#This Row],[Data da Competência]]=RegistroEntradas[[#This Row],[Data do Caixa Previsto]],"À Vista","À Prazo")</f>
        <v>À Prazo</v>
      </c>
      <c r="Q30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31" spans="2:17" ht="20.100000000000001" customHeight="1" x14ac:dyDescent="0.25">
      <c r="B31" s="9">
        <v>43057.597589016004</v>
      </c>
      <c r="C31" s="9">
        <v>43040</v>
      </c>
      <c r="D31" s="9">
        <v>43057.597589016004</v>
      </c>
      <c r="E31" t="s">
        <v>24</v>
      </c>
      <c r="F31" t="s">
        <v>31</v>
      </c>
      <c r="G31" t="s">
        <v>83</v>
      </c>
      <c r="H31" s="10">
        <v>1445</v>
      </c>
      <c r="I31">
        <f>IF(RegistroEntradas[[#This Row],[Data do Caixa Realizado]] = "", 0, MONTH(RegistroEntradas[[#This Row],[Data do Caixa Realizado]]))</f>
        <v>11</v>
      </c>
      <c r="J31">
        <f>IF(RegistroEntradas[[#This Row],[Data do Caixa Realizado]] = "",0,YEAR(RegistroEntradas[[#This Row],[Data do Caixa Realizado]]))</f>
        <v>2017</v>
      </c>
      <c r="K31">
        <f xml:space="preserve"> IF(RegistroEntradas[[#This Row],[Data da Competência]] = "", 0, MONTH(RegistroEntradas[[#This Row],[Data da Competência]]))</f>
        <v>11</v>
      </c>
      <c r="L31">
        <f xml:space="preserve"> IF(RegistroEntradas[[#This Row],[Data da Competência]] = "", 0, YEAR(RegistroEntradas[[#This Row],[Data da Competência]]))</f>
        <v>2017</v>
      </c>
      <c r="M31">
        <f xml:space="preserve"> IF(RegistroEntradas[[#This Row],[Data do Caixa Previsto]]="",0,MONTH(RegistroEntradas[[#This Row],[Data do Caixa Previsto]]))</f>
        <v>11</v>
      </c>
      <c r="N31">
        <f xml:space="preserve"> IF(RegistroEntradas[[#This Row],[Data do Caixa Previsto]]="",0,YEAR(RegistroEntradas[[#This Row],[Data do Caixa Previsto]]))</f>
        <v>2017</v>
      </c>
      <c r="O31" t="str">
        <f ca="1">IF(AND(RegistroEntradas[[#This Row],[Data do Caixa Previsto]]&lt;TODAY(),RegistroEntradas[[#This Row],[Data do Caixa Realizado]]=""),"Vencida","Paga")</f>
        <v>Paga</v>
      </c>
      <c r="P31" t="str">
        <f xml:space="preserve"> IF(RegistroEntradas[[#This Row],[Data da Competência]]=RegistroEntradas[[#This Row],[Data do Caixa Previsto]],"À Vista","À Prazo")</f>
        <v>À Prazo</v>
      </c>
      <c r="Q31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32" spans="2:17" ht="20.100000000000001" customHeight="1" x14ac:dyDescent="0.25">
      <c r="B32" s="9">
        <v>43082.490898737618</v>
      </c>
      <c r="C32" s="9">
        <v>43043</v>
      </c>
      <c r="D32" s="9">
        <v>43068.583109095191</v>
      </c>
      <c r="E32" t="s">
        <v>24</v>
      </c>
      <c r="F32" t="s">
        <v>30</v>
      </c>
      <c r="G32" t="s">
        <v>84</v>
      </c>
      <c r="H32" s="10">
        <v>3559</v>
      </c>
      <c r="I32">
        <f>IF(RegistroEntradas[[#This Row],[Data do Caixa Realizado]] = "", 0, MONTH(RegistroEntradas[[#This Row],[Data do Caixa Realizado]]))</f>
        <v>12</v>
      </c>
      <c r="J32">
        <f>IF(RegistroEntradas[[#This Row],[Data do Caixa Realizado]] = "",0,YEAR(RegistroEntradas[[#This Row],[Data do Caixa Realizado]]))</f>
        <v>2017</v>
      </c>
      <c r="K32">
        <f xml:space="preserve"> IF(RegistroEntradas[[#This Row],[Data da Competência]] = "", 0, MONTH(RegistroEntradas[[#This Row],[Data da Competência]]))</f>
        <v>11</v>
      </c>
      <c r="L32">
        <f xml:space="preserve"> IF(RegistroEntradas[[#This Row],[Data da Competência]] = "", 0, YEAR(RegistroEntradas[[#This Row],[Data da Competência]]))</f>
        <v>2017</v>
      </c>
      <c r="M32">
        <f xml:space="preserve"> IF(RegistroEntradas[[#This Row],[Data do Caixa Previsto]]="",0,MONTH(RegistroEntradas[[#This Row],[Data do Caixa Previsto]]))</f>
        <v>11</v>
      </c>
      <c r="N32">
        <f xml:space="preserve"> IF(RegistroEntradas[[#This Row],[Data do Caixa Previsto]]="",0,YEAR(RegistroEntradas[[#This Row],[Data do Caixa Previsto]]))</f>
        <v>2017</v>
      </c>
      <c r="O32" t="str">
        <f ca="1">IF(AND(RegistroEntradas[[#This Row],[Data do Caixa Previsto]]&lt;TODAY(),RegistroEntradas[[#This Row],[Data do Caixa Realizado]]=""),"Vencida","Paga")</f>
        <v>Paga</v>
      </c>
      <c r="P32" t="str">
        <f xml:space="preserve"> IF(RegistroEntradas[[#This Row],[Data da Competência]]=RegistroEntradas[[#This Row],[Data do Caixa Previsto]],"À Vista","À Prazo")</f>
        <v>À Prazo</v>
      </c>
      <c r="Q32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13.907789642427815</v>
      </c>
    </row>
    <row r="33" spans="2:17" ht="20.100000000000001" customHeight="1" x14ac:dyDescent="0.25">
      <c r="B33" s="9">
        <v>43073.038025931273</v>
      </c>
      <c r="C33" s="9">
        <v>43047</v>
      </c>
      <c r="D33" s="9">
        <v>43053.702992393824</v>
      </c>
      <c r="E33" t="s">
        <v>24</v>
      </c>
      <c r="F33" t="s">
        <v>32</v>
      </c>
      <c r="G33" t="s">
        <v>85</v>
      </c>
      <c r="H33" s="10">
        <v>547</v>
      </c>
      <c r="I33">
        <f>IF(RegistroEntradas[[#This Row],[Data do Caixa Realizado]] = "", 0, MONTH(RegistroEntradas[[#This Row],[Data do Caixa Realizado]]))</f>
        <v>12</v>
      </c>
      <c r="J33">
        <f>IF(RegistroEntradas[[#This Row],[Data do Caixa Realizado]] = "",0,YEAR(RegistroEntradas[[#This Row],[Data do Caixa Realizado]]))</f>
        <v>2017</v>
      </c>
      <c r="K33">
        <f xml:space="preserve"> IF(RegistroEntradas[[#This Row],[Data da Competência]] = "", 0, MONTH(RegistroEntradas[[#This Row],[Data da Competência]]))</f>
        <v>11</v>
      </c>
      <c r="L33">
        <f xml:space="preserve"> IF(RegistroEntradas[[#This Row],[Data da Competência]] = "", 0, YEAR(RegistroEntradas[[#This Row],[Data da Competência]]))</f>
        <v>2017</v>
      </c>
      <c r="M33">
        <f xml:space="preserve"> IF(RegistroEntradas[[#This Row],[Data do Caixa Previsto]]="",0,MONTH(RegistroEntradas[[#This Row],[Data do Caixa Previsto]]))</f>
        <v>11</v>
      </c>
      <c r="N33">
        <f xml:space="preserve"> IF(RegistroEntradas[[#This Row],[Data do Caixa Previsto]]="",0,YEAR(RegistroEntradas[[#This Row],[Data do Caixa Previsto]]))</f>
        <v>2017</v>
      </c>
      <c r="O33" t="str">
        <f ca="1">IF(AND(RegistroEntradas[[#This Row],[Data do Caixa Previsto]]&lt;TODAY(),RegistroEntradas[[#This Row],[Data do Caixa Realizado]]=""),"Vencida","Paga")</f>
        <v>Paga</v>
      </c>
      <c r="P33" t="str">
        <f xml:space="preserve"> IF(RegistroEntradas[[#This Row],[Data da Competência]]=RegistroEntradas[[#This Row],[Data do Caixa Previsto]],"À Vista","À Prazo")</f>
        <v>À Prazo</v>
      </c>
      <c r="Q33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19.335033537448908</v>
      </c>
    </row>
    <row r="34" spans="2:17" ht="20.100000000000001" customHeight="1" x14ac:dyDescent="0.25">
      <c r="B34" s="9">
        <v>43090.51661478445</v>
      </c>
      <c r="C34" s="9">
        <v>43051</v>
      </c>
      <c r="D34" s="9">
        <v>43090.51661478445</v>
      </c>
      <c r="E34" t="s">
        <v>24</v>
      </c>
      <c r="F34" t="s">
        <v>32</v>
      </c>
      <c r="G34" t="s">
        <v>86</v>
      </c>
      <c r="H34" s="10">
        <v>1221</v>
      </c>
      <c r="I34">
        <f>IF(RegistroEntradas[[#This Row],[Data do Caixa Realizado]] = "", 0, MONTH(RegistroEntradas[[#This Row],[Data do Caixa Realizado]]))</f>
        <v>12</v>
      </c>
      <c r="J34">
        <f>IF(RegistroEntradas[[#This Row],[Data do Caixa Realizado]] = "",0,YEAR(RegistroEntradas[[#This Row],[Data do Caixa Realizado]]))</f>
        <v>2017</v>
      </c>
      <c r="K34">
        <f xml:space="preserve"> IF(RegistroEntradas[[#This Row],[Data da Competência]] = "", 0, MONTH(RegistroEntradas[[#This Row],[Data da Competência]]))</f>
        <v>11</v>
      </c>
      <c r="L34">
        <f xml:space="preserve"> IF(RegistroEntradas[[#This Row],[Data da Competência]] = "", 0, YEAR(RegistroEntradas[[#This Row],[Data da Competência]]))</f>
        <v>2017</v>
      </c>
      <c r="M34">
        <f xml:space="preserve"> IF(RegistroEntradas[[#This Row],[Data do Caixa Previsto]]="",0,MONTH(RegistroEntradas[[#This Row],[Data do Caixa Previsto]]))</f>
        <v>12</v>
      </c>
      <c r="N34">
        <f xml:space="preserve"> IF(RegistroEntradas[[#This Row],[Data do Caixa Previsto]]="",0,YEAR(RegistroEntradas[[#This Row],[Data do Caixa Previsto]]))</f>
        <v>2017</v>
      </c>
      <c r="O34" t="str">
        <f ca="1">IF(AND(RegistroEntradas[[#This Row],[Data do Caixa Previsto]]&lt;TODAY(),RegistroEntradas[[#This Row],[Data do Caixa Realizado]]=""),"Vencida","Paga")</f>
        <v>Paga</v>
      </c>
      <c r="P34" t="str">
        <f xml:space="preserve"> IF(RegistroEntradas[[#This Row],[Data da Competência]]=RegistroEntradas[[#This Row],[Data do Caixa Previsto]],"À Vista","À Prazo")</f>
        <v>À Prazo</v>
      </c>
      <c r="Q34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35" spans="2:17" ht="20.100000000000001" customHeight="1" x14ac:dyDescent="0.25">
      <c r="B35" s="9">
        <v>43130.815754318886</v>
      </c>
      <c r="C35" s="9">
        <v>43053</v>
      </c>
      <c r="D35" s="9">
        <v>43101.638058855067</v>
      </c>
      <c r="E35" t="s">
        <v>24</v>
      </c>
      <c r="F35" t="s">
        <v>31</v>
      </c>
      <c r="G35" t="s">
        <v>87</v>
      </c>
      <c r="H35" s="10">
        <v>4108</v>
      </c>
      <c r="I35">
        <f>IF(RegistroEntradas[[#This Row],[Data do Caixa Realizado]] = "", 0, MONTH(RegistroEntradas[[#This Row],[Data do Caixa Realizado]]))</f>
        <v>1</v>
      </c>
      <c r="J35">
        <f>IF(RegistroEntradas[[#This Row],[Data do Caixa Realizado]] = "",0,YEAR(RegistroEntradas[[#This Row],[Data do Caixa Realizado]]))</f>
        <v>2018</v>
      </c>
      <c r="K35">
        <f xml:space="preserve"> IF(RegistroEntradas[[#This Row],[Data da Competência]] = "", 0, MONTH(RegistroEntradas[[#This Row],[Data da Competência]]))</f>
        <v>11</v>
      </c>
      <c r="L35">
        <f xml:space="preserve"> IF(RegistroEntradas[[#This Row],[Data da Competência]] = "", 0, YEAR(RegistroEntradas[[#This Row],[Data da Competência]]))</f>
        <v>2017</v>
      </c>
      <c r="M35">
        <f xml:space="preserve"> IF(RegistroEntradas[[#This Row],[Data do Caixa Previsto]]="",0,MONTH(RegistroEntradas[[#This Row],[Data do Caixa Previsto]]))</f>
        <v>1</v>
      </c>
      <c r="N35">
        <f xml:space="preserve"> IF(RegistroEntradas[[#This Row],[Data do Caixa Previsto]]="",0,YEAR(RegistroEntradas[[#This Row],[Data do Caixa Previsto]]))</f>
        <v>2018</v>
      </c>
      <c r="O35" t="str">
        <f ca="1">IF(AND(RegistroEntradas[[#This Row],[Data do Caixa Previsto]]&lt;TODAY(),RegistroEntradas[[#This Row],[Data do Caixa Realizado]]=""),"Vencida","Paga")</f>
        <v>Paga</v>
      </c>
      <c r="P35" t="str">
        <f xml:space="preserve"> IF(RegistroEntradas[[#This Row],[Data da Competência]]=RegistroEntradas[[#This Row],[Data do Caixa Previsto]],"À Vista","À Prazo")</f>
        <v>À Prazo</v>
      </c>
      <c r="Q35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29.177695463818964</v>
      </c>
    </row>
    <row r="36" spans="2:17" ht="20.100000000000001" customHeight="1" x14ac:dyDescent="0.25">
      <c r="B36" s="9">
        <v>43081.249044856137</v>
      </c>
      <c r="C36" s="9">
        <v>43055</v>
      </c>
      <c r="D36" s="9">
        <v>43081.249044856137</v>
      </c>
      <c r="E36" t="s">
        <v>24</v>
      </c>
      <c r="F36" t="s">
        <v>32</v>
      </c>
      <c r="G36" t="s">
        <v>88</v>
      </c>
      <c r="H36" s="10">
        <v>3714</v>
      </c>
      <c r="I36">
        <f>IF(RegistroEntradas[[#This Row],[Data do Caixa Realizado]] = "", 0, MONTH(RegistroEntradas[[#This Row],[Data do Caixa Realizado]]))</f>
        <v>12</v>
      </c>
      <c r="J36">
        <f>IF(RegistroEntradas[[#This Row],[Data do Caixa Realizado]] = "",0,YEAR(RegistroEntradas[[#This Row],[Data do Caixa Realizado]]))</f>
        <v>2017</v>
      </c>
      <c r="K36">
        <f xml:space="preserve"> IF(RegistroEntradas[[#This Row],[Data da Competência]] = "", 0, MONTH(RegistroEntradas[[#This Row],[Data da Competência]]))</f>
        <v>11</v>
      </c>
      <c r="L36">
        <f xml:space="preserve"> IF(RegistroEntradas[[#This Row],[Data da Competência]] = "", 0, YEAR(RegistroEntradas[[#This Row],[Data da Competência]]))</f>
        <v>2017</v>
      </c>
      <c r="M36">
        <f xml:space="preserve"> IF(RegistroEntradas[[#This Row],[Data do Caixa Previsto]]="",0,MONTH(RegistroEntradas[[#This Row],[Data do Caixa Previsto]]))</f>
        <v>12</v>
      </c>
      <c r="N36">
        <f xml:space="preserve"> IF(RegistroEntradas[[#This Row],[Data do Caixa Previsto]]="",0,YEAR(RegistroEntradas[[#This Row],[Data do Caixa Previsto]]))</f>
        <v>2017</v>
      </c>
      <c r="O36" t="str">
        <f ca="1">IF(AND(RegistroEntradas[[#This Row],[Data do Caixa Previsto]]&lt;TODAY(),RegistroEntradas[[#This Row],[Data do Caixa Realizado]]=""),"Vencida","Paga")</f>
        <v>Paga</v>
      </c>
      <c r="P36" t="str">
        <f xml:space="preserve"> IF(RegistroEntradas[[#This Row],[Data da Competência]]=RegistroEntradas[[#This Row],[Data do Caixa Previsto]],"À Vista","À Prazo")</f>
        <v>À Prazo</v>
      </c>
      <c r="Q36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37" spans="2:17" ht="20.100000000000001" customHeight="1" x14ac:dyDescent="0.25">
      <c r="B37" s="9">
        <v>43101.376481739084</v>
      </c>
      <c r="C37" s="9">
        <v>43057</v>
      </c>
      <c r="D37" s="9">
        <v>43101.376481739084</v>
      </c>
      <c r="E37" t="s">
        <v>24</v>
      </c>
      <c r="F37" t="s">
        <v>29</v>
      </c>
      <c r="G37" t="s">
        <v>89</v>
      </c>
      <c r="H37" s="10">
        <v>4843</v>
      </c>
      <c r="I37">
        <f>IF(RegistroEntradas[[#This Row],[Data do Caixa Realizado]] = "", 0, MONTH(RegistroEntradas[[#This Row],[Data do Caixa Realizado]]))</f>
        <v>1</v>
      </c>
      <c r="J37">
        <f>IF(RegistroEntradas[[#This Row],[Data do Caixa Realizado]] = "",0,YEAR(RegistroEntradas[[#This Row],[Data do Caixa Realizado]]))</f>
        <v>2018</v>
      </c>
      <c r="K37">
        <f xml:space="preserve"> IF(RegistroEntradas[[#This Row],[Data da Competência]] = "", 0, MONTH(RegistroEntradas[[#This Row],[Data da Competência]]))</f>
        <v>11</v>
      </c>
      <c r="L37">
        <f xml:space="preserve"> IF(RegistroEntradas[[#This Row],[Data da Competência]] = "", 0, YEAR(RegistroEntradas[[#This Row],[Data da Competência]]))</f>
        <v>2017</v>
      </c>
      <c r="M37">
        <f xml:space="preserve"> IF(RegistroEntradas[[#This Row],[Data do Caixa Previsto]]="",0,MONTH(RegistroEntradas[[#This Row],[Data do Caixa Previsto]]))</f>
        <v>1</v>
      </c>
      <c r="N37">
        <f xml:space="preserve"> IF(RegistroEntradas[[#This Row],[Data do Caixa Previsto]]="",0,YEAR(RegistroEntradas[[#This Row],[Data do Caixa Previsto]]))</f>
        <v>2018</v>
      </c>
      <c r="O37" t="str">
        <f ca="1">IF(AND(RegistroEntradas[[#This Row],[Data do Caixa Previsto]]&lt;TODAY(),RegistroEntradas[[#This Row],[Data do Caixa Realizado]]=""),"Vencida","Paga")</f>
        <v>Paga</v>
      </c>
      <c r="P37" t="str">
        <f xml:space="preserve"> IF(RegistroEntradas[[#This Row],[Data da Competência]]=RegistroEntradas[[#This Row],[Data do Caixa Previsto]],"À Vista","À Prazo")</f>
        <v>À Prazo</v>
      </c>
      <c r="Q37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38" spans="2:17" ht="20.100000000000001" customHeight="1" x14ac:dyDescent="0.25">
      <c r="B38" s="9">
        <v>43151.25396646517</v>
      </c>
      <c r="C38" s="9">
        <v>43058</v>
      </c>
      <c r="D38" s="9">
        <v>43090.626109903205</v>
      </c>
      <c r="E38" t="s">
        <v>24</v>
      </c>
      <c r="F38" t="s">
        <v>33</v>
      </c>
      <c r="G38" t="s">
        <v>90</v>
      </c>
      <c r="H38" s="10">
        <v>4831</v>
      </c>
      <c r="I38">
        <f>IF(RegistroEntradas[[#This Row],[Data do Caixa Realizado]] = "", 0, MONTH(RegistroEntradas[[#This Row],[Data do Caixa Realizado]]))</f>
        <v>2</v>
      </c>
      <c r="J38">
        <f>IF(RegistroEntradas[[#This Row],[Data do Caixa Realizado]] = "",0,YEAR(RegistroEntradas[[#This Row],[Data do Caixa Realizado]]))</f>
        <v>2018</v>
      </c>
      <c r="K38">
        <f xml:space="preserve"> IF(RegistroEntradas[[#This Row],[Data da Competência]] = "", 0, MONTH(RegistroEntradas[[#This Row],[Data da Competência]]))</f>
        <v>11</v>
      </c>
      <c r="L38">
        <f xml:space="preserve"> IF(RegistroEntradas[[#This Row],[Data da Competência]] = "", 0, YEAR(RegistroEntradas[[#This Row],[Data da Competência]]))</f>
        <v>2017</v>
      </c>
      <c r="M38">
        <f xml:space="preserve"> IF(RegistroEntradas[[#This Row],[Data do Caixa Previsto]]="",0,MONTH(RegistroEntradas[[#This Row],[Data do Caixa Previsto]]))</f>
        <v>12</v>
      </c>
      <c r="N38">
        <f xml:space="preserve"> IF(RegistroEntradas[[#This Row],[Data do Caixa Previsto]]="",0,YEAR(RegistroEntradas[[#This Row],[Data do Caixa Previsto]]))</f>
        <v>2017</v>
      </c>
      <c r="O38" t="str">
        <f ca="1">IF(AND(RegistroEntradas[[#This Row],[Data do Caixa Previsto]]&lt;TODAY(),RegistroEntradas[[#This Row],[Data do Caixa Realizado]]=""),"Vencida","Paga")</f>
        <v>Paga</v>
      </c>
      <c r="P38" t="str">
        <f xml:space="preserve"> IF(RegistroEntradas[[#This Row],[Data da Competência]]=RegistroEntradas[[#This Row],[Data do Caixa Previsto]],"À Vista","À Prazo")</f>
        <v>À Prazo</v>
      </c>
      <c r="Q38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60.627856561965018</v>
      </c>
    </row>
    <row r="39" spans="2:17" ht="20.100000000000001" customHeight="1" x14ac:dyDescent="0.25">
      <c r="B39" s="9">
        <v>43188.080050119235</v>
      </c>
      <c r="C39" s="9">
        <v>43059</v>
      </c>
      <c r="D39" s="9">
        <v>43105.942043921394</v>
      </c>
      <c r="E39" t="s">
        <v>24</v>
      </c>
      <c r="F39" t="s">
        <v>32</v>
      </c>
      <c r="G39" t="s">
        <v>91</v>
      </c>
      <c r="H39" s="10">
        <v>2072</v>
      </c>
      <c r="I39">
        <f>IF(RegistroEntradas[[#This Row],[Data do Caixa Realizado]] = "", 0, MONTH(RegistroEntradas[[#This Row],[Data do Caixa Realizado]]))</f>
        <v>3</v>
      </c>
      <c r="J39">
        <f>IF(RegistroEntradas[[#This Row],[Data do Caixa Realizado]] = "",0,YEAR(RegistroEntradas[[#This Row],[Data do Caixa Realizado]]))</f>
        <v>2018</v>
      </c>
      <c r="K39">
        <f xml:space="preserve"> IF(RegistroEntradas[[#This Row],[Data da Competência]] = "", 0, MONTH(RegistroEntradas[[#This Row],[Data da Competência]]))</f>
        <v>11</v>
      </c>
      <c r="L39">
        <f xml:space="preserve"> IF(RegistroEntradas[[#This Row],[Data da Competência]] = "", 0, YEAR(RegistroEntradas[[#This Row],[Data da Competência]]))</f>
        <v>2017</v>
      </c>
      <c r="M39">
        <f xml:space="preserve"> IF(RegistroEntradas[[#This Row],[Data do Caixa Previsto]]="",0,MONTH(RegistroEntradas[[#This Row],[Data do Caixa Previsto]]))</f>
        <v>1</v>
      </c>
      <c r="N39">
        <f xml:space="preserve"> IF(RegistroEntradas[[#This Row],[Data do Caixa Previsto]]="",0,YEAR(RegistroEntradas[[#This Row],[Data do Caixa Previsto]]))</f>
        <v>2018</v>
      </c>
      <c r="O39" t="str">
        <f ca="1">IF(AND(RegistroEntradas[[#This Row],[Data do Caixa Previsto]]&lt;TODAY(),RegistroEntradas[[#This Row],[Data do Caixa Realizado]]=""),"Vencida","Paga")</f>
        <v>Paga</v>
      </c>
      <c r="P39" t="str">
        <f xml:space="preserve"> IF(RegistroEntradas[[#This Row],[Data da Competência]]=RegistroEntradas[[#This Row],[Data do Caixa Previsto]],"À Vista","À Prazo")</f>
        <v>À Prazo</v>
      </c>
      <c r="Q39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82.138006197841605</v>
      </c>
    </row>
    <row r="40" spans="2:17" ht="20.100000000000001" customHeight="1" x14ac:dyDescent="0.25">
      <c r="B40" s="9">
        <v>43122.64068927092</v>
      </c>
      <c r="C40" s="9">
        <v>43063</v>
      </c>
      <c r="D40" s="9">
        <v>43122.64068927092</v>
      </c>
      <c r="E40" t="s">
        <v>24</v>
      </c>
      <c r="F40" t="s">
        <v>30</v>
      </c>
      <c r="G40" t="s">
        <v>92</v>
      </c>
      <c r="H40" s="10">
        <v>3992</v>
      </c>
      <c r="I40">
        <f>IF(RegistroEntradas[[#This Row],[Data do Caixa Realizado]] = "", 0, MONTH(RegistroEntradas[[#This Row],[Data do Caixa Realizado]]))</f>
        <v>1</v>
      </c>
      <c r="J40">
        <f>IF(RegistroEntradas[[#This Row],[Data do Caixa Realizado]] = "",0,YEAR(RegistroEntradas[[#This Row],[Data do Caixa Realizado]]))</f>
        <v>2018</v>
      </c>
      <c r="K40">
        <f xml:space="preserve"> IF(RegistroEntradas[[#This Row],[Data da Competência]] = "", 0, MONTH(RegistroEntradas[[#This Row],[Data da Competência]]))</f>
        <v>11</v>
      </c>
      <c r="L40">
        <f xml:space="preserve"> IF(RegistroEntradas[[#This Row],[Data da Competência]] = "", 0, YEAR(RegistroEntradas[[#This Row],[Data da Competência]]))</f>
        <v>2017</v>
      </c>
      <c r="M40">
        <f xml:space="preserve"> IF(RegistroEntradas[[#This Row],[Data do Caixa Previsto]]="",0,MONTH(RegistroEntradas[[#This Row],[Data do Caixa Previsto]]))</f>
        <v>1</v>
      </c>
      <c r="N40">
        <f xml:space="preserve"> IF(RegistroEntradas[[#This Row],[Data do Caixa Previsto]]="",0,YEAR(RegistroEntradas[[#This Row],[Data do Caixa Previsto]]))</f>
        <v>2018</v>
      </c>
      <c r="O40" t="str">
        <f ca="1">IF(AND(RegistroEntradas[[#This Row],[Data do Caixa Previsto]]&lt;TODAY(),RegistroEntradas[[#This Row],[Data do Caixa Realizado]]=""),"Vencida","Paga")</f>
        <v>Paga</v>
      </c>
      <c r="P40" t="str">
        <f xml:space="preserve"> IF(RegistroEntradas[[#This Row],[Data da Competência]]=RegistroEntradas[[#This Row],[Data do Caixa Previsto]],"À Vista","À Prazo")</f>
        <v>À Prazo</v>
      </c>
      <c r="Q40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41" spans="2:17" ht="20.100000000000001" customHeight="1" x14ac:dyDescent="0.25">
      <c r="B41" s="9" t="s">
        <v>64</v>
      </c>
      <c r="C41" s="9">
        <v>43068</v>
      </c>
      <c r="D41" s="9">
        <v>43126.500969843044</v>
      </c>
      <c r="E41" t="s">
        <v>24</v>
      </c>
      <c r="F41" t="s">
        <v>29</v>
      </c>
      <c r="G41" t="s">
        <v>93</v>
      </c>
      <c r="H41" s="10">
        <v>1284</v>
      </c>
      <c r="I41">
        <f>IF(RegistroEntradas[[#This Row],[Data do Caixa Realizado]] = "", 0, MONTH(RegistroEntradas[[#This Row],[Data do Caixa Realizado]]))</f>
        <v>0</v>
      </c>
      <c r="J41">
        <f>IF(RegistroEntradas[[#This Row],[Data do Caixa Realizado]] = "",0,YEAR(RegistroEntradas[[#This Row],[Data do Caixa Realizado]]))</f>
        <v>0</v>
      </c>
      <c r="K41">
        <f xml:space="preserve"> IF(RegistroEntradas[[#This Row],[Data da Competência]] = "", 0, MONTH(RegistroEntradas[[#This Row],[Data da Competência]]))</f>
        <v>11</v>
      </c>
      <c r="L41">
        <f xml:space="preserve"> IF(RegistroEntradas[[#This Row],[Data da Competência]] = "", 0, YEAR(RegistroEntradas[[#This Row],[Data da Competência]]))</f>
        <v>2017</v>
      </c>
      <c r="M41">
        <f xml:space="preserve"> IF(RegistroEntradas[[#This Row],[Data do Caixa Previsto]]="",0,MONTH(RegistroEntradas[[#This Row],[Data do Caixa Previsto]]))</f>
        <v>1</v>
      </c>
      <c r="N41">
        <f xml:space="preserve"> IF(RegistroEntradas[[#This Row],[Data do Caixa Previsto]]="",0,YEAR(RegistroEntradas[[#This Row],[Data do Caixa Previsto]]))</f>
        <v>2018</v>
      </c>
      <c r="O41" t="str">
        <f ca="1">IF(AND(RegistroEntradas[[#This Row],[Data do Caixa Previsto]]&lt;TODAY(),RegistroEntradas[[#This Row],[Data do Caixa Realizado]]=""),"Vencida","Paga")</f>
        <v>Vencida</v>
      </c>
      <c r="P41" t="str">
        <f xml:space="preserve"> IF(RegistroEntradas[[#This Row],[Data da Competência]]=RegistroEntradas[[#This Row],[Data do Caixa Previsto]],"À Vista","À Prazo")</f>
        <v>À Prazo</v>
      </c>
      <c r="Q41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2089.499030156956</v>
      </c>
    </row>
    <row r="42" spans="2:17" ht="20.100000000000001" customHeight="1" x14ac:dyDescent="0.25">
      <c r="B42" s="9">
        <v>43121.095142901788</v>
      </c>
      <c r="C42" s="9">
        <v>43073</v>
      </c>
      <c r="D42" s="9">
        <v>43121.095142901788</v>
      </c>
      <c r="E42" t="s">
        <v>24</v>
      </c>
      <c r="F42" t="s">
        <v>30</v>
      </c>
      <c r="G42" t="s">
        <v>94</v>
      </c>
      <c r="H42" s="10">
        <v>4073</v>
      </c>
      <c r="I42">
        <f>IF(RegistroEntradas[[#This Row],[Data do Caixa Realizado]] = "", 0, MONTH(RegistroEntradas[[#This Row],[Data do Caixa Realizado]]))</f>
        <v>1</v>
      </c>
      <c r="J42">
        <f>IF(RegistroEntradas[[#This Row],[Data do Caixa Realizado]] = "",0,YEAR(RegistroEntradas[[#This Row],[Data do Caixa Realizado]]))</f>
        <v>2018</v>
      </c>
      <c r="K42">
        <f xml:space="preserve"> IF(RegistroEntradas[[#This Row],[Data da Competência]] = "", 0, MONTH(RegistroEntradas[[#This Row],[Data da Competência]]))</f>
        <v>12</v>
      </c>
      <c r="L42">
        <f xml:space="preserve"> IF(RegistroEntradas[[#This Row],[Data da Competência]] = "", 0, YEAR(RegistroEntradas[[#This Row],[Data da Competência]]))</f>
        <v>2017</v>
      </c>
      <c r="M42">
        <f xml:space="preserve"> IF(RegistroEntradas[[#This Row],[Data do Caixa Previsto]]="",0,MONTH(RegistroEntradas[[#This Row],[Data do Caixa Previsto]]))</f>
        <v>1</v>
      </c>
      <c r="N42">
        <f xml:space="preserve"> IF(RegistroEntradas[[#This Row],[Data do Caixa Previsto]]="",0,YEAR(RegistroEntradas[[#This Row],[Data do Caixa Previsto]]))</f>
        <v>2018</v>
      </c>
      <c r="O42" t="str">
        <f ca="1">IF(AND(RegistroEntradas[[#This Row],[Data do Caixa Previsto]]&lt;TODAY(),RegistroEntradas[[#This Row],[Data do Caixa Realizado]]=""),"Vencida","Paga")</f>
        <v>Paga</v>
      </c>
      <c r="P42" t="str">
        <f xml:space="preserve"> IF(RegistroEntradas[[#This Row],[Data da Competência]]=RegistroEntradas[[#This Row],[Data do Caixa Previsto]],"À Vista","À Prazo")</f>
        <v>À Prazo</v>
      </c>
      <c r="Q42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43" spans="2:17" ht="20.100000000000001" customHeight="1" x14ac:dyDescent="0.25">
      <c r="B43" s="9">
        <v>43084.95442532179</v>
      </c>
      <c r="C43" s="9">
        <v>43073</v>
      </c>
      <c r="D43" s="9">
        <v>43084.95442532179</v>
      </c>
      <c r="E43" t="s">
        <v>24</v>
      </c>
      <c r="F43" t="s">
        <v>29</v>
      </c>
      <c r="G43" t="s">
        <v>95</v>
      </c>
      <c r="H43" s="10">
        <v>3008</v>
      </c>
      <c r="I43">
        <f>IF(RegistroEntradas[[#This Row],[Data do Caixa Realizado]] = "", 0, MONTH(RegistroEntradas[[#This Row],[Data do Caixa Realizado]]))</f>
        <v>12</v>
      </c>
      <c r="J43">
        <f>IF(RegistroEntradas[[#This Row],[Data do Caixa Realizado]] = "",0,YEAR(RegistroEntradas[[#This Row],[Data do Caixa Realizado]]))</f>
        <v>2017</v>
      </c>
      <c r="K43">
        <f xml:space="preserve"> IF(RegistroEntradas[[#This Row],[Data da Competência]] = "", 0, MONTH(RegistroEntradas[[#This Row],[Data da Competência]]))</f>
        <v>12</v>
      </c>
      <c r="L43">
        <f xml:space="preserve"> IF(RegistroEntradas[[#This Row],[Data da Competência]] = "", 0, YEAR(RegistroEntradas[[#This Row],[Data da Competência]]))</f>
        <v>2017</v>
      </c>
      <c r="M43">
        <f xml:space="preserve"> IF(RegistroEntradas[[#This Row],[Data do Caixa Previsto]]="",0,MONTH(RegistroEntradas[[#This Row],[Data do Caixa Previsto]]))</f>
        <v>12</v>
      </c>
      <c r="N43">
        <f xml:space="preserve"> IF(RegistroEntradas[[#This Row],[Data do Caixa Previsto]]="",0,YEAR(RegistroEntradas[[#This Row],[Data do Caixa Previsto]]))</f>
        <v>2017</v>
      </c>
      <c r="O43" t="str">
        <f ca="1">IF(AND(RegistroEntradas[[#This Row],[Data do Caixa Previsto]]&lt;TODAY(),RegistroEntradas[[#This Row],[Data do Caixa Realizado]]=""),"Vencida","Paga")</f>
        <v>Paga</v>
      </c>
      <c r="P43" t="str">
        <f xml:space="preserve"> IF(RegistroEntradas[[#This Row],[Data da Competência]]=RegistroEntradas[[#This Row],[Data do Caixa Previsto]],"À Vista","À Prazo")</f>
        <v>À Prazo</v>
      </c>
      <c r="Q43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44" spans="2:17" ht="20.100000000000001" customHeight="1" x14ac:dyDescent="0.25">
      <c r="B44" s="9">
        <v>43131.56407100569</v>
      </c>
      <c r="C44" s="9">
        <v>43080</v>
      </c>
      <c r="D44" s="9">
        <v>43131.56407100569</v>
      </c>
      <c r="E44" t="s">
        <v>24</v>
      </c>
      <c r="F44" t="s">
        <v>29</v>
      </c>
      <c r="G44" t="s">
        <v>96</v>
      </c>
      <c r="H44" s="10">
        <v>1267</v>
      </c>
      <c r="I44">
        <f>IF(RegistroEntradas[[#This Row],[Data do Caixa Realizado]] = "", 0, MONTH(RegistroEntradas[[#This Row],[Data do Caixa Realizado]]))</f>
        <v>1</v>
      </c>
      <c r="J44">
        <f>IF(RegistroEntradas[[#This Row],[Data do Caixa Realizado]] = "",0,YEAR(RegistroEntradas[[#This Row],[Data do Caixa Realizado]]))</f>
        <v>2018</v>
      </c>
      <c r="K44">
        <f xml:space="preserve"> IF(RegistroEntradas[[#This Row],[Data da Competência]] = "", 0, MONTH(RegistroEntradas[[#This Row],[Data da Competência]]))</f>
        <v>12</v>
      </c>
      <c r="L44">
        <f xml:space="preserve"> IF(RegistroEntradas[[#This Row],[Data da Competência]] = "", 0, YEAR(RegistroEntradas[[#This Row],[Data da Competência]]))</f>
        <v>2017</v>
      </c>
      <c r="M44">
        <f xml:space="preserve"> IF(RegistroEntradas[[#This Row],[Data do Caixa Previsto]]="",0,MONTH(RegistroEntradas[[#This Row],[Data do Caixa Previsto]]))</f>
        <v>1</v>
      </c>
      <c r="N44">
        <f xml:space="preserve"> IF(RegistroEntradas[[#This Row],[Data do Caixa Previsto]]="",0,YEAR(RegistroEntradas[[#This Row],[Data do Caixa Previsto]]))</f>
        <v>2018</v>
      </c>
      <c r="O44" t="str">
        <f ca="1">IF(AND(RegistroEntradas[[#This Row],[Data do Caixa Previsto]]&lt;TODAY(),RegistroEntradas[[#This Row],[Data do Caixa Realizado]]=""),"Vencida","Paga")</f>
        <v>Paga</v>
      </c>
      <c r="P44" t="str">
        <f xml:space="preserve"> IF(RegistroEntradas[[#This Row],[Data da Competência]]=RegistroEntradas[[#This Row],[Data do Caixa Previsto]],"À Vista","À Prazo")</f>
        <v>À Prazo</v>
      </c>
      <c r="Q44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45" spans="2:17" ht="20.100000000000001" customHeight="1" x14ac:dyDescent="0.25">
      <c r="B45" s="9">
        <v>43103.027346399656</v>
      </c>
      <c r="C45" s="9">
        <v>43082</v>
      </c>
      <c r="D45" s="9">
        <v>43103.027346399656</v>
      </c>
      <c r="E45" t="s">
        <v>24</v>
      </c>
      <c r="F45" t="s">
        <v>29</v>
      </c>
      <c r="G45" t="s">
        <v>97</v>
      </c>
      <c r="H45" s="10">
        <v>284</v>
      </c>
      <c r="I45">
        <f>IF(RegistroEntradas[[#This Row],[Data do Caixa Realizado]] = "", 0, MONTH(RegistroEntradas[[#This Row],[Data do Caixa Realizado]]))</f>
        <v>1</v>
      </c>
      <c r="J45">
        <f>IF(RegistroEntradas[[#This Row],[Data do Caixa Realizado]] = "",0,YEAR(RegistroEntradas[[#This Row],[Data do Caixa Realizado]]))</f>
        <v>2018</v>
      </c>
      <c r="K45">
        <f xml:space="preserve"> IF(RegistroEntradas[[#This Row],[Data da Competência]] = "", 0, MONTH(RegistroEntradas[[#This Row],[Data da Competência]]))</f>
        <v>12</v>
      </c>
      <c r="L45">
        <f xml:space="preserve"> IF(RegistroEntradas[[#This Row],[Data da Competência]] = "", 0, YEAR(RegistroEntradas[[#This Row],[Data da Competência]]))</f>
        <v>2017</v>
      </c>
      <c r="M45">
        <f xml:space="preserve"> IF(RegistroEntradas[[#This Row],[Data do Caixa Previsto]]="",0,MONTH(RegistroEntradas[[#This Row],[Data do Caixa Previsto]]))</f>
        <v>1</v>
      </c>
      <c r="N45">
        <f xml:space="preserve"> IF(RegistroEntradas[[#This Row],[Data do Caixa Previsto]]="",0,YEAR(RegistroEntradas[[#This Row],[Data do Caixa Previsto]]))</f>
        <v>2018</v>
      </c>
      <c r="O45" t="str">
        <f ca="1">IF(AND(RegistroEntradas[[#This Row],[Data do Caixa Previsto]]&lt;TODAY(),RegistroEntradas[[#This Row],[Data do Caixa Realizado]]=""),"Vencida","Paga")</f>
        <v>Paga</v>
      </c>
      <c r="P45" t="str">
        <f xml:space="preserve"> IF(RegistroEntradas[[#This Row],[Data da Competência]]=RegistroEntradas[[#This Row],[Data do Caixa Previsto]],"À Vista","À Prazo")</f>
        <v>À Prazo</v>
      </c>
      <c r="Q45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46" spans="2:17" ht="20.100000000000001" customHeight="1" x14ac:dyDescent="0.25">
      <c r="B46" s="9">
        <v>43086.779201496618</v>
      </c>
      <c r="C46" s="9">
        <v>43083</v>
      </c>
      <c r="D46" s="9">
        <v>43086.779201496618</v>
      </c>
      <c r="E46" t="s">
        <v>24</v>
      </c>
      <c r="F46" t="s">
        <v>32</v>
      </c>
      <c r="G46" t="s">
        <v>98</v>
      </c>
      <c r="H46" s="10">
        <v>2046</v>
      </c>
      <c r="I46">
        <f>IF(RegistroEntradas[[#This Row],[Data do Caixa Realizado]] = "", 0, MONTH(RegistroEntradas[[#This Row],[Data do Caixa Realizado]]))</f>
        <v>12</v>
      </c>
      <c r="J46">
        <f>IF(RegistroEntradas[[#This Row],[Data do Caixa Realizado]] = "",0,YEAR(RegistroEntradas[[#This Row],[Data do Caixa Realizado]]))</f>
        <v>2017</v>
      </c>
      <c r="K46">
        <f xml:space="preserve"> IF(RegistroEntradas[[#This Row],[Data da Competência]] = "", 0, MONTH(RegistroEntradas[[#This Row],[Data da Competência]]))</f>
        <v>12</v>
      </c>
      <c r="L46">
        <f xml:space="preserve"> IF(RegistroEntradas[[#This Row],[Data da Competência]] = "", 0, YEAR(RegistroEntradas[[#This Row],[Data da Competência]]))</f>
        <v>2017</v>
      </c>
      <c r="M46">
        <f xml:space="preserve"> IF(RegistroEntradas[[#This Row],[Data do Caixa Previsto]]="",0,MONTH(RegistroEntradas[[#This Row],[Data do Caixa Previsto]]))</f>
        <v>12</v>
      </c>
      <c r="N46">
        <f xml:space="preserve"> IF(RegistroEntradas[[#This Row],[Data do Caixa Previsto]]="",0,YEAR(RegistroEntradas[[#This Row],[Data do Caixa Previsto]]))</f>
        <v>2017</v>
      </c>
      <c r="O46" t="str">
        <f ca="1">IF(AND(RegistroEntradas[[#This Row],[Data do Caixa Previsto]]&lt;TODAY(),RegistroEntradas[[#This Row],[Data do Caixa Realizado]]=""),"Vencida","Paga")</f>
        <v>Paga</v>
      </c>
      <c r="P46" t="str">
        <f xml:space="preserve"> IF(RegistroEntradas[[#This Row],[Data da Competência]]=RegistroEntradas[[#This Row],[Data do Caixa Previsto]],"À Vista","À Prazo")</f>
        <v>À Prazo</v>
      </c>
      <c r="Q46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47" spans="2:17" ht="20.100000000000001" customHeight="1" x14ac:dyDescent="0.25">
      <c r="B47" s="9">
        <v>43135.384353482346</v>
      </c>
      <c r="C47" s="9">
        <v>43085</v>
      </c>
      <c r="D47" s="9">
        <v>43122.788615114718</v>
      </c>
      <c r="E47" t="s">
        <v>24</v>
      </c>
      <c r="F47" t="s">
        <v>30</v>
      </c>
      <c r="G47" t="s">
        <v>99</v>
      </c>
      <c r="H47" s="10">
        <v>3880</v>
      </c>
      <c r="I47">
        <f>IF(RegistroEntradas[[#This Row],[Data do Caixa Realizado]] = "", 0, MONTH(RegistroEntradas[[#This Row],[Data do Caixa Realizado]]))</f>
        <v>2</v>
      </c>
      <c r="J47">
        <f>IF(RegistroEntradas[[#This Row],[Data do Caixa Realizado]] = "",0,YEAR(RegistroEntradas[[#This Row],[Data do Caixa Realizado]]))</f>
        <v>2018</v>
      </c>
      <c r="K47">
        <f xml:space="preserve"> IF(RegistroEntradas[[#This Row],[Data da Competência]] = "", 0, MONTH(RegistroEntradas[[#This Row],[Data da Competência]]))</f>
        <v>12</v>
      </c>
      <c r="L47">
        <f xml:space="preserve"> IF(RegistroEntradas[[#This Row],[Data da Competência]] = "", 0, YEAR(RegistroEntradas[[#This Row],[Data da Competência]]))</f>
        <v>2017</v>
      </c>
      <c r="M47">
        <f xml:space="preserve"> IF(RegistroEntradas[[#This Row],[Data do Caixa Previsto]]="",0,MONTH(RegistroEntradas[[#This Row],[Data do Caixa Previsto]]))</f>
        <v>1</v>
      </c>
      <c r="N47">
        <f xml:space="preserve"> IF(RegistroEntradas[[#This Row],[Data do Caixa Previsto]]="",0,YEAR(RegistroEntradas[[#This Row],[Data do Caixa Previsto]]))</f>
        <v>2018</v>
      </c>
      <c r="O47" t="str">
        <f ca="1">IF(AND(RegistroEntradas[[#This Row],[Data do Caixa Previsto]]&lt;TODAY(),RegistroEntradas[[#This Row],[Data do Caixa Realizado]]=""),"Vencida","Paga")</f>
        <v>Paga</v>
      </c>
      <c r="P47" t="str">
        <f xml:space="preserve"> IF(RegistroEntradas[[#This Row],[Data da Competência]]=RegistroEntradas[[#This Row],[Data do Caixa Previsto]],"À Vista","À Prazo")</f>
        <v>À Prazo</v>
      </c>
      <c r="Q47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12.595738367628655</v>
      </c>
    </row>
    <row r="48" spans="2:17" ht="20.100000000000001" customHeight="1" x14ac:dyDescent="0.25">
      <c r="B48" s="9">
        <v>43123.054998054176</v>
      </c>
      <c r="C48" s="9">
        <v>43086</v>
      </c>
      <c r="D48" s="9">
        <v>43123.054998054176</v>
      </c>
      <c r="E48" t="s">
        <v>24</v>
      </c>
      <c r="F48" t="s">
        <v>30</v>
      </c>
      <c r="G48" t="s">
        <v>100</v>
      </c>
      <c r="H48" s="10">
        <v>3149</v>
      </c>
      <c r="I48">
        <f>IF(RegistroEntradas[[#This Row],[Data do Caixa Realizado]] = "", 0, MONTH(RegistroEntradas[[#This Row],[Data do Caixa Realizado]]))</f>
        <v>1</v>
      </c>
      <c r="J48">
        <f>IF(RegistroEntradas[[#This Row],[Data do Caixa Realizado]] = "",0,YEAR(RegistroEntradas[[#This Row],[Data do Caixa Realizado]]))</f>
        <v>2018</v>
      </c>
      <c r="K48">
        <f xml:space="preserve"> IF(RegistroEntradas[[#This Row],[Data da Competência]] = "", 0, MONTH(RegistroEntradas[[#This Row],[Data da Competência]]))</f>
        <v>12</v>
      </c>
      <c r="L48">
        <f xml:space="preserve"> IF(RegistroEntradas[[#This Row],[Data da Competência]] = "", 0, YEAR(RegistroEntradas[[#This Row],[Data da Competência]]))</f>
        <v>2017</v>
      </c>
      <c r="M48">
        <f xml:space="preserve"> IF(RegistroEntradas[[#This Row],[Data do Caixa Previsto]]="",0,MONTH(RegistroEntradas[[#This Row],[Data do Caixa Previsto]]))</f>
        <v>1</v>
      </c>
      <c r="N48">
        <f xml:space="preserve"> IF(RegistroEntradas[[#This Row],[Data do Caixa Previsto]]="",0,YEAR(RegistroEntradas[[#This Row],[Data do Caixa Previsto]]))</f>
        <v>2018</v>
      </c>
      <c r="O48" t="str">
        <f ca="1">IF(AND(RegistroEntradas[[#This Row],[Data do Caixa Previsto]]&lt;TODAY(),RegistroEntradas[[#This Row],[Data do Caixa Realizado]]=""),"Vencida","Paga")</f>
        <v>Paga</v>
      </c>
      <c r="P48" t="str">
        <f xml:space="preserve"> IF(RegistroEntradas[[#This Row],[Data da Competência]]=RegistroEntradas[[#This Row],[Data do Caixa Previsto]],"À Vista","À Prazo")</f>
        <v>À Prazo</v>
      </c>
      <c r="Q48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49" spans="2:17" ht="20.100000000000001" customHeight="1" x14ac:dyDescent="0.25">
      <c r="B49" s="9">
        <v>43125.461755740398</v>
      </c>
      <c r="C49" s="9">
        <v>43088</v>
      </c>
      <c r="D49" s="9">
        <v>43125.461755740398</v>
      </c>
      <c r="E49" t="s">
        <v>24</v>
      </c>
      <c r="F49" t="s">
        <v>32</v>
      </c>
      <c r="G49" t="s">
        <v>101</v>
      </c>
      <c r="H49" s="10">
        <v>668</v>
      </c>
      <c r="I49">
        <f>IF(RegistroEntradas[[#This Row],[Data do Caixa Realizado]] = "", 0, MONTH(RegistroEntradas[[#This Row],[Data do Caixa Realizado]]))</f>
        <v>1</v>
      </c>
      <c r="J49">
        <f>IF(RegistroEntradas[[#This Row],[Data do Caixa Realizado]] = "",0,YEAR(RegistroEntradas[[#This Row],[Data do Caixa Realizado]]))</f>
        <v>2018</v>
      </c>
      <c r="K49">
        <f xml:space="preserve"> IF(RegistroEntradas[[#This Row],[Data da Competência]] = "", 0, MONTH(RegistroEntradas[[#This Row],[Data da Competência]]))</f>
        <v>12</v>
      </c>
      <c r="L49">
        <f xml:space="preserve"> IF(RegistroEntradas[[#This Row],[Data da Competência]] = "", 0, YEAR(RegistroEntradas[[#This Row],[Data da Competência]]))</f>
        <v>2017</v>
      </c>
      <c r="M49">
        <f xml:space="preserve"> IF(RegistroEntradas[[#This Row],[Data do Caixa Previsto]]="",0,MONTH(RegistroEntradas[[#This Row],[Data do Caixa Previsto]]))</f>
        <v>1</v>
      </c>
      <c r="N49">
        <f xml:space="preserve"> IF(RegistroEntradas[[#This Row],[Data do Caixa Previsto]]="",0,YEAR(RegistroEntradas[[#This Row],[Data do Caixa Previsto]]))</f>
        <v>2018</v>
      </c>
      <c r="O49" t="str">
        <f ca="1">IF(AND(RegistroEntradas[[#This Row],[Data do Caixa Previsto]]&lt;TODAY(),RegistroEntradas[[#This Row],[Data do Caixa Realizado]]=""),"Vencida","Paga")</f>
        <v>Paga</v>
      </c>
      <c r="P49" t="str">
        <f xml:space="preserve"> IF(RegistroEntradas[[#This Row],[Data da Competência]]=RegistroEntradas[[#This Row],[Data do Caixa Previsto]],"À Vista","À Prazo")</f>
        <v>À Prazo</v>
      </c>
      <c r="Q49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50" spans="2:17" ht="20.100000000000001" customHeight="1" x14ac:dyDescent="0.25">
      <c r="B50" s="9">
        <v>43117.265187618672</v>
      </c>
      <c r="C50" s="9">
        <v>43089</v>
      </c>
      <c r="D50" s="9">
        <v>43117.265187618672</v>
      </c>
      <c r="E50" t="s">
        <v>24</v>
      </c>
      <c r="F50" t="s">
        <v>33</v>
      </c>
      <c r="G50" t="s">
        <v>102</v>
      </c>
      <c r="H50" s="10">
        <v>3721</v>
      </c>
      <c r="I50">
        <f>IF(RegistroEntradas[[#This Row],[Data do Caixa Realizado]] = "", 0, MONTH(RegistroEntradas[[#This Row],[Data do Caixa Realizado]]))</f>
        <v>1</v>
      </c>
      <c r="J50">
        <f>IF(RegistroEntradas[[#This Row],[Data do Caixa Realizado]] = "",0,YEAR(RegistroEntradas[[#This Row],[Data do Caixa Realizado]]))</f>
        <v>2018</v>
      </c>
      <c r="K50">
        <f xml:space="preserve"> IF(RegistroEntradas[[#This Row],[Data da Competência]] = "", 0, MONTH(RegistroEntradas[[#This Row],[Data da Competência]]))</f>
        <v>12</v>
      </c>
      <c r="L50">
        <f xml:space="preserve"> IF(RegistroEntradas[[#This Row],[Data da Competência]] = "", 0, YEAR(RegistroEntradas[[#This Row],[Data da Competência]]))</f>
        <v>2017</v>
      </c>
      <c r="M50">
        <f xml:space="preserve"> IF(RegistroEntradas[[#This Row],[Data do Caixa Previsto]]="",0,MONTH(RegistroEntradas[[#This Row],[Data do Caixa Previsto]]))</f>
        <v>1</v>
      </c>
      <c r="N50">
        <f xml:space="preserve"> IF(RegistroEntradas[[#This Row],[Data do Caixa Previsto]]="",0,YEAR(RegistroEntradas[[#This Row],[Data do Caixa Previsto]]))</f>
        <v>2018</v>
      </c>
      <c r="O50" t="str">
        <f ca="1">IF(AND(RegistroEntradas[[#This Row],[Data do Caixa Previsto]]&lt;TODAY(),RegistroEntradas[[#This Row],[Data do Caixa Realizado]]=""),"Vencida","Paga")</f>
        <v>Paga</v>
      </c>
      <c r="P50" t="str">
        <f xml:space="preserve"> IF(RegistroEntradas[[#This Row],[Data da Competência]]=RegistroEntradas[[#This Row],[Data do Caixa Previsto]],"À Vista","À Prazo")</f>
        <v>À Prazo</v>
      </c>
      <c r="Q50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51" spans="2:17" ht="20.100000000000001" customHeight="1" x14ac:dyDescent="0.25">
      <c r="B51" s="9">
        <v>43222.826071389798</v>
      </c>
      <c r="C51" s="9">
        <v>43091</v>
      </c>
      <c r="D51" s="9">
        <v>43133.821281134544</v>
      </c>
      <c r="E51" t="s">
        <v>24</v>
      </c>
      <c r="F51" t="s">
        <v>30</v>
      </c>
      <c r="G51" t="s">
        <v>103</v>
      </c>
      <c r="H51" s="10">
        <v>3114</v>
      </c>
      <c r="I51">
        <f>IF(RegistroEntradas[[#This Row],[Data do Caixa Realizado]] = "", 0, MONTH(RegistroEntradas[[#This Row],[Data do Caixa Realizado]]))</f>
        <v>5</v>
      </c>
      <c r="J51">
        <f>IF(RegistroEntradas[[#This Row],[Data do Caixa Realizado]] = "",0,YEAR(RegistroEntradas[[#This Row],[Data do Caixa Realizado]]))</f>
        <v>2018</v>
      </c>
      <c r="K51">
        <f xml:space="preserve"> IF(RegistroEntradas[[#This Row],[Data da Competência]] = "", 0, MONTH(RegistroEntradas[[#This Row],[Data da Competência]]))</f>
        <v>12</v>
      </c>
      <c r="L51">
        <f xml:space="preserve"> IF(RegistroEntradas[[#This Row],[Data da Competência]] = "", 0, YEAR(RegistroEntradas[[#This Row],[Data da Competência]]))</f>
        <v>2017</v>
      </c>
      <c r="M51">
        <f xml:space="preserve"> IF(RegistroEntradas[[#This Row],[Data do Caixa Previsto]]="",0,MONTH(RegistroEntradas[[#This Row],[Data do Caixa Previsto]]))</f>
        <v>2</v>
      </c>
      <c r="N51">
        <f xml:space="preserve"> IF(RegistroEntradas[[#This Row],[Data do Caixa Previsto]]="",0,YEAR(RegistroEntradas[[#This Row],[Data do Caixa Previsto]]))</f>
        <v>2018</v>
      </c>
      <c r="O51" t="str">
        <f ca="1">IF(AND(RegistroEntradas[[#This Row],[Data do Caixa Previsto]]&lt;TODAY(),RegistroEntradas[[#This Row],[Data do Caixa Realizado]]=""),"Vencida","Paga")</f>
        <v>Paga</v>
      </c>
      <c r="P51" t="str">
        <f xml:space="preserve"> IF(RegistroEntradas[[#This Row],[Data da Competência]]=RegistroEntradas[[#This Row],[Data do Caixa Previsto]],"À Vista","À Prazo")</f>
        <v>À Prazo</v>
      </c>
      <c r="Q51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89.004790255254193</v>
      </c>
    </row>
    <row r="52" spans="2:17" ht="20.100000000000001" customHeight="1" x14ac:dyDescent="0.25">
      <c r="B52" s="9">
        <v>43171.526334246679</v>
      </c>
      <c r="C52" s="9">
        <v>43095</v>
      </c>
      <c r="D52" s="9">
        <v>43095</v>
      </c>
      <c r="E52" t="s">
        <v>24</v>
      </c>
      <c r="F52" t="s">
        <v>32</v>
      </c>
      <c r="G52" t="s">
        <v>104</v>
      </c>
      <c r="H52" s="10">
        <v>1436</v>
      </c>
      <c r="I52">
        <f>IF(RegistroEntradas[[#This Row],[Data do Caixa Realizado]] = "", 0, MONTH(RegistroEntradas[[#This Row],[Data do Caixa Realizado]]))</f>
        <v>3</v>
      </c>
      <c r="J52">
        <f>IF(RegistroEntradas[[#This Row],[Data do Caixa Realizado]] = "",0,YEAR(RegistroEntradas[[#This Row],[Data do Caixa Realizado]]))</f>
        <v>2018</v>
      </c>
      <c r="K52">
        <f xml:space="preserve"> IF(RegistroEntradas[[#This Row],[Data da Competência]] = "", 0, MONTH(RegistroEntradas[[#This Row],[Data da Competência]]))</f>
        <v>12</v>
      </c>
      <c r="L52">
        <f xml:space="preserve"> IF(RegistroEntradas[[#This Row],[Data da Competência]] = "", 0, YEAR(RegistroEntradas[[#This Row],[Data da Competência]]))</f>
        <v>2017</v>
      </c>
      <c r="M52">
        <f xml:space="preserve"> IF(RegistroEntradas[[#This Row],[Data do Caixa Previsto]]="",0,MONTH(RegistroEntradas[[#This Row],[Data do Caixa Previsto]]))</f>
        <v>12</v>
      </c>
      <c r="N52">
        <f xml:space="preserve"> IF(RegistroEntradas[[#This Row],[Data do Caixa Previsto]]="",0,YEAR(RegistroEntradas[[#This Row],[Data do Caixa Previsto]]))</f>
        <v>2017</v>
      </c>
      <c r="O52" t="str">
        <f ca="1">IF(AND(RegistroEntradas[[#This Row],[Data do Caixa Previsto]]&lt;TODAY(),RegistroEntradas[[#This Row],[Data do Caixa Realizado]]=""),"Vencida","Paga")</f>
        <v>Paga</v>
      </c>
      <c r="P52" t="str">
        <f xml:space="preserve"> IF(RegistroEntradas[[#This Row],[Data da Competência]]=RegistroEntradas[[#This Row],[Data do Caixa Previsto]],"À Vista","À Prazo")</f>
        <v>À Vista</v>
      </c>
      <c r="Q52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76.526334246678744</v>
      </c>
    </row>
    <row r="53" spans="2:17" ht="20.100000000000001" customHeight="1" x14ac:dyDescent="0.25">
      <c r="B53" s="9">
        <v>43101.6816504218</v>
      </c>
      <c r="C53" s="9">
        <v>43099</v>
      </c>
      <c r="D53" s="9">
        <v>43101.6816504218</v>
      </c>
      <c r="E53" t="s">
        <v>24</v>
      </c>
      <c r="F53" t="s">
        <v>32</v>
      </c>
      <c r="G53" t="s">
        <v>105</v>
      </c>
      <c r="H53" s="10">
        <v>3192</v>
      </c>
      <c r="I53">
        <f>IF(RegistroEntradas[[#This Row],[Data do Caixa Realizado]] = "", 0, MONTH(RegistroEntradas[[#This Row],[Data do Caixa Realizado]]))</f>
        <v>1</v>
      </c>
      <c r="J53">
        <f>IF(RegistroEntradas[[#This Row],[Data do Caixa Realizado]] = "",0,YEAR(RegistroEntradas[[#This Row],[Data do Caixa Realizado]]))</f>
        <v>2018</v>
      </c>
      <c r="K53">
        <f xml:space="preserve"> IF(RegistroEntradas[[#This Row],[Data da Competência]] = "", 0, MONTH(RegistroEntradas[[#This Row],[Data da Competência]]))</f>
        <v>12</v>
      </c>
      <c r="L53">
        <f xml:space="preserve"> IF(RegistroEntradas[[#This Row],[Data da Competência]] = "", 0, YEAR(RegistroEntradas[[#This Row],[Data da Competência]]))</f>
        <v>2017</v>
      </c>
      <c r="M53">
        <f xml:space="preserve"> IF(RegistroEntradas[[#This Row],[Data do Caixa Previsto]]="",0,MONTH(RegistroEntradas[[#This Row],[Data do Caixa Previsto]]))</f>
        <v>1</v>
      </c>
      <c r="N53">
        <f xml:space="preserve"> IF(RegistroEntradas[[#This Row],[Data do Caixa Previsto]]="",0,YEAR(RegistroEntradas[[#This Row],[Data do Caixa Previsto]]))</f>
        <v>2018</v>
      </c>
      <c r="O53" t="str">
        <f ca="1">IF(AND(RegistroEntradas[[#This Row],[Data do Caixa Previsto]]&lt;TODAY(),RegistroEntradas[[#This Row],[Data do Caixa Realizado]]=""),"Vencida","Paga")</f>
        <v>Paga</v>
      </c>
      <c r="P53" t="str">
        <f xml:space="preserve"> IF(RegistroEntradas[[#This Row],[Data da Competência]]=RegistroEntradas[[#This Row],[Data do Caixa Previsto]],"À Vista","À Prazo")</f>
        <v>À Prazo</v>
      </c>
      <c r="Q53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54" spans="2:17" ht="20.100000000000001" customHeight="1" x14ac:dyDescent="0.25">
      <c r="B54" s="9">
        <v>43144.070709460881</v>
      </c>
      <c r="C54" s="9">
        <v>43100</v>
      </c>
      <c r="D54" s="9">
        <v>43144.070709460881</v>
      </c>
      <c r="E54" t="s">
        <v>24</v>
      </c>
      <c r="F54" t="s">
        <v>33</v>
      </c>
      <c r="G54" t="s">
        <v>106</v>
      </c>
      <c r="H54" s="10">
        <v>2687</v>
      </c>
      <c r="I54">
        <f>IF(RegistroEntradas[[#This Row],[Data do Caixa Realizado]] = "", 0, MONTH(RegistroEntradas[[#This Row],[Data do Caixa Realizado]]))</f>
        <v>2</v>
      </c>
      <c r="J54">
        <f>IF(RegistroEntradas[[#This Row],[Data do Caixa Realizado]] = "",0,YEAR(RegistroEntradas[[#This Row],[Data do Caixa Realizado]]))</f>
        <v>2018</v>
      </c>
      <c r="K54">
        <f xml:space="preserve"> IF(RegistroEntradas[[#This Row],[Data da Competência]] = "", 0, MONTH(RegistroEntradas[[#This Row],[Data da Competência]]))</f>
        <v>12</v>
      </c>
      <c r="L54">
        <f xml:space="preserve"> IF(RegistroEntradas[[#This Row],[Data da Competência]] = "", 0, YEAR(RegistroEntradas[[#This Row],[Data da Competência]]))</f>
        <v>2017</v>
      </c>
      <c r="M54">
        <f xml:space="preserve"> IF(RegistroEntradas[[#This Row],[Data do Caixa Previsto]]="",0,MONTH(RegistroEntradas[[#This Row],[Data do Caixa Previsto]]))</f>
        <v>2</v>
      </c>
      <c r="N54">
        <f xml:space="preserve"> IF(RegistroEntradas[[#This Row],[Data do Caixa Previsto]]="",0,YEAR(RegistroEntradas[[#This Row],[Data do Caixa Previsto]]))</f>
        <v>2018</v>
      </c>
      <c r="O54" t="str">
        <f ca="1">IF(AND(RegistroEntradas[[#This Row],[Data do Caixa Previsto]]&lt;TODAY(),RegistroEntradas[[#This Row],[Data do Caixa Realizado]]=""),"Vencida","Paga")</f>
        <v>Paga</v>
      </c>
      <c r="P54" t="str">
        <f xml:space="preserve"> IF(RegistroEntradas[[#This Row],[Data da Competência]]=RegistroEntradas[[#This Row],[Data do Caixa Previsto]],"À Vista","À Prazo")</f>
        <v>À Prazo</v>
      </c>
      <c r="Q54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55" spans="2:17" ht="20.100000000000001" customHeight="1" x14ac:dyDescent="0.25">
      <c r="B55" s="9">
        <v>43159.768399969107</v>
      </c>
      <c r="C55" s="9">
        <v>43103</v>
      </c>
      <c r="D55" s="9">
        <v>43159.768399969107</v>
      </c>
      <c r="E55" t="s">
        <v>24</v>
      </c>
      <c r="F55" t="s">
        <v>32</v>
      </c>
      <c r="G55" t="s">
        <v>107</v>
      </c>
      <c r="H55" s="10">
        <v>1561</v>
      </c>
      <c r="I55">
        <f>IF(RegistroEntradas[[#This Row],[Data do Caixa Realizado]] = "", 0, MONTH(RegistroEntradas[[#This Row],[Data do Caixa Realizado]]))</f>
        <v>2</v>
      </c>
      <c r="J55">
        <f>IF(RegistroEntradas[[#This Row],[Data do Caixa Realizado]] = "",0,YEAR(RegistroEntradas[[#This Row],[Data do Caixa Realizado]]))</f>
        <v>2018</v>
      </c>
      <c r="K55">
        <f xml:space="preserve"> IF(RegistroEntradas[[#This Row],[Data da Competência]] = "", 0, MONTH(RegistroEntradas[[#This Row],[Data da Competência]]))</f>
        <v>1</v>
      </c>
      <c r="L55">
        <f xml:space="preserve"> IF(RegistroEntradas[[#This Row],[Data da Competência]] = "", 0, YEAR(RegistroEntradas[[#This Row],[Data da Competência]]))</f>
        <v>2018</v>
      </c>
      <c r="M55">
        <f xml:space="preserve"> IF(RegistroEntradas[[#This Row],[Data do Caixa Previsto]]="",0,MONTH(RegistroEntradas[[#This Row],[Data do Caixa Previsto]]))</f>
        <v>2</v>
      </c>
      <c r="N55">
        <f xml:space="preserve"> IF(RegistroEntradas[[#This Row],[Data do Caixa Previsto]]="",0,YEAR(RegistroEntradas[[#This Row],[Data do Caixa Previsto]]))</f>
        <v>2018</v>
      </c>
      <c r="O55" t="str">
        <f ca="1">IF(AND(RegistroEntradas[[#This Row],[Data do Caixa Previsto]]&lt;TODAY(),RegistroEntradas[[#This Row],[Data do Caixa Realizado]]=""),"Vencida","Paga")</f>
        <v>Paga</v>
      </c>
      <c r="P55" t="str">
        <f xml:space="preserve"> IF(RegistroEntradas[[#This Row],[Data da Competência]]=RegistroEntradas[[#This Row],[Data do Caixa Previsto]],"À Vista","À Prazo")</f>
        <v>À Prazo</v>
      </c>
      <c r="Q55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56" spans="2:17" ht="20.100000000000001" customHeight="1" x14ac:dyDescent="0.25">
      <c r="B56" s="9">
        <v>43113.535870555577</v>
      </c>
      <c r="C56" s="9">
        <v>43109</v>
      </c>
      <c r="D56" s="9">
        <v>43113.535870555577</v>
      </c>
      <c r="E56" t="s">
        <v>24</v>
      </c>
      <c r="F56" t="s">
        <v>32</v>
      </c>
      <c r="G56" t="s">
        <v>108</v>
      </c>
      <c r="H56" s="10">
        <v>1573</v>
      </c>
      <c r="I56">
        <f>IF(RegistroEntradas[[#This Row],[Data do Caixa Realizado]] = "", 0, MONTH(RegistroEntradas[[#This Row],[Data do Caixa Realizado]]))</f>
        <v>1</v>
      </c>
      <c r="J56">
        <f>IF(RegistroEntradas[[#This Row],[Data do Caixa Realizado]] = "",0,YEAR(RegistroEntradas[[#This Row],[Data do Caixa Realizado]]))</f>
        <v>2018</v>
      </c>
      <c r="K56">
        <f xml:space="preserve"> IF(RegistroEntradas[[#This Row],[Data da Competência]] = "", 0, MONTH(RegistroEntradas[[#This Row],[Data da Competência]]))</f>
        <v>1</v>
      </c>
      <c r="L56">
        <f xml:space="preserve"> IF(RegistroEntradas[[#This Row],[Data da Competência]] = "", 0, YEAR(RegistroEntradas[[#This Row],[Data da Competência]]))</f>
        <v>2018</v>
      </c>
      <c r="M56">
        <f xml:space="preserve"> IF(RegistroEntradas[[#This Row],[Data do Caixa Previsto]]="",0,MONTH(RegistroEntradas[[#This Row],[Data do Caixa Previsto]]))</f>
        <v>1</v>
      </c>
      <c r="N56">
        <f xml:space="preserve"> IF(RegistroEntradas[[#This Row],[Data do Caixa Previsto]]="",0,YEAR(RegistroEntradas[[#This Row],[Data do Caixa Previsto]]))</f>
        <v>2018</v>
      </c>
      <c r="O56" t="str">
        <f ca="1">IF(AND(RegistroEntradas[[#This Row],[Data do Caixa Previsto]]&lt;TODAY(),RegistroEntradas[[#This Row],[Data do Caixa Realizado]]=""),"Vencida","Paga")</f>
        <v>Paga</v>
      </c>
      <c r="P56" t="str">
        <f xml:space="preserve"> IF(RegistroEntradas[[#This Row],[Data da Competência]]=RegistroEntradas[[#This Row],[Data do Caixa Previsto]],"À Vista","À Prazo")</f>
        <v>À Prazo</v>
      </c>
      <c r="Q56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57" spans="2:17" ht="20.100000000000001" customHeight="1" x14ac:dyDescent="0.25">
      <c r="B57" s="9">
        <v>43147.636765206888</v>
      </c>
      <c r="C57" s="9">
        <v>43117</v>
      </c>
      <c r="D57" s="9">
        <v>43147.636765206888</v>
      </c>
      <c r="E57" t="s">
        <v>24</v>
      </c>
      <c r="F57" t="s">
        <v>32</v>
      </c>
      <c r="G57" t="s">
        <v>109</v>
      </c>
      <c r="H57" s="10">
        <v>1364</v>
      </c>
      <c r="I57">
        <f>IF(RegistroEntradas[[#This Row],[Data do Caixa Realizado]] = "", 0, MONTH(RegistroEntradas[[#This Row],[Data do Caixa Realizado]]))</f>
        <v>2</v>
      </c>
      <c r="J57">
        <f>IF(RegistroEntradas[[#This Row],[Data do Caixa Realizado]] = "",0,YEAR(RegistroEntradas[[#This Row],[Data do Caixa Realizado]]))</f>
        <v>2018</v>
      </c>
      <c r="K57">
        <f xml:space="preserve"> IF(RegistroEntradas[[#This Row],[Data da Competência]] = "", 0, MONTH(RegistroEntradas[[#This Row],[Data da Competência]]))</f>
        <v>1</v>
      </c>
      <c r="L57">
        <f xml:space="preserve"> IF(RegistroEntradas[[#This Row],[Data da Competência]] = "", 0, YEAR(RegistroEntradas[[#This Row],[Data da Competência]]))</f>
        <v>2018</v>
      </c>
      <c r="M57">
        <f xml:space="preserve"> IF(RegistroEntradas[[#This Row],[Data do Caixa Previsto]]="",0,MONTH(RegistroEntradas[[#This Row],[Data do Caixa Previsto]]))</f>
        <v>2</v>
      </c>
      <c r="N57">
        <f xml:space="preserve"> IF(RegistroEntradas[[#This Row],[Data do Caixa Previsto]]="",0,YEAR(RegistroEntradas[[#This Row],[Data do Caixa Previsto]]))</f>
        <v>2018</v>
      </c>
      <c r="O57" t="str">
        <f ca="1">IF(AND(RegistroEntradas[[#This Row],[Data do Caixa Previsto]]&lt;TODAY(),RegistroEntradas[[#This Row],[Data do Caixa Realizado]]=""),"Vencida","Paga")</f>
        <v>Paga</v>
      </c>
      <c r="P57" t="str">
        <f xml:space="preserve"> IF(RegistroEntradas[[#This Row],[Data da Competência]]=RegistroEntradas[[#This Row],[Data do Caixa Previsto]],"À Vista","À Prazo")</f>
        <v>À Prazo</v>
      </c>
      <c r="Q57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58" spans="2:17" ht="20.100000000000001" customHeight="1" x14ac:dyDescent="0.25">
      <c r="B58" s="9">
        <v>43166.506331380886</v>
      </c>
      <c r="C58" s="9">
        <v>43121</v>
      </c>
      <c r="D58" s="9">
        <v>43166.506331380886</v>
      </c>
      <c r="E58" t="s">
        <v>24</v>
      </c>
      <c r="F58" t="s">
        <v>33</v>
      </c>
      <c r="G58" t="s">
        <v>110</v>
      </c>
      <c r="H58" s="10">
        <v>783</v>
      </c>
      <c r="I58">
        <f>IF(RegistroEntradas[[#This Row],[Data do Caixa Realizado]] = "", 0, MONTH(RegistroEntradas[[#This Row],[Data do Caixa Realizado]]))</f>
        <v>3</v>
      </c>
      <c r="J58">
        <f>IF(RegistroEntradas[[#This Row],[Data do Caixa Realizado]] = "",0,YEAR(RegistroEntradas[[#This Row],[Data do Caixa Realizado]]))</f>
        <v>2018</v>
      </c>
      <c r="K58">
        <f xml:space="preserve"> IF(RegistroEntradas[[#This Row],[Data da Competência]] = "", 0, MONTH(RegistroEntradas[[#This Row],[Data da Competência]]))</f>
        <v>1</v>
      </c>
      <c r="L58">
        <f xml:space="preserve"> IF(RegistroEntradas[[#This Row],[Data da Competência]] = "", 0, YEAR(RegistroEntradas[[#This Row],[Data da Competência]]))</f>
        <v>2018</v>
      </c>
      <c r="M58">
        <f xml:space="preserve"> IF(RegistroEntradas[[#This Row],[Data do Caixa Previsto]]="",0,MONTH(RegistroEntradas[[#This Row],[Data do Caixa Previsto]]))</f>
        <v>3</v>
      </c>
      <c r="N58">
        <f xml:space="preserve"> IF(RegistroEntradas[[#This Row],[Data do Caixa Previsto]]="",0,YEAR(RegistroEntradas[[#This Row],[Data do Caixa Previsto]]))</f>
        <v>2018</v>
      </c>
      <c r="O58" t="str">
        <f ca="1">IF(AND(RegistroEntradas[[#This Row],[Data do Caixa Previsto]]&lt;TODAY(),RegistroEntradas[[#This Row],[Data do Caixa Realizado]]=""),"Vencida","Paga")</f>
        <v>Paga</v>
      </c>
      <c r="P58" t="str">
        <f xml:space="preserve"> IF(RegistroEntradas[[#This Row],[Data da Competência]]=RegistroEntradas[[#This Row],[Data do Caixa Previsto]],"À Vista","À Prazo")</f>
        <v>À Prazo</v>
      </c>
      <c r="Q58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59" spans="2:17" ht="20.100000000000001" customHeight="1" x14ac:dyDescent="0.25">
      <c r="B59" s="9">
        <v>43164.402079160267</v>
      </c>
      <c r="C59" s="9">
        <v>43122</v>
      </c>
      <c r="D59" s="9">
        <v>43145.930248245008</v>
      </c>
      <c r="E59" t="s">
        <v>24</v>
      </c>
      <c r="F59" t="s">
        <v>33</v>
      </c>
      <c r="G59" t="s">
        <v>111</v>
      </c>
      <c r="H59" s="10">
        <v>3928</v>
      </c>
      <c r="I59">
        <f>IF(RegistroEntradas[[#This Row],[Data do Caixa Realizado]] = "", 0, MONTH(RegistroEntradas[[#This Row],[Data do Caixa Realizado]]))</f>
        <v>3</v>
      </c>
      <c r="J59">
        <f>IF(RegistroEntradas[[#This Row],[Data do Caixa Realizado]] = "",0,YEAR(RegistroEntradas[[#This Row],[Data do Caixa Realizado]]))</f>
        <v>2018</v>
      </c>
      <c r="K59">
        <f xml:space="preserve"> IF(RegistroEntradas[[#This Row],[Data da Competência]] = "", 0, MONTH(RegistroEntradas[[#This Row],[Data da Competência]]))</f>
        <v>1</v>
      </c>
      <c r="L59">
        <f xml:space="preserve"> IF(RegistroEntradas[[#This Row],[Data da Competência]] = "", 0, YEAR(RegistroEntradas[[#This Row],[Data da Competência]]))</f>
        <v>2018</v>
      </c>
      <c r="M59">
        <f xml:space="preserve"> IF(RegistroEntradas[[#This Row],[Data do Caixa Previsto]]="",0,MONTH(RegistroEntradas[[#This Row],[Data do Caixa Previsto]]))</f>
        <v>2</v>
      </c>
      <c r="N59">
        <f xml:space="preserve"> IF(RegistroEntradas[[#This Row],[Data do Caixa Previsto]]="",0,YEAR(RegistroEntradas[[#This Row],[Data do Caixa Previsto]]))</f>
        <v>2018</v>
      </c>
      <c r="O59" t="str">
        <f ca="1">IF(AND(RegistroEntradas[[#This Row],[Data do Caixa Previsto]]&lt;TODAY(),RegistroEntradas[[#This Row],[Data do Caixa Realizado]]=""),"Vencida","Paga")</f>
        <v>Paga</v>
      </c>
      <c r="P59" t="str">
        <f xml:space="preserve"> IF(RegistroEntradas[[#This Row],[Data da Competência]]=RegistroEntradas[[#This Row],[Data do Caixa Previsto]],"À Vista","À Prazo")</f>
        <v>À Prazo</v>
      </c>
      <c r="Q59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18.471830915259488</v>
      </c>
    </row>
    <row r="60" spans="2:17" ht="20.100000000000001" customHeight="1" x14ac:dyDescent="0.25">
      <c r="B60" s="9">
        <v>43142.713591319029</v>
      </c>
      <c r="C60" s="9">
        <v>43124</v>
      </c>
      <c r="D60" s="9">
        <v>43142.713591319029</v>
      </c>
      <c r="E60" t="s">
        <v>24</v>
      </c>
      <c r="F60" t="s">
        <v>30</v>
      </c>
      <c r="G60" t="s">
        <v>112</v>
      </c>
      <c r="H60" s="10">
        <v>3843</v>
      </c>
      <c r="I60">
        <f>IF(RegistroEntradas[[#This Row],[Data do Caixa Realizado]] = "", 0, MONTH(RegistroEntradas[[#This Row],[Data do Caixa Realizado]]))</f>
        <v>2</v>
      </c>
      <c r="J60">
        <f>IF(RegistroEntradas[[#This Row],[Data do Caixa Realizado]] = "",0,YEAR(RegistroEntradas[[#This Row],[Data do Caixa Realizado]]))</f>
        <v>2018</v>
      </c>
      <c r="K60">
        <f xml:space="preserve"> IF(RegistroEntradas[[#This Row],[Data da Competência]] = "", 0, MONTH(RegistroEntradas[[#This Row],[Data da Competência]]))</f>
        <v>1</v>
      </c>
      <c r="L60">
        <f xml:space="preserve"> IF(RegistroEntradas[[#This Row],[Data da Competência]] = "", 0, YEAR(RegistroEntradas[[#This Row],[Data da Competência]]))</f>
        <v>2018</v>
      </c>
      <c r="M60">
        <f xml:space="preserve"> IF(RegistroEntradas[[#This Row],[Data do Caixa Previsto]]="",0,MONTH(RegistroEntradas[[#This Row],[Data do Caixa Previsto]]))</f>
        <v>2</v>
      </c>
      <c r="N60">
        <f xml:space="preserve"> IF(RegistroEntradas[[#This Row],[Data do Caixa Previsto]]="",0,YEAR(RegistroEntradas[[#This Row],[Data do Caixa Previsto]]))</f>
        <v>2018</v>
      </c>
      <c r="O60" t="str">
        <f ca="1">IF(AND(RegistroEntradas[[#This Row],[Data do Caixa Previsto]]&lt;TODAY(),RegistroEntradas[[#This Row],[Data do Caixa Realizado]]=""),"Vencida","Paga")</f>
        <v>Paga</v>
      </c>
      <c r="P60" t="str">
        <f xml:space="preserve"> IF(RegistroEntradas[[#This Row],[Data da Competência]]=RegistroEntradas[[#This Row],[Data do Caixa Previsto]],"À Vista","À Prazo")</f>
        <v>À Prazo</v>
      </c>
      <c r="Q60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61" spans="2:17" ht="20.100000000000001" customHeight="1" x14ac:dyDescent="0.25">
      <c r="B61" s="9">
        <v>43183.516256023155</v>
      </c>
      <c r="C61" s="9">
        <v>43125</v>
      </c>
      <c r="D61" s="9">
        <v>43129.375302218272</v>
      </c>
      <c r="E61" t="s">
        <v>24</v>
      </c>
      <c r="F61" t="s">
        <v>29</v>
      </c>
      <c r="G61" t="s">
        <v>113</v>
      </c>
      <c r="H61" s="10">
        <v>1864</v>
      </c>
      <c r="I61">
        <f>IF(RegistroEntradas[[#This Row],[Data do Caixa Realizado]] = "", 0, MONTH(RegistroEntradas[[#This Row],[Data do Caixa Realizado]]))</f>
        <v>3</v>
      </c>
      <c r="J61">
        <f>IF(RegistroEntradas[[#This Row],[Data do Caixa Realizado]] = "",0,YEAR(RegistroEntradas[[#This Row],[Data do Caixa Realizado]]))</f>
        <v>2018</v>
      </c>
      <c r="K61">
        <f xml:space="preserve"> IF(RegistroEntradas[[#This Row],[Data da Competência]] = "", 0, MONTH(RegistroEntradas[[#This Row],[Data da Competência]]))</f>
        <v>1</v>
      </c>
      <c r="L61">
        <f xml:space="preserve"> IF(RegistroEntradas[[#This Row],[Data da Competência]] = "", 0, YEAR(RegistroEntradas[[#This Row],[Data da Competência]]))</f>
        <v>2018</v>
      </c>
      <c r="M61">
        <f xml:space="preserve"> IF(RegistroEntradas[[#This Row],[Data do Caixa Previsto]]="",0,MONTH(RegistroEntradas[[#This Row],[Data do Caixa Previsto]]))</f>
        <v>1</v>
      </c>
      <c r="N61">
        <f xml:space="preserve"> IF(RegistroEntradas[[#This Row],[Data do Caixa Previsto]]="",0,YEAR(RegistroEntradas[[#This Row],[Data do Caixa Previsto]]))</f>
        <v>2018</v>
      </c>
      <c r="O61" t="str">
        <f ca="1">IF(AND(RegistroEntradas[[#This Row],[Data do Caixa Previsto]]&lt;TODAY(),RegistroEntradas[[#This Row],[Data do Caixa Realizado]]=""),"Vencida","Paga")</f>
        <v>Paga</v>
      </c>
      <c r="P61" t="str">
        <f xml:space="preserve"> IF(RegistroEntradas[[#This Row],[Data da Competência]]=RegistroEntradas[[#This Row],[Data do Caixa Previsto]],"À Vista","À Prazo")</f>
        <v>À Prazo</v>
      </c>
      <c r="Q61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54.140953804882884</v>
      </c>
    </row>
    <row r="62" spans="2:17" ht="20.100000000000001" customHeight="1" x14ac:dyDescent="0.25">
      <c r="B62" s="9">
        <v>43181.942093945734</v>
      </c>
      <c r="C62" s="9">
        <v>43128</v>
      </c>
      <c r="D62" s="9">
        <v>43181.942093945734</v>
      </c>
      <c r="E62" t="s">
        <v>24</v>
      </c>
      <c r="F62" t="s">
        <v>32</v>
      </c>
      <c r="G62" t="s">
        <v>114</v>
      </c>
      <c r="H62" s="10">
        <v>1184</v>
      </c>
      <c r="I62">
        <f>IF(RegistroEntradas[[#This Row],[Data do Caixa Realizado]] = "", 0, MONTH(RegistroEntradas[[#This Row],[Data do Caixa Realizado]]))</f>
        <v>3</v>
      </c>
      <c r="J62">
        <f>IF(RegistroEntradas[[#This Row],[Data do Caixa Realizado]] = "",0,YEAR(RegistroEntradas[[#This Row],[Data do Caixa Realizado]]))</f>
        <v>2018</v>
      </c>
      <c r="K62">
        <f xml:space="preserve"> IF(RegistroEntradas[[#This Row],[Data da Competência]] = "", 0, MONTH(RegistroEntradas[[#This Row],[Data da Competência]]))</f>
        <v>1</v>
      </c>
      <c r="L62">
        <f xml:space="preserve"> IF(RegistroEntradas[[#This Row],[Data da Competência]] = "", 0, YEAR(RegistroEntradas[[#This Row],[Data da Competência]]))</f>
        <v>2018</v>
      </c>
      <c r="M62">
        <f xml:space="preserve"> IF(RegistroEntradas[[#This Row],[Data do Caixa Previsto]]="",0,MONTH(RegistroEntradas[[#This Row],[Data do Caixa Previsto]]))</f>
        <v>3</v>
      </c>
      <c r="N62">
        <f xml:space="preserve"> IF(RegistroEntradas[[#This Row],[Data do Caixa Previsto]]="",0,YEAR(RegistroEntradas[[#This Row],[Data do Caixa Previsto]]))</f>
        <v>2018</v>
      </c>
      <c r="O62" t="str">
        <f ca="1">IF(AND(RegistroEntradas[[#This Row],[Data do Caixa Previsto]]&lt;TODAY(),RegistroEntradas[[#This Row],[Data do Caixa Realizado]]=""),"Vencida","Paga")</f>
        <v>Paga</v>
      </c>
      <c r="P62" t="str">
        <f xml:space="preserve"> IF(RegistroEntradas[[#This Row],[Data da Competência]]=RegistroEntradas[[#This Row],[Data do Caixa Previsto]],"À Vista","À Prazo")</f>
        <v>À Prazo</v>
      </c>
      <c r="Q62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63" spans="2:17" ht="20.100000000000001" customHeight="1" x14ac:dyDescent="0.25">
      <c r="B63" s="9">
        <v>43161.227605046144</v>
      </c>
      <c r="C63" s="9">
        <v>43129</v>
      </c>
      <c r="D63" s="9">
        <v>43161.227605046144</v>
      </c>
      <c r="E63" t="s">
        <v>24</v>
      </c>
      <c r="F63" t="s">
        <v>32</v>
      </c>
      <c r="G63" t="s">
        <v>115</v>
      </c>
      <c r="H63" s="10">
        <v>4055</v>
      </c>
      <c r="I63">
        <f>IF(RegistroEntradas[[#This Row],[Data do Caixa Realizado]] = "", 0, MONTH(RegistroEntradas[[#This Row],[Data do Caixa Realizado]]))</f>
        <v>3</v>
      </c>
      <c r="J63">
        <f>IF(RegistroEntradas[[#This Row],[Data do Caixa Realizado]] = "",0,YEAR(RegistroEntradas[[#This Row],[Data do Caixa Realizado]]))</f>
        <v>2018</v>
      </c>
      <c r="K63">
        <f xml:space="preserve"> IF(RegistroEntradas[[#This Row],[Data da Competência]] = "", 0, MONTH(RegistroEntradas[[#This Row],[Data da Competência]]))</f>
        <v>1</v>
      </c>
      <c r="L63">
        <f xml:space="preserve"> IF(RegistroEntradas[[#This Row],[Data da Competência]] = "", 0, YEAR(RegistroEntradas[[#This Row],[Data da Competência]]))</f>
        <v>2018</v>
      </c>
      <c r="M63">
        <f xml:space="preserve"> IF(RegistroEntradas[[#This Row],[Data do Caixa Previsto]]="",0,MONTH(RegistroEntradas[[#This Row],[Data do Caixa Previsto]]))</f>
        <v>3</v>
      </c>
      <c r="N63">
        <f xml:space="preserve"> IF(RegistroEntradas[[#This Row],[Data do Caixa Previsto]]="",0,YEAR(RegistroEntradas[[#This Row],[Data do Caixa Previsto]]))</f>
        <v>2018</v>
      </c>
      <c r="O63" t="str">
        <f ca="1">IF(AND(RegistroEntradas[[#This Row],[Data do Caixa Previsto]]&lt;TODAY(),RegistroEntradas[[#This Row],[Data do Caixa Realizado]]=""),"Vencida","Paga")</f>
        <v>Paga</v>
      </c>
      <c r="P63" t="str">
        <f xml:space="preserve"> IF(RegistroEntradas[[#This Row],[Data da Competência]]=RegistroEntradas[[#This Row],[Data do Caixa Previsto]],"À Vista","À Prazo")</f>
        <v>À Prazo</v>
      </c>
      <c r="Q63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64" spans="2:17" ht="20.100000000000001" customHeight="1" x14ac:dyDescent="0.25">
      <c r="B64" s="9">
        <v>43178.327075601032</v>
      </c>
      <c r="C64" s="9">
        <v>43130</v>
      </c>
      <c r="D64" s="9">
        <v>43178.327075601032</v>
      </c>
      <c r="E64" t="s">
        <v>24</v>
      </c>
      <c r="F64" t="s">
        <v>32</v>
      </c>
      <c r="G64" t="s">
        <v>116</v>
      </c>
      <c r="H64" s="10">
        <v>427</v>
      </c>
      <c r="I64">
        <f>IF(RegistroEntradas[[#This Row],[Data do Caixa Realizado]] = "", 0, MONTH(RegistroEntradas[[#This Row],[Data do Caixa Realizado]]))</f>
        <v>3</v>
      </c>
      <c r="J64">
        <f>IF(RegistroEntradas[[#This Row],[Data do Caixa Realizado]] = "",0,YEAR(RegistroEntradas[[#This Row],[Data do Caixa Realizado]]))</f>
        <v>2018</v>
      </c>
      <c r="K64">
        <f xml:space="preserve"> IF(RegistroEntradas[[#This Row],[Data da Competência]] = "", 0, MONTH(RegistroEntradas[[#This Row],[Data da Competência]]))</f>
        <v>1</v>
      </c>
      <c r="L64">
        <f xml:space="preserve"> IF(RegistroEntradas[[#This Row],[Data da Competência]] = "", 0, YEAR(RegistroEntradas[[#This Row],[Data da Competência]]))</f>
        <v>2018</v>
      </c>
      <c r="M64">
        <f xml:space="preserve"> IF(RegistroEntradas[[#This Row],[Data do Caixa Previsto]]="",0,MONTH(RegistroEntradas[[#This Row],[Data do Caixa Previsto]]))</f>
        <v>3</v>
      </c>
      <c r="N64">
        <f xml:space="preserve"> IF(RegistroEntradas[[#This Row],[Data do Caixa Previsto]]="",0,YEAR(RegistroEntradas[[#This Row],[Data do Caixa Previsto]]))</f>
        <v>2018</v>
      </c>
      <c r="O64" t="str">
        <f ca="1">IF(AND(RegistroEntradas[[#This Row],[Data do Caixa Previsto]]&lt;TODAY(),RegistroEntradas[[#This Row],[Data do Caixa Realizado]]=""),"Vencida","Paga")</f>
        <v>Paga</v>
      </c>
      <c r="P64" t="str">
        <f xml:space="preserve"> IF(RegistroEntradas[[#This Row],[Data da Competência]]=RegistroEntradas[[#This Row],[Data do Caixa Previsto]],"À Vista","À Prazo")</f>
        <v>À Prazo</v>
      </c>
      <c r="Q64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65" spans="2:17" ht="20.100000000000001" customHeight="1" x14ac:dyDescent="0.25">
      <c r="B65" s="9">
        <v>43138.085439585935</v>
      </c>
      <c r="C65" s="9">
        <v>43133</v>
      </c>
      <c r="D65" s="9">
        <v>43138.085439585935</v>
      </c>
      <c r="E65" t="s">
        <v>24</v>
      </c>
      <c r="F65" t="s">
        <v>31</v>
      </c>
      <c r="G65" t="s">
        <v>117</v>
      </c>
      <c r="H65" s="10">
        <v>460</v>
      </c>
      <c r="I65">
        <f>IF(RegistroEntradas[[#This Row],[Data do Caixa Realizado]] = "", 0, MONTH(RegistroEntradas[[#This Row],[Data do Caixa Realizado]]))</f>
        <v>2</v>
      </c>
      <c r="J65">
        <f>IF(RegistroEntradas[[#This Row],[Data do Caixa Realizado]] = "",0,YEAR(RegistroEntradas[[#This Row],[Data do Caixa Realizado]]))</f>
        <v>2018</v>
      </c>
      <c r="K65">
        <f xml:space="preserve"> IF(RegistroEntradas[[#This Row],[Data da Competência]] = "", 0, MONTH(RegistroEntradas[[#This Row],[Data da Competência]]))</f>
        <v>2</v>
      </c>
      <c r="L65">
        <f xml:space="preserve"> IF(RegistroEntradas[[#This Row],[Data da Competência]] = "", 0, YEAR(RegistroEntradas[[#This Row],[Data da Competência]]))</f>
        <v>2018</v>
      </c>
      <c r="M65">
        <f xml:space="preserve"> IF(RegistroEntradas[[#This Row],[Data do Caixa Previsto]]="",0,MONTH(RegistroEntradas[[#This Row],[Data do Caixa Previsto]]))</f>
        <v>2</v>
      </c>
      <c r="N65">
        <f xml:space="preserve"> IF(RegistroEntradas[[#This Row],[Data do Caixa Previsto]]="",0,YEAR(RegistroEntradas[[#This Row],[Data do Caixa Previsto]]))</f>
        <v>2018</v>
      </c>
      <c r="O65" t="str">
        <f ca="1">IF(AND(RegistroEntradas[[#This Row],[Data do Caixa Previsto]]&lt;TODAY(),RegistroEntradas[[#This Row],[Data do Caixa Realizado]]=""),"Vencida","Paga")</f>
        <v>Paga</v>
      </c>
      <c r="P65" t="str">
        <f xml:space="preserve"> IF(RegistroEntradas[[#This Row],[Data da Competência]]=RegistroEntradas[[#This Row],[Data do Caixa Previsto]],"À Vista","À Prazo")</f>
        <v>À Prazo</v>
      </c>
      <c r="Q65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66" spans="2:17" ht="20.100000000000001" customHeight="1" x14ac:dyDescent="0.25">
      <c r="B66" s="9">
        <v>43190.17599100792</v>
      </c>
      <c r="C66" s="9">
        <v>43136</v>
      </c>
      <c r="D66" s="9">
        <v>43190.17599100792</v>
      </c>
      <c r="E66" t="s">
        <v>24</v>
      </c>
      <c r="F66" t="s">
        <v>33</v>
      </c>
      <c r="G66" t="s">
        <v>118</v>
      </c>
      <c r="H66" s="10">
        <v>964</v>
      </c>
      <c r="I66">
        <f>IF(RegistroEntradas[[#This Row],[Data do Caixa Realizado]] = "", 0, MONTH(RegistroEntradas[[#This Row],[Data do Caixa Realizado]]))</f>
        <v>3</v>
      </c>
      <c r="J66">
        <f>IF(RegistroEntradas[[#This Row],[Data do Caixa Realizado]] = "",0,YEAR(RegistroEntradas[[#This Row],[Data do Caixa Realizado]]))</f>
        <v>2018</v>
      </c>
      <c r="K66">
        <f xml:space="preserve"> IF(RegistroEntradas[[#This Row],[Data da Competência]] = "", 0, MONTH(RegistroEntradas[[#This Row],[Data da Competência]]))</f>
        <v>2</v>
      </c>
      <c r="L66">
        <f xml:space="preserve"> IF(RegistroEntradas[[#This Row],[Data da Competência]] = "", 0, YEAR(RegistroEntradas[[#This Row],[Data da Competência]]))</f>
        <v>2018</v>
      </c>
      <c r="M66">
        <f xml:space="preserve"> IF(RegistroEntradas[[#This Row],[Data do Caixa Previsto]]="",0,MONTH(RegistroEntradas[[#This Row],[Data do Caixa Previsto]]))</f>
        <v>3</v>
      </c>
      <c r="N66">
        <f xml:space="preserve"> IF(RegistroEntradas[[#This Row],[Data do Caixa Previsto]]="",0,YEAR(RegistroEntradas[[#This Row],[Data do Caixa Previsto]]))</f>
        <v>2018</v>
      </c>
      <c r="O66" t="str">
        <f ca="1">IF(AND(RegistroEntradas[[#This Row],[Data do Caixa Previsto]]&lt;TODAY(),RegistroEntradas[[#This Row],[Data do Caixa Realizado]]=""),"Vencida","Paga")</f>
        <v>Paga</v>
      </c>
      <c r="P66" t="str">
        <f xml:space="preserve"> IF(RegistroEntradas[[#This Row],[Data da Competência]]=RegistroEntradas[[#This Row],[Data do Caixa Previsto]],"À Vista","À Prazo")</f>
        <v>À Prazo</v>
      </c>
      <c r="Q66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67" spans="2:17" ht="20.100000000000001" customHeight="1" x14ac:dyDescent="0.25">
      <c r="B67" s="9">
        <v>43145.940969359632</v>
      </c>
      <c r="C67" s="9">
        <v>43140</v>
      </c>
      <c r="D67" s="9">
        <v>43145.940969359632</v>
      </c>
      <c r="E67" t="s">
        <v>24</v>
      </c>
      <c r="F67" t="s">
        <v>32</v>
      </c>
      <c r="G67" t="s">
        <v>119</v>
      </c>
      <c r="H67" s="10">
        <v>3412</v>
      </c>
      <c r="I67">
        <f>IF(RegistroEntradas[[#This Row],[Data do Caixa Realizado]] = "", 0, MONTH(RegistroEntradas[[#This Row],[Data do Caixa Realizado]]))</f>
        <v>2</v>
      </c>
      <c r="J67">
        <f>IF(RegistroEntradas[[#This Row],[Data do Caixa Realizado]] = "",0,YEAR(RegistroEntradas[[#This Row],[Data do Caixa Realizado]]))</f>
        <v>2018</v>
      </c>
      <c r="K67">
        <f xml:space="preserve"> IF(RegistroEntradas[[#This Row],[Data da Competência]] = "", 0, MONTH(RegistroEntradas[[#This Row],[Data da Competência]]))</f>
        <v>2</v>
      </c>
      <c r="L67">
        <f xml:space="preserve"> IF(RegistroEntradas[[#This Row],[Data da Competência]] = "", 0, YEAR(RegistroEntradas[[#This Row],[Data da Competência]]))</f>
        <v>2018</v>
      </c>
      <c r="M67">
        <f xml:space="preserve"> IF(RegistroEntradas[[#This Row],[Data do Caixa Previsto]]="",0,MONTH(RegistroEntradas[[#This Row],[Data do Caixa Previsto]]))</f>
        <v>2</v>
      </c>
      <c r="N67">
        <f xml:space="preserve"> IF(RegistroEntradas[[#This Row],[Data do Caixa Previsto]]="",0,YEAR(RegistroEntradas[[#This Row],[Data do Caixa Previsto]]))</f>
        <v>2018</v>
      </c>
      <c r="O67" t="str">
        <f ca="1">IF(AND(RegistroEntradas[[#This Row],[Data do Caixa Previsto]]&lt;TODAY(),RegistroEntradas[[#This Row],[Data do Caixa Realizado]]=""),"Vencida","Paga")</f>
        <v>Paga</v>
      </c>
      <c r="P67" t="str">
        <f xml:space="preserve"> IF(RegistroEntradas[[#This Row],[Data da Competência]]=RegistroEntradas[[#This Row],[Data do Caixa Previsto]],"À Vista","À Prazo")</f>
        <v>À Prazo</v>
      </c>
      <c r="Q67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68" spans="2:17" ht="20.100000000000001" customHeight="1" x14ac:dyDescent="0.25">
      <c r="B68" s="9">
        <v>43146.225751185812</v>
      </c>
      <c r="C68" s="9">
        <v>43142</v>
      </c>
      <c r="D68" s="9">
        <v>43146.225751185812</v>
      </c>
      <c r="E68" t="s">
        <v>24</v>
      </c>
      <c r="F68" t="s">
        <v>30</v>
      </c>
      <c r="G68" t="s">
        <v>120</v>
      </c>
      <c r="H68" s="10">
        <v>3095</v>
      </c>
      <c r="I68">
        <f>IF(RegistroEntradas[[#This Row],[Data do Caixa Realizado]] = "", 0, MONTH(RegistroEntradas[[#This Row],[Data do Caixa Realizado]]))</f>
        <v>2</v>
      </c>
      <c r="J68">
        <f>IF(RegistroEntradas[[#This Row],[Data do Caixa Realizado]] = "",0,YEAR(RegistroEntradas[[#This Row],[Data do Caixa Realizado]]))</f>
        <v>2018</v>
      </c>
      <c r="K68">
        <f xml:space="preserve"> IF(RegistroEntradas[[#This Row],[Data da Competência]] = "", 0, MONTH(RegistroEntradas[[#This Row],[Data da Competência]]))</f>
        <v>2</v>
      </c>
      <c r="L68">
        <f xml:space="preserve"> IF(RegistroEntradas[[#This Row],[Data da Competência]] = "", 0, YEAR(RegistroEntradas[[#This Row],[Data da Competência]]))</f>
        <v>2018</v>
      </c>
      <c r="M68">
        <f xml:space="preserve"> IF(RegistroEntradas[[#This Row],[Data do Caixa Previsto]]="",0,MONTH(RegistroEntradas[[#This Row],[Data do Caixa Previsto]]))</f>
        <v>2</v>
      </c>
      <c r="N68">
        <f xml:space="preserve"> IF(RegistroEntradas[[#This Row],[Data do Caixa Previsto]]="",0,YEAR(RegistroEntradas[[#This Row],[Data do Caixa Previsto]]))</f>
        <v>2018</v>
      </c>
      <c r="O68" t="str">
        <f ca="1">IF(AND(RegistroEntradas[[#This Row],[Data do Caixa Previsto]]&lt;TODAY(),RegistroEntradas[[#This Row],[Data do Caixa Realizado]]=""),"Vencida","Paga")</f>
        <v>Paga</v>
      </c>
      <c r="P68" t="str">
        <f xml:space="preserve"> IF(RegistroEntradas[[#This Row],[Data da Competência]]=RegistroEntradas[[#This Row],[Data do Caixa Previsto]],"À Vista","À Prazo")</f>
        <v>À Prazo</v>
      </c>
      <c r="Q68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69" spans="2:17" ht="20.100000000000001" customHeight="1" x14ac:dyDescent="0.25">
      <c r="B69" s="9">
        <v>43193.467827275977</v>
      </c>
      <c r="C69" s="9">
        <v>43148</v>
      </c>
      <c r="D69" s="9">
        <v>43193.467827275977</v>
      </c>
      <c r="E69" t="s">
        <v>24</v>
      </c>
      <c r="F69" t="s">
        <v>31</v>
      </c>
      <c r="G69" t="s">
        <v>121</v>
      </c>
      <c r="H69" s="10">
        <v>1532</v>
      </c>
      <c r="I69">
        <f>IF(RegistroEntradas[[#This Row],[Data do Caixa Realizado]] = "", 0, MONTH(RegistroEntradas[[#This Row],[Data do Caixa Realizado]]))</f>
        <v>4</v>
      </c>
      <c r="J69">
        <f>IF(RegistroEntradas[[#This Row],[Data do Caixa Realizado]] = "",0,YEAR(RegistroEntradas[[#This Row],[Data do Caixa Realizado]]))</f>
        <v>2018</v>
      </c>
      <c r="K69">
        <f xml:space="preserve"> IF(RegistroEntradas[[#This Row],[Data da Competência]] = "", 0, MONTH(RegistroEntradas[[#This Row],[Data da Competência]]))</f>
        <v>2</v>
      </c>
      <c r="L69">
        <f xml:space="preserve"> IF(RegistroEntradas[[#This Row],[Data da Competência]] = "", 0, YEAR(RegistroEntradas[[#This Row],[Data da Competência]]))</f>
        <v>2018</v>
      </c>
      <c r="M69">
        <f xml:space="preserve"> IF(RegistroEntradas[[#This Row],[Data do Caixa Previsto]]="",0,MONTH(RegistroEntradas[[#This Row],[Data do Caixa Previsto]]))</f>
        <v>4</v>
      </c>
      <c r="N69">
        <f xml:space="preserve"> IF(RegistroEntradas[[#This Row],[Data do Caixa Previsto]]="",0,YEAR(RegistroEntradas[[#This Row],[Data do Caixa Previsto]]))</f>
        <v>2018</v>
      </c>
      <c r="O69" t="str">
        <f ca="1">IF(AND(RegistroEntradas[[#This Row],[Data do Caixa Previsto]]&lt;TODAY(),RegistroEntradas[[#This Row],[Data do Caixa Realizado]]=""),"Vencida","Paga")</f>
        <v>Paga</v>
      </c>
      <c r="P69" t="str">
        <f xml:space="preserve"> IF(RegistroEntradas[[#This Row],[Data da Competência]]=RegistroEntradas[[#This Row],[Data do Caixa Previsto]],"À Vista","À Prazo")</f>
        <v>À Prazo</v>
      </c>
      <c r="Q69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70" spans="2:17" ht="20.100000000000001" customHeight="1" x14ac:dyDescent="0.25">
      <c r="B70" s="9">
        <v>43193.409618971542</v>
      </c>
      <c r="C70" s="9">
        <v>43151</v>
      </c>
      <c r="D70" s="9">
        <v>43193.409618971542</v>
      </c>
      <c r="E70" t="s">
        <v>24</v>
      </c>
      <c r="F70" t="s">
        <v>31</v>
      </c>
      <c r="G70" t="s">
        <v>122</v>
      </c>
      <c r="H70" s="10">
        <v>3726</v>
      </c>
      <c r="I70">
        <f>IF(RegistroEntradas[[#This Row],[Data do Caixa Realizado]] = "", 0, MONTH(RegistroEntradas[[#This Row],[Data do Caixa Realizado]]))</f>
        <v>4</v>
      </c>
      <c r="J70">
        <f>IF(RegistroEntradas[[#This Row],[Data do Caixa Realizado]] = "",0,YEAR(RegistroEntradas[[#This Row],[Data do Caixa Realizado]]))</f>
        <v>2018</v>
      </c>
      <c r="K70">
        <f xml:space="preserve"> IF(RegistroEntradas[[#This Row],[Data da Competência]] = "", 0, MONTH(RegistroEntradas[[#This Row],[Data da Competência]]))</f>
        <v>2</v>
      </c>
      <c r="L70">
        <f xml:space="preserve"> IF(RegistroEntradas[[#This Row],[Data da Competência]] = "", 0, YEAR(RegistroEntradas[[#This Row],[Data da Competência]]))</f>
        <v>2018</v>
      </c>
      <c r="M70">
        <f xml:space="preserve"> IF(RegistroEntradas[[#This Row],[Data do Caixa Previsto]]="",0,MONTH(RegistroEntradas[[#This Row],[Data do Caixa Previsto]]))</f>
        <v>4</v>
      </c>
      <c r="N70">
        <f xml:space="preserve"> IF(RegistroEntradas[[#This Row],[Data do Caixa Previsto]]="",0,YEAR(RegistroEntradas[[#This Row],[Data do Caixa Previsto]]))</f>
        <v>2018</v>
      </c>
      <c r="O70" t="str">
        <f ca="1">IF(AND(RegistroEntradas[[#This Row],[Data do Caixa Previsto]]&lt;TODAY(),RegistroEntradas[[#This Row],[Data do Caixa Realizado]]=""),"Vencida","Paga")</f>
        <v>Paga</v>
      </c>
      <c r="P70" t="str">
        <f xml:space="preserve"> IF(RegistroEntradas[[#This Row],[Data da Competência]]=RegistroEntradas[[#This Row],[Data do Caixa Previsto]],"À Vista","À Prazo")</f>
        <v>À Prazo</v>
      </c>
      <c r="Q70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71" spans="2:17" ht="20.100000000000001" customHeight="1" x14ac:dyDescent="0.25">
      <c r="B71" s="9">
        <v>43261.17512133922</v>
      </c>
      <c r="C71" s="9">
        <v>43154</v>
      </c>
      <c r="D71" s="9">
        <v>43180.340377186512</v>
      </c>
      <c r="E71" t="s">
        <v>24</v>
      </c>
      <c r="F71" t="s">
        <v>32</v>
      </c>
      <c r="G71" t="s">
        <v>123</v>
      </c>
      <c r="H71" s="10">
        <v>4322</v>
      </c>
      <c r="I71">
        <f>IF(RegistroEntradas[[#This Row],[Data do Caixa Realizado]] = "", 0, MONTH(RegistroEntradas[[#This Row],[Data do Caixa Realizado]]))</f>
        <v>6</v>
      </c>
      <c r="J71">
        <f>IF(RegistroEntradas[[#This Row],[Data do Caixa Realizado]] = "",0,YEAR(RegistroEntradas[[#This Row],[Data do Caixa Realizado]]))</f>
        <v>2018</v>
      </c>
      <c r="K71">
        <f xml:space="preserve"> IF(RegistroEntradas[[#This Row],[Data da Competência]] = "", 0, MONTH(RegistroEntradas[[#This Row],[Data da Competência]]))</f>
        <v>2</v>
      </c>
      <c r="L71">
        <f xml:space="preserve"> IF(RegistroEntradas[[#This Row],[Data da Competência]] = "", 0, YEAR(RegistroEntradas[[#This Row],[Data da Competência]]))</f>
        <v>2018</v>
      </c>
      <c r="M71">
        <f xml:space="preserve"> IF(RegistroEntradas[[#This Row],[Data do Caixa Previsto]]="",0,MONTH(RegistroEntradas[[#This Row],[Data do Caixa Previsto]]))</f>
        <v>3</v>
      </c>
      <c r="N71">
        <f xml:space="preserve"> IF(RegistroEntradas[[#This Row],[Data do Caixa Previsto]]="",0,YEAR(RegistroEntradas[[#This Row],[Data do Caixa Previsto]]))</f>
        <v>2018</v>
      </c>
      <c r="O71" t="str">
        <f ca="1">IF(AND(RegistroEntradas[[#This Row],[Data do Caixa Previsto]]&lt;TODAY(),RegistroEntradas[[#This Row],[Data do Caixa Realizado]]=""),"Vencida","Paga")</f>
        <v>Paga</v>
      </c>
      <c r="P71" t="str">
        <f xml:space="preserve"> IF(RegistroEntradas[[#This Row],[Data da Competência]]=RegistroEntradas[[#This Row],[Data do Caixa Previsto]],"À Vista","À Prazo")</f>
        <v>À Prazo</v>
      </c>
      <c r="Q71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80.834744152707572</v>
      </c>
    </row>
    <row r="72" spans="2:17" ht="20.100000000000001" customHeight="1" x14ac:dyDescent="0.25">
      <c r="B72" s="9">
        <v>43253.722363167413</v>
      </c>
      <c r="C72" s="9">
        <v>43156</v>
      </c>
      <c r="D72" s="9">
        <v>43205.753397319932</v>
      </c>
      <c r="E72" t="s">
        <v>24</v>
      </c>
      <c r="F72" t="s">
        <v>30</v>
      </c>
      <c r="G72" t="s">
        <v>124</v>
      </c>
      <c r="H72" s="10">
        <v>3998</v>
      </c>
      <c r="I72">
        <f>IF(RegistroEntradas[[#This Row],[Data do Caixa Realizado]] = "", 0, MONTH(RegistroEntradas[[#This Row],[Data do Caixa Realizado]]))</f>
        <v>6</v>
      </c>
      <c r="J72">
        <f>IF(RegistroEntradas[[#This Row],[Data do Caixa Realizado]] = "",0,YEAR(RegistroEntradas[[#This Row],[Data do Caixa Realizado]]))</f>
        <v>2018</v>
      </c>
      <c r="K72">
        <f xml:space="preserve"> IF(RegistroEntradas[[#This Row],[Data da Competência]] = "", 0, MONTH(RegistroEntradas[[#This Row],[Data da Competência]]))</f>
        <v>2</v>
      </c>
      <c r="L72">
        <f xml:space="preserve"> IF(RegistroEntradas[[#This Row],[Data da Competência]] = "", 0, YEAR(RegistroEntradas[[#This Row],[Data da Competência]]))</f>
        <v>2018</v>
      </c>
      <c r="M72">
        <f xml:space="preserve"> IF(RegistroEntradas[[#This Row],[Data do Caixa Previsto]]="",0,MONTH(RegistroEntradas[[#This Row],[Data do Caixa Previsto]]))</f>
        <v>4</v>
      </c>
      <c r="N72">
        <f xml:space="preserve"> IF(RegistroEntradas[[#This Row],[Data do Caixa Previsto]]="",0,YEAR(RegistroEntradas[[#This Row],[Data do Caixa Previsto]]))</f>
        <v>2018</v>
      </c>
      <c r="O72" t="str">
        <f ca="1">IF(AND(RegistroEntradas[[#This Row],[Data do Caixa Previsto]]&lt;TODAY(),RegistroEntradas[[#This Row],[Data do Caixa Realizado]]=""),"Vencida","Paga")</f>
        <v>Paga</v>
      </c>
      <c r="P72" t="str">
        <f xml:space="preserve"> IF(RegistroEntradas[[#This Row],[Data da Competência]]=RegistroEntradas[[#This Row],[Data do Caixa Previsto]],"À Vista","À Prazo")</f>
        <v>À Prazo</v>
      </c>
      <c r="Q72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47.968965847481741</v>
      </c>
    </row>
    <row r="73" spans="2:17" ht="20.100000000000001" customHeight="1" x14ac:dyDescent="0.25">
      <c r="B73" s="9">
        <v>43268.070563511268</v>
      </c>
      <c r="C73" s="9">
        <v>43158</v>
      </c>
      <c r="D73" s="9">
        <v>43188.829564949629</v>
      </c>
      <c r="E73" t="s">
        <v>24</v>
      </c>
      <c r="F73" t="s">
        <v>30</v>
      </c>
      <c r="G73" t="s">
        <v>125</v>
      </c>
      <c r="H73" s="10">
        <v>3252</v>
      </c>
      <c r="I73">
        <f>IF(RegistroEntradas[[#This Row],[Data do Caixa Realizado]] = "", 0, MONTH(RegistroEntradas[[#This Row],[Data do Caixa Realizado]]))</f>
        <v>6</v>
      </c>
      <c r="J73">
        <f>IF(RegistroEntradas[[#This Row],[Data do Caixa Realizado]] = "",0,YEAR(RegistroEntradas[[#This Row],[Data do Caixa Realizado]]))</f>
        <v>2018</v>
      </c>
      <c r="K73">
        <f xml:space="preserve"> IF(RegistroEntradas[[#This Row],[Data da Competência]] = "", 0, MONTH(RegistroEntradas[[#This Row],[Data da Competência]]))</f>
        <v>2</v>
      </c>
      <c r="L73">
        <f xml:space="preserve"> IF(RegistroEntradas[[#This Row],[Data da Competência]] = "", 0, YEAR(RegistroEntradas[[#This Row],[Data da Competência]]))</f>
        <v>2018</v>
      </c>
      <c r="M73">
        <f xml:space="preserve"> IF(RegistroEntradas[[#This Row],[Data do Caixa Previsto]]="",0,MONTH(RegistroEntradas[[#This Row],[Data do Caixa Previsto]]))</f>
        <v>3</v>
      </c>
      <c r="N73">
        <f xml:space="preserve"> IF(RegistroEntradas[[#This Row],[Data do Caixa Previsto]]="",0,YEAR(RegistroEntradas[[#This Row],[Data do Caixa Previsto]]))</f>
        <v>2018</v>
      </c>
      <c r="O73" t="str">
        <f ca="1">IF(AND(RegistroEntradas[[#This Row],[Data do Caixa Previsto]]&lt;TODAY(),RegistroEntradas[[#This Row],[Data do Caixa Realizado]]=""),"Vencida","Paga")</f>
        <v>Paga</v>
      </c>
      <c r="P73" t="str">
        <f xml:space="preserve"> IF(RegistroEntradas[[#This Row],[Data da Competência]]=RegistroEntradas[[#This Row],[Data do Caixa Previsto]],"À Vista","À Prazo")</f>
        <v>À Prazo</v>
      </c>
      <c r="Q73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79.240998561639572</v>
      </c>
    </row>
    <row r="74" spans="2:17" ht="20.100000000000001" customHeight="1" x14ac:dyDescent="0.25">
      <c r="B74" s="9">
        <v>43169.443907551016</v>
      </c>
      <c r="C74" s="9">
        <v>43160</v>
      </c>
      <c r="D74" s="9">
        <v>43169.443907551016</v>
      </c>
      <c r="E74" t="s">
        <v>24</v>
      </c>
      <c r="F74" t="s">
        <v>31</v>
      </c>
      <c r="G74" t="s">
        <v>126</v>
      </c>
      <c r="H74" s="10">
        <v>3701</v>
      </c>
      <c r="I74">
        <f>IF(RegistroEntradas[[#This Row],[Data do Caixa Realizado]] = "", 0, MONTH(RegistroEntradas[[#This Row],[Data do Caixa Realizado]]))</f>
        <v>3</v>
      </c>
      <c r="J74">
        <f>IF(RegistroEntradas[[#This Row],[Data do Caixa Realizado]] = "",0,YEAR(RegistroEntradas[[#This Row],[Data do Caixa Realizado]]))</f>
        <v>2018</v>
      </c>
      <c r="K74">
        <f xml:space="preserve"> IF(RegistroEntradas[[#This Row],[Data da Competência]] = "", 0, MONTH(RegistroEntradas[[#This Row],[Data da Competência]]))</f>
        <v>3</v>
      </c>
      <c r="L74">
        <f xml:space="preserve"> IF(RegistroEntradas[[#This Row],[Data da Competência]] = "", 0, YEAR(RegistroEntradas[[#This Row],[Data da Competência]]))</f>
        <v>2018</v>
      </c>
      <c r="M74">
        <f xml:space="preserve"> IF(RegistroEntradas[[#This Row],[Data do Caixa Previsto]]="",0,MONTH(RegistroEntradas[[#This Row],[Data do Caixa Previsto]]))</f>
        <v>3</v>
      </c>
      <c r="N74">
        <f xml:space="preserve"> IF(RegistroEntradas[[#This Row],[Data do Caixa Previsto]]="",0,YEAR(RegistroEntradas[[#This Row],[Data do Caixa Previsto]]))</f>
        <v>2018</v>
      </c>
      <c r="O74" t="str">
        <f ca="1">IF(AND(RegistroEntradas[[#This Row],[Data do Caixa Previsto]]&lt;TODAY(),RegistroEntradas[[#This Row],[Data do Caixa Realizado]]=""),"Vencida","Paga")</f>
        <v>Paga</v>
      </c>
      <c r="P74" t="str">
        <f xml:space="preserve"> IF(RegistroEntradas[[#This Row],[Data da Competência]]=RegistroEntradas[[#This Row],[Data do Caixa Previsto]],"À Vista","À Prazo")</f>
        <v>À Prazo</v>
      </c>
      <c r="Q74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75" spans="2:17" ht="20.100000000000001" customHeight="1" x14ac:dyDescent="0.25">
      <c r="B75" s="9">
        <v>43202.812742183109</v>
      </c>
      <c r="C75" s="9">
        <v>43162</v>
      </c>
      <c r="D75" s="9">
        <v>43202.812742183109</v>
      </c>
      <c r="E75" t="s">
        <v>24</v>
      </c>
      <c r="F75" t="s">
        <v>33</v>
      </c>
      <c r="G75" t="s">
        <v>127</v>
      </c>
      <c r="H75" s="10">
        <v>1977</v>
      </c>
      <c r="I75">
        <f>IF(RegistroEntradas[[#This Row],[Data do Caixa Realizado]] = "", 0, MONTH(RegistroEntradas[[#This Row],[Data do Caixa Realizado]]))</f>
        <v>4</v>
      </c>
      <c r="J75">
        <f>IF(RegistroEntradas[[#This Row],[Data do Caixa Realizado]] = "",0,YEAR(RegistroEntradas[[#This Row],[Data do Caixa Realizado]]))</f>
        <v>2018</v>
      </c>
      <c r="K75">
        <f xml:space="preserve"> IF(RegistroEntradas[[#This Row],[Data da Competência]] = "", 0, MONTH(RegistroEntradas[[#This Row],[Data da Competência]]))</f>
        <v>3</v>
      </c>
      <c r="L75">
        <f xml:space="preserve"> IF(RegistroEntradas[[#This Row],[Data da Competência]] = "", 0, YEAR(RegistroEntradas[[#This Row],[Data da Competência]]))</f>
        <v>2018</v>
      </c>
      <c r="M75">
        <f xml:space="preserve"> IF(RegistroEntradas[[#This Row],[Data do Caixa Previsto]]="",0,MONTH(RegistroEntradas[[#This Row],[Data do Caixa Previsto]]))</f>
        <v>4</v>
      </c>
      <c r="N75">
        <f xml:space="preserve"> IF(RegistroEntradas[[#This Row],[Data do Caixa Previsto]]="",0,YEAR(RegistroEntradas[[#This Row],[Data do Caixa Previsto]]))</f>
        <v>2018</v>
      </c>
      <c r="O75" t="str">
        <f ca="1">IF(AND(RegistroEntradas[[#This Row],[Data do Caixa Previsto]]&lt;TODAY(),RegistroEntradas[[#This Row],[Data do Caixa Realizado]]=""),"Vencida","Paga")</f>
        <v>Paga</v>
      </c>
      <c r="P75" t="str">
        <f xml:space="preserve"> IF(RegistroEntradas[[#This Row],[Data da Competência]]=RegistroEntradas[[#This Row],[Data do Caixa Previsto]],"À Vista","À Prazo")</f>
        <v>À Prazo</v>
      </c>
      <c r="Q75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76" spans="2:17" ht="20.100000000000001" customHeight="1" x14ac:dyDescent="0.25">
      <c r="B76" s="9">
        <v>43277.69194849013</v>
      </c>
      <c r="C76" s="9">
        <v>43163</v>
      </c>
      <c r="D76" s="9">
        <v>43211.113627447019</v>
      </c>
      <c r="E76" t="s">
        <v>24</v>
      </c>
      <c r="F76" t="s">
        <v>31</v>
      </c>
      <c r="G76" t="s">
        <v>128</v>
      </c>
      <c r="H76" s="10">
        <v>1217</v>
      </c>
      <c r="I76">
        <f>IF(RegistroEntradas[[#This Row],[Data do Caixa Realizado]] = "", 0, MONTH(RegistroEntradas[[#This Row],[Data do Caixa Realizado]]))</f>
        <v>6</v>
      </c>
      <c r="J76">
        <f>IF(RegistroEntradas[[#This Row],[Data do Caixa Realizado]] = "",0,YEAR(RegistroEntradas[[#This Row],[Data do Caixa Realizado]]))</f>
        <v>2018</v>
      </c>
      <c r="K76">
        <f xml:space="preserve"> IF(RegistroEntradas[[#This Row],[Data da Competência]] = "", 0, MONTH(RegistroEntradas[[#This Row],[Data da Competência]]))</f>
        <v>3</v>
      </c>
      <c r="L76">
        <f xml:space="preserve"> IF(RegistroEntradas[[#This Row],[Data da Competência]] = "", 0, YEAR(RegistroEntradas[[#This Row],[Data da Competência]]))</f>
        <v>2018</v>
      </c>
      <c r="M76">
        <f xml:space="preserve"> IF(RegistroEntradas[[#This Row],[Data do Caixa Previsto]]="",0,MONTH(RegistroEntradas[[#This Row],[Data do Caixa Previsto]]))</f>
        <v>4</v>
      </c>
      <c r="N76">
        <f xml:space="preserve"> IF(RegistroEntradas[[#This Row],[Data do Caixa Previsto]]="",0,YEAR(RegistroEntradas[[#This Row],[Data do Caixa Previsto]]))</f>
        <v>2018</v>
      </c>
      <c r="O76" t="str">
        <f ca="1">IF(AND(RegistroEntradas[[#This Row],[Data do Caixa Previsto]]&lt;TODAY(),RegistroEntradas[[#This Row],[Data do Caixa Realizado]]=""),"Vencida","Paga")</f>
        <v>Paga</v>
      </c>
      <c r="P76" t="str">
        <f xml:space="preserve"> IF(RegistroEntradas[[#This Row],[Data da Competência]]=RegistroEntradas[[#This Row],[Data do Caixa Previsto]],"À Vista","À Prazo")</f>
        <v>À Prazo</v>
      </c>
      <c r="Q76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66.578321043110918</v>
      </c>
    </row>
    <row r="77" spans="2:17" ht="20.100000000000001" customHeight="1" x14ac:dyDescent="0.25">
      <c r="B77" s="9">
        <v>43283.817447549081</v>
      </c>
      <c r="C77" s="9">
        <v>43166</v>
      </c>
      <c r="D77" s="9">
        <v>43203.174471123319</v>
      </c>
      <c r="E77" t="s">
        <v>24</v>
      </c>
      <c r="F77" t="s">
        <v>29</v>
      </c>
      <c r="G77" t="s">
        <v>129</v>
      </c>
      <c r="H77" s="10">
        <v>1660</v>
      </c>
      <c r="I77">
        <f>IF(RegistroEntradas[[#This Row],[Data do Caixa Realizado]] = "", 0, MONTH(RegistroEntradas[[#This Row],[Data do Caixa Realizado]]))</f>
        <v>7</v>
      </c>
      <c r="J77">
        <f>IF(RegistroEntradas[[#This Row],[Data do Caixa Realizado]] = "",0,YEAR(RegistroEntradas[[#This Row],[Data do Caixa Realizado]]))</f>
        <v>2018</v>
      </c>
      <c r="K77">
        <f xml:space="preserve"> IF(RegistroEntradas[[#This Row],[Data da Competência]] = "", 0, MONTH(RegistroEntradas[[#This Row],[Data da Competência]]))</f>
        <v>3</v>
      </c>
      <c r="L77">
        <f xml:space="preserve"> IF(RegistroEntradas[[#This Row],[Data da Competência]] = "", 0, YEAR(RegistroEntradas[[#This Row],[Data da Competência]]))</f>
        <v>2018</v>
      </c>
      <c r="M77">
        <f xml:space="preserve"> IF(RegistroEntradas[[#This Row],[Data do Caixa Previsto]]="",0,MONTH(RegistroEntradas[[#This Row],[Data do Caixa Previsto]]))</f>
        <v>4</v>
      </c>
      <c r="N77">
        <f xml:space="preserve"> IF(RegistroEntradas[[#This Row],[Data do Caixa Previsto]]="",0,YEAR(RegistroEntradas[[#This Row],[Data do Caixa Previsto]]))</f>
        <v>2018</v>
      </c>
      <c r="O77" t="str">
        <f ca="1">IF(AND(RegistroEntradas[[#This Row],[Data do Caixa Previsto]]&lt;TODAY(),RegistroEntradas[[#This Row],[Data do Caixa Realizado]]=""),"Vencida","Paga")</f>
        <v>Paga</v>
      </c>
      <c r="P77" t="str">
        <f xml:space="preserve"> IF(RegistroEntradas[[#This Row],[Data da Competência]]=RegistroEntradas[[#This Row],[Data do Caixa Previsto]],"À Vista","À Prazo")</f>
        <v>À Prazo</v>
      </c>
      <c r="Q77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80.642976425762754</v>
      </c>
    </row>
    <row r="78" spans="2:17" ht="20.100000000000001" customHeight="1" x14ac:dyDescent="0.25">
      <c r="B78" s="9">
        <v>43184.083980960655</v>
      </c>
      <c r="C78" s="9">
        <v>43169</v>
      </c>
      <c r="D78" s="9">
        <v>43184.083980960655</v>
      </c>
      <c r="E78" t="s">
        <v>24</v>
      </c>
      <c r="F78" t="s">
        <v>29</v>
      </c>
      <c r="G78" t="s">
        <v>130</v>
      </c>
      <c r="H78" s="10">
        <v>837</v>
      </c>
      <c r="I78">
        <f>IF(RegistroEntradas[[#This Row],[Data do Caixa Realizado]] = "", 0, MONTH(RegistroEntradas[[#This Row],[Data do Caixa Realizado]]))</f>
        <v>3</v>
      </c>
      <c r="J78">
        <f>IF(RegistroEntradas[[#This Row],[Data do Caixa Realizado]] = "",0,YEAR(RegistroEntradas[[#This Row],[Data do Caixa Realizado]]))</f>
        <v>2018</v>
      </c>
      <c r="K78">
        <f xml:space="preserve"> IF(RegistroEntradas[[#This Row],[Data da Competência]] = "", 0, MONTH(RegistroEntradas[[#This Row],[Data da Competência]]))</f>
        <v>3</v>
      </c>
      <c r="L78">
        <f xml:space="preserve"> IF(RegistroEntradas[[#This Row],[Data da Competência]] = "", 0, YEAR(RegistroEntradas[[#This Row],[Data da Competência]]))</f>
        <v>2018</v>
      </c>
      <c r="M78">
        <f xml:space="preserve"> IF(RegistroEntradas[[#This Row],[Data do Caixa Previsto]]="",0,MONTH(RegistroEntradas[[#This Row],[Data do Caixa Previsto]]))</f>
        <v>3</v>
      </c>
      <c r="N78">
        <f xml:space="preserve"> IF(RegistroEntradas[[#This Row],[Data do Caixa Previsto]]="",0,YEAR(RegistroEntradas[[#This Row],[Data do Caixa Previsto]]))</f>
        <v>2018</v>
      </c>
      <c r="O78" t="str">
        <f ca="1">IF(AND(RegistroEntradas[[#This Row],[Data do Caixa Previsto]]&lt;TODAY(),RegistroEntradas[[#This Row],[Data do Caixa Realizado]]=""),"Vencida","Paga")</f>
        <v>Paga</v>
      </c>
      <c r="P78" t="str">
        <f xml:space="preserve"> IF(RegistroEntradas[[#This Row],[Data da Competência]]=RegistroEntradas[[#This Row],[Data do Caixa Previsto]],"À Vista","À Prazo")</f>
        <v>À Prazo</v>
      </c>
      <c r="Q78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79" spans="2:17" ht="20.100000000000001" customHeight="1" x14ac:dyDescent="0.25">
      <c r="B79" s="9">
        <v>43200.147034627953</v>
      </c>
      <c r="C79" s="9">
        <v>43171</v>
      </c>
      <c r="D79" s="9">
        <v>43200.147034627953</v>
      </c>
      <c r="E79" t="s">
        <v>24</v>
      </c>
      <c r="F79" t="s">
        <v>32</v>
      </c>
      <c r="G79" t="s">
        <v>131</v>
      </c>
      <c r="H79" s="10">
        <v>1838</v>
      </c>
      <c r="I79">
        <f>IF(RegistroEntradas[[#This Row],[Data do Caixa Realizado]] = "", 0, MONTH(RegistroEntradas[[#This Row],[Data do Caixa Realizado]]))</f>
        <v>4</v>
      </c>
      <c r="J79">
        <f>IF(RegistroEntradas[[#This Row],[Data do Caixa Realizado]] = "",0,YEAR(RegistroEntradas[[#This Row],[Data do Caixa Realizado]]))</f>
        <v>2018</v>
      </c>
      <c r="K79">
        <f xml:space="preserve"> IF(RegistroEntradas[[#This Row],[Data da Competência]] = "", 0, MONTH(RegistroEntradas[[#This Row],[Data da Competência]]))</f>
        <v>3</v>
      </c>
      <c r="L79">
        <f xml:space="preserve"> IF(RegistroEntradas[[#This Row],[Data da Competência]] = "", 0, YEAR(RegistroEntradas[[#This Row],[Data da Competência]]))</f>
        <v>2018</v>
      </c>
      <c r="M79">
        <f xml:space="preserve"> IF(RegistroEntradas[[#This Row],[Data do Caixa Previsto]]="",0,MONTH(RegistroEntradas[[#This Row],[Data do Caixa Previsto]]))</f>
        <v>4</v>
      </c>
      <c r="N79">
        <f xml:space="preserve"> IF(RegistroEntradas[[#This Row],[Data do Caixa Previsto]]="",0,YEAR(RegistroEntradas[[#This Row],[Data do Caixa Previsto]]))</f>
        <v>2018</v>
      </c>
      <c r="O79" t="str">
        <f ca="1">IF(AND(RegistroEntradas[[#This Row],[Data do Caixa Previsto]]&lt;TODAY(),RegistroEntradas[[#This Row],[Data do Caixa Realizado]]=""),"Vencida","Paga")</f>
        <v>Paga</v>
      </c>
      <c r="P79" t="str">
        <f xml:space="preserve"> IF(RegistroEntradas[[#This Row],[Data da Competência]]=RegistroEntradas[[#This Row],[Data do Caixa Previsto]],"À Vista","À Prazo")</f>
        <v>À Prazo</v>
      </c>
      <c r="Q79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80" spans="2:17" ht="20.100000000000001" customHeight="1" x14ac:dyDescent="0.25">
      <c r="B80" s="9">
        <v>43207.818228031581</v>
      </c>
      <c r="C80" s="9">
        <v>43176</v>
      </c>
      <c r="D80" s="9">
        <v>43207.818228031581</v>
      </c>
      <c r="E80" t="s">
        <v>24</v>
      </c>
      <c r="F80" t="s">
        <v>33</v>
      </c>
      <c r="G80" t="s">
        <v>132</v>
      </c>
      <c r="H80" s="10">
        <v>4471</v>
      </c>
      <c r="I80">
        <f>IF(RegistroEntradas[[#This Row],[Data do Caixa Realizado]] = "", 0, MONTH(RegistroEntradas[[#This Row],[Data do Caixa Realizado]]))</f>
        <v>4</v>
      </c>
      <c r="J80">
        <f>IF(RegistroEntradas[[#This Row],[Data do Caixa Realizado]] = "",0,YEAR(RegistroEntradas[[#This Row],[Data do Caixa Realizado]]))</f>
        <v>2018</v>
      </c>
      <c r="K80">
        <f xml:space="preserve"> IF(RegistroEntradas[[#This Row],[Data da Competência]] = "", 0, MONTH(RegistroEntradas[[#This Row],[Data da Competência]]))</f>
        <v>3</v>
      </c>
      <c r="L80">
        <f xml:space="preserve"> IF(RegistroEntradas[[#This Row],[Data da Competência]] = "", 0, YEAR(RegistroEntradas[[#This Row],[Data da Competência]]))</f>
        <v>2018</v>
      </c>
      <c r="M80">
        <f xml:space="preserve"> IF(RegistroEntradas[[#This Row],[Data do Caixa Previsto]]="",0,MONTH(RegistroEntradas[[#This Row],[Data do Caixa Previsto]]))</f>
        <v>4</v>
      </c>
      <c r="N80">
        <f xml:space="preserve"> IF(RegistroEntradas[[#This Row],[Data do Caixa Previsto]]="",0,YEAR(RegistroEntradas[[#This Row],[Data do Caixa Previsto]]))</f>
        <v>2018</v>
      </c>
      <c r="O80" t="str">
        <f ca="1">IF(AND(RegistroEntradas[[#This Row],[Data do Caixa Previsto]]&lt;TODAY(),RegistroEntradas[[#This Row],[Data do Caixa Realizado]]=""),"Vencida","Paga")</f>
        <v>Paga</v>
      </c>
      <c r="P80" t="str">
        <f xml:space="preserve"> IF(RegistroEntradas[[#This Row],[Data da Competência]]=RegistroEntradas[[#This Row],[Data do Caixa Previsto]],"À Vista","À Prazo")</f>
        <v>À Prazo</v>
      </c>
      <c r="Q80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81" spans="2:17" ht="20.100000000000001" customHeight="1" x14ac:dyDescent="0.25">
      <c r="B81" s="9">
        <v>43234.457970610572</v>
      </c>
      <c r="C81" s="9">
        <v>43177</v>
      </c>
      <c r="D81" s="9">
        <v>43234.457970610572</v>
      </c>
      <c r="E81" t="s">
        <v>24</v>
      </c>
      <c r="F81" t="s">
        <v>32</v>
      </c>
      <c r="G81" t="s">
        <v>133</v>
      </c>
      <c r="H81" s="10">
        <v>3540</v>
      </c>
      <c r="I81">
        <f>IF(RegistroEntradas[[#This Row],[Data do Caixa Realizado]] = "", 0, MONTH(RegistroEntradas[[#This Row],[Data do Caixa Realizado]]))</f>
        <v>5</v>
      </c>
      <c r="J81">
        <f>IF(RegistroEntradas[[#This Row],[Data do Caixa Realizado]] = "",0,YEAR(RegistroEntradas[[#This Row],[Data do Caixa Realizado]]))</f>
        <v>2018</v>
      </c>
      <c r="K81">
        <f xml:space="preserve"> IF(RegistroEntradas[[#This Row],[Data da Competência]] = "", 0, MONTH(RegistroEntradas[[#This Row],[Data da Competência]]))</f>
        <v>3</v>
      </c>
      <c r="L81">
        <f xml:space="preserve"> IF(RegistroEntradas[[#This Row],[Data da Competência]] = "", 0, YEAR(RegistroEntradas[[#This Row],[Data da Competência]]))</f>
        <v>2018</v>
      </c>
      <c r="M81">
        <f xml:space="preserve"> IF(RegistroEntradas[[#This Row],[Data do Caixa Previsto]]="",0,MONTH(RegistroEntradas[[#This Row],[Data do Caixa Previsto]]))</f>
        <v>5</v>
      </c>
      <c r="N81">
        <f xml:space="preserve"> IF(RegistroEntradas[[#This Row],[Data do Caixa Previsto]]="",0,YEAR(RegistroEntradas[[#This Row],[Data do Caixa Previsto]]))</f>
        <v>2018</v>
      </c>
      <c r="O81" t="str">
        <f ca="1">IF(AND(RegistroEntradas[[#This Row],[Data do Caixa Previsto]]&lt;TODAY(),RegistroEntradas[[#This Row],[Data do Caixa Realizado]]=""),"Vencida","Paga")</f>
        <v>Paga</v>
      </c>
      <c r="P81" t="str">
        <f xml:space="preserve"> IF(RegistroEntradas[[#This Row],[Data da Competência]]=RegistroEntradas[[#This Row],[Data do Caixa Previsto]],"À Vista","À Prazo")</f>
        <v>À Prazo</v>
      </c>
      <c r="Q81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82" spans="2:17" ht="20.100000000000001" customHeight="1" x14ac:dyDescent="0.25">
      <c r="B82" s="9">
        <v>43220.822063654756</v>
      </c>
      <c r="C82" s="9">
        <v>43180</v>
      </c>
      <c r="D82" s="9">
        <v>43220.822063654756</v>
      </c>
      <c r="E82" t="s">
        <v>24</v>
      </c>
      <c r="F82" t="s">
        <v>32</v>
      </c>
      <c r="G82" t="s">
        <v>134</v>
      </c>
      <c r="H82" s="10">
        <v>4606</v>
      </c>
      <c r="I82">
        <f>IF(RegistroEntradas[[#This Row],[Data do Caixa Realizado]] = "", 0, MONTH(RegistroEntradas[[#This Row],[Data do Caixa Realizado]]))</f>
        <v>4</v>
      </c>
      <c r="J82">
        <f>IF(RegistroEntradas[[#This Row],[Data do Caixa Realizado]] = "",0,YEAR(RegistroEntradas[[#This Row],[Data do Caixa Realizado]]))</f>
        <v>2018</v>
      </c>
      <c r="K82">
        <f xml:space="preserve"> IF(RegistroEntradas[[#This Row],[Data da Competência]] = "", 0, MONTH(RegistroEntradas[[#This Row],[Data da Competência]]))</f>
        <v>3</v>
      </c>
      <c r="L82">
        <f xml:space="preserve"> IF(RegistroEntradas[[#This Row],[Data da Competência]] = "", 0, YEAR(RegistroEntradas[[#This Row],[Data da Competência]]))</f>
        <v>2018</v>
      </c>
      <c r="M82">
        <f xml:space="preserve"> IF(RegistroEntradas[[#This Row],[Data do Caixa Previsto]]="",0,MONTH(RegistroEntradas[[#This Row],[Data do Caixa Previsto]]))</f>
        <v>4</v>
      </c>
      <c r="N82">
        <f xml:space="preserve"> IF(RegistroEntradas[[#This Row],[Data do Caixa Previsto]]="",0,YEAR(RegistroEntradas[[#This Row],[Data do Caixa Previsto]]))</f>
        <v>2018</v>
      </c>
      <c r="O82" t="str">
        <f ca="1">IF(AND(RegistroEntradas[[#This Row],[Data do Caixa Previsto]]&lt;TODAY(),RegistroEntradas[[#This Row],[Data do Caixa Realizado]]=""),"Vencida","Paga")</f>
        <v>Paga</v>
      </c>
      <c r="P82" t="str">
        <f xml:space="preserve"> IF(RegistroEntradas[[#This Row],[Data da Competência]]=RegistroEntradas[[#This Row],[Data do Caixa Previsto]],"À Vista","À Prazo")</f>
        <v>À Prazo</v>
      </c>
      <c r="Q82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83" spans="2:17" ht="20.100000000000001" customHeight="1" x14ac:dyDescent="0.25">
      <c r="B83" s="9" t="s">
        <v>64</v>
      </c>
      <c r="C83" s="9">
        <v>43182</v>
      </c>
      <c r="D83" s="9">
        <v>43199.063059084292</v>
      </c>
      <c r="E83" t="s">
        <v>24</v>
      </c>
      <c r="F83" t="s">
        <v>30</v>
      </c>
      <c r="G83" t="s">
        <v>135</v>
      </c>
      <c r="H83" s="10">
        <v>2388</v>
      </c>
      <c r="I83">
        <f>IF(RegistroEntradas[[#This Row],[Data do Caixa Realizado]] = "", 0, MONTH(RegistroEntradas[[#This Row],[Data do Caixa Realizado]]))</f>
        <v>0</v>
      </c>
      <c r="J83">
        <f>IF(RegistroEntradas[[#This Row],[Data do Caixa Realizado]] = "",0,YEAR(RegistroEntradas[[#This Row],[Data do Caixa Realizado]]))</f>
        <v>0</v>
      </c>
      <c r="K83">
        <f xml:space="preserve"> IF(RegistroEntradas[[#This Row],[Data da Competência]] = "", 0, MONTH(RegistroEntradas[[#This Row],[Data da Competência]]))</f>
        <v>3</v>
      </c>
      <c r="L83">
        <f xml:space="preserve"> IF(RegistroEntradas[[#This Row],[Data da Competência]] = "", 0, YEAR(RegistroEntradas[[#This Row],[Data da Competência]]))</f>
        <v>2018</v>
      </c>
      <c r="M83">
        <f xml:space="preserve"> IF(RegistroEntradas[[#This Row],[Data do Caixa Previsto]]="",0,MONTH(RegistroEntradas[[#This Row],[Data do Caixa Previsto]]))</f>
        <v>4</v>
      </c>
      <c r="N83">
        <f xml:space="preserve"> IF(RegistroEntradas[[#This Row],[Data do Caixa Previsto]]="",0,YEAR(RegistroEntradas[[#This Row],[Data do Caixa Previsto]]))</f>
        <v>2018</v>
      </c>
      <c r="O83" t="str">
        <f ca="1">IF(AND(RegistroEntradas[[#This Row],[Data do Caixa Previsto]]&lt;TODAY(),RegistroEntradas[[#This Row],[Data do Caixa Realizado]]=""),"Vencida","Paga")</f>
        <v>Vencida</v>
      </c>
      <c r="P83" t="str">
        <f xml:space="preserve"> IF(RegistroEntradas[[#This Row],[Data da Competência]]=RegistroEntradas[[#This Row],[Data do Caixa Previsto]],"À Vista","À Prazo")</f>
        <v>À Prazo</v>
      </c>
      <c r="Q83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2016.936940915708</v>
      </c>
    </row>
    <row r="84" spans="2:17" ht="20.100000000000001" customHeight="1" x14ac:dyDescent="0.25">
      <c r="B84" s="9">
        <v>43187.544050679455</v>
      </c>
      <c r="C84" s="9">
        <v>43184</v>
      </c>
      <c r="D84" s="9">
        <v>43187.544050679455</v>
      </c>
      <c r="E84" t="s">
        <v>24</v>
      </c>
      <c r="F84" t="s">
        <v>29</v>
      </c>
      <c r="G84" t="s">
        <v>136</v>
      </c>
      <c r="H84" s="10">
        <v>2303</v>
      </c>
      <c r="I84">
        <f>IF(RegistroEntradas[[#This Row],[Data do Caixa Realizado]] = "", 0, MONTH(RegistroEntradas[[#This Row],[Data do Caixa Realizado]]))</f>
        <v>3</v>
      </c>
      <c r="J84">
        <f>IF(RegistroEntradas[[#This Row],[Data do Caixa Realizado]] = "",0,YEAR(RegistroEntradas[[#This Row],[Data do Caixa Realizado]]))</f>
        <v>2018</v>
      </c>
      <c r="K84">
        <f xml:space="preserve"> IF(RegistroEntradas[[#This Row],[Data da Competência]] = "", 0, MONTH(RegistroEntradas[[#This Row],[Data da Competência]]))</f>
        <v>3</v>
      </c>
      <c r="L84">
        <f xml:space="preserve"> IF(RegistroEntradas[[#This Row],[Data da Competência]] = "", 0, YEAR(RegistroEntradas[[#This Row],[Data da Competência]]))</f>
        <v>2018</v>
      </c>
      <c r="M84">
        <f xml:space="preserve"> IF(RegistroEntradas[[#This Row],[Data do Caixa Previsto]]="",0,MONTH(RegistroEntradas[[#This Row],[Data do Caixa Previsto]]))</f>
        <v>3</v>
      </c>
      <c r="N84">
        <f xml:space="preserve"> IF(RegistroEntradas[[#This Row],[Data do Caixa Previsto]]="",0,YEAR(RegistroEntradas[[#This Row],[Data do Caixa Previsto]]))</f>
        <v>2018</v>
      </c>
      <c r="O84" t="str">
        <f ca="1">IF(AND(RegistroEntradas[[#This Row],[Data do Caixa Previsto]]&lt;TODAY(),RegistroEntradas[[#This Row],[Data do Caixa Realizado]]=""),"Vencida","Paga")</f>
        <v>Paga</v>
      </c>
      <c r="P84" t="str">
        <f xml:space="preserve"> IF(RegistroEntradas[[#This Row],[Data da Competência]]=RegistroEntradas[[#This Row],[Data do Caixa Previsto]],"À Vista","À Prazo")</f>
        <v>À Prazo</v>
      </c>
      <c r="Q84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85" spans="2:17" ht="20.100000000000001" customHeight="1" x14ac:dyDescent="0.25">
      <c r="B85" s="9">
        <v>43205.258677559352</v>
      </c>
      <c r="C85" s="9">
        <v>43187</v>
      </c>
      <c r="D85" s="9">
        <v>43205.258677559352</v>
      </c>
      <c r="E85" t="s">
        <v>24</v>
      </c>
      <c r="F85" t="s">
        <v>33</v>
      </c>
      <c r="G85" t="s">
        <v>137</v>
      </c>
      <c r="H85" s="10">
        <v>1662</v>
      </c>
      <c r="I85">
        <f>IF(RegistroEntradas[[#This Row],[Data do Caixa Realizado]] = "", 0, MONTH(RegistroEntradas[[#This Row],[Data do Caixa Realizado]]))</f>
        <v>4</v>
      </c>
      <c r="J85">
        <f>IF(RegistroEntradas[[#This Row],[Data do Caixa Realizado]] = "",0,YEAR(RegistroEntradas[[#This Row],[Data do Caixa Realizado]]))</f>
        <v>2018</v>
      </c>
      <c r="K85">
        <f xml:space="preserve"> IF(RegistroEntradas[[#This Row],[Data da Competência]] = "", 0, MONTH(RegistroEntradas[[#This Row],[Data da Competência]]))</f>
        <v>3</v>
      </c>
      <c r="L85">
        <f xml:space="preserve"> IF(RegistroEntradas[[#This Row],[Data da Competência]] = "", 0, YEAR(RegistroEntradas[[#This Row],[Data da Competência]]))</f>
        <v>2018</v>
      </c>
      <c r="M85">
        <f xml:space="preserve"> IF(RegistroEntradas[[#This Row],[Data do Caixa Previsto]]="",0,MONTH(RegistroEntradas[[#This Row],[Data do Caixa Previsto]]))</f>
        <v>4</v>
      </c>
      <c r="N85">
        <f xml:space="preserve"> IF(RegistroEntradas[[#This Row],[Data do Caixa Previsto]]="",0,YEAR(RegistroEntradas[[#This Row],[Data do Caixa Previsto]]))</f>
        <v>2018</v>
      </c>
      <c r="O85" t="str">
        <f ca="1">IF(AND(RegistroEntradas[[#This Row],[Data do Caixa Previsto]]&lt;TODAY(),RegistroEntradas[[#This Row],[Data do Caixa Realizado]]=""),"Vencida","Paga")</f>
        <v>Paga</v>
      </c>
      <c r="P85" t="str">
        <f xml:space="preserve"> IF(RegistroEntradas[[#This Row],[Data da Competência]]=RegistroEntradas[[#This Row],[Data do Caixa Previsto]],"À Vista","À Prazo")</f>
        <v>À Prazo</v>
      </c>
      <c r="Q85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86" spans="2:17" ht="20.100000000000001" customHeight="1" x14ac:dyDescent="0.25">
      <c r="B86" s="9">
        <v>43228.479640925485</v>
      </c>
      <c r="C86" s="9">
        <v>43189</v>
      </c>
      <c r="D86" s="9">
        <v>43228.479640925485</v>
      </c>
      <c r="E86" t="s">
        <v>24</v>
      </c>
      <c r="F86" t="s">
        <v>30</v>
      </c>
      <c r="G86" t="s">
        <v>138</v>
      </c>
      <c r="H86" s="10">
        <v>3241</v>
      </c>
      <c r="I86">
        <f>IF(RegistroEntradas[[#This Row],[Data do Caixa Realizado]] = "", 0, MONTH(RegistroEntradas[[#This Row],[Data do Caixa Realizado]]))</f>
        <v>5</v>
      </c>
      <c r="J86">
        <f>IF(RegistroEntradas[[#This Row],[Data do Caixa Realizado]] = "",0,YEAR(RegistroEntradas[[#This Row],[Data do Caixa Realizado]]))</f>
        <v>2018</v>
      </c>
      <c r="K86">
        <f xml:space="preserve"> IF(RegistroEntradas[[#This Row],[Data da Competência]] = "", 0, MONTH(RegistroEntradas[[#This Row],[Data da Competência]]))</f>
        <v>3</v>
      </c>
      <c r="L86">
        <f xml:space="preserve"> IF(RegistroEntradas[[#This Row],[Data da Competência]] = "", 0, YEAR(RegistroEntradas[[#This Row],[Data da Competência]]))</f>
        <v>2018</v>
      </c>
      <c r="M86">
        <f xml:space="preserve"> IF(RegistroEntradas[[#This Row],[Data do Caixa Previsto]]="",0,MONTH(RegistroEntradas[[#This Row],[Data do Caixa Previsto]]))</f>
        <v>5</v>
      </c>
      <c r="N86">
        <f xml:space="preserve"> IF(RegistroEntradas[[#This Row],[Data do Caixa Previsto]]="",0,YEAR(RegistroEntradas[[#This Row],[Data do Caixa Previsto]]))</f>
        <v>2018</v>
      </c>
      <c r="O86" t="str">
        <f ca="1">IF(AND(RegistroEntradas[[#This Row],[Data do Caixa Previsto]]&lt;TODAY(),RegistroEntradas[[#This Row],[Data do Caixa Realizado]]=""),"Vencida","Paga")</f>
        <v>Paga</v>
      </c>
      <c r="P86" t="str">
        <f xml:space="preserve"> IF(RegistroEntradas[[#This Row],[Data da Competência]]=RegistroEntradas[[#This Row],[Data do Caixa Previsto]],"À Vista","À Prazo")</f>
        <v>À Prazo</v>
      </c>
      <c r="Q86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87" spans="2:17" ht="20.100000000000001" customHeight="1" x14ac:dyDescent="0.25">
      <c r="B87" s="9">
        <v>43228.526498585612</v>
      </c>
      <c r="C87" s="9">
        <v>43190</v>
      </c>
      <c r="D87" s="9">
        <v>43228.526498585612</v>
      </c>
      <c r="E87" t="s">
        <v>24</v>
      </c>
      <c r="F87" t="s">
        <v>33</v>
      </c>
      <c r="G87" t="s">
        <v>139</v>
      </c>
      <c r="H87" s="10">
        <v>4017</v>
      </c>
      <c r="I87">
        <f>IF(RegistroEntradas[[#This Row],[Data do Caixa Realizado]] = "", 0, MONTH(RegistroEntradas[[#This Row],[Data do Caixa Realizado]]))</f>
        <v>5</v>
      </c>
      <c r="J87">
        <f>IF(RegistroEntradas[[#This Row],[Data do Caixa Realizado]] = "",0,YEAR(RegistroEntradas[[#This Row],[Data do Caixa Realizado]]))</f>
        <v>2018</v>
      </c>
      <c r="K87">
        <f xml:space="preserve"> IF(RegistroEntradas[[#This Row],[Data da Competência]] = "", 0, MONTH(RegistroEntradas[[#This Row],[Data da Competência]]))</f>
        <v>3</v>
      </c>
      <c r="L87">
        <f xml:space="preserve"> IF(RegistroEntradas[[#This Row],[Data da Competência]] = "", 0, YEAR(RegistroEntradas[[#This Row],[Data da Competência]]))</f>
        <v>2018</v>
      </c>
      <c r="M87">
        <f xml:space="preserve"> IF(RegistroEntradas[[#This Row],[Data do Caixa Previsto]]="",0,MONTH(RegistroEntradas[[#This Row],[Data do Caixa Previsto]]))</f>
        <v>5</v>
      </c>
      <c r="N87">
        <f xml:space="preserve"> IF(RegistroEntradas[[#This Row],[Data do Caixa Previsto]]="",0,YEAR(RegistroEntradas[[#This Row],[Data do Caixa Previsto]]))</f>
        <v>2018</v>
      </c>
      <c r="O87" t="str">
        <f ca="1">IF(AND(RegistroEntradas[[#This Row],[Data do Caixa Previsto]]&lt;TODAY(),RegistroEntradas[[#This Row],[Data do Caixa Realizado]]=""),"Vencida","Paga")</f>
        <v>Paga</v>
      </c>
      <c r="P87" t="str">
        <f xml:space="preserve"> IF(RegistroEntradas[[#This Row],[Data da Competência]]=RegistroEntradas[[#This Row],[Data do Caixa Previsto]],"À Vista","À Prazo")</f>
        <v>À Prazo</v>
      </c>
      <c r="Q87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88" spans="2:17" ht="20.100000000000001" customHeight="1" x14ac:dyDescent="0.25">
      <c r="B88" s="9">
        <v>43289.577504759094</v>
      </c>
      <c r="C88" s="9">
        <v>43193</v>
      </c>
      <c r="D88" s="9">
        <v>43251.952991180231</v>
      </c>
      <c r="E88" t="s">
        <v>24</v>
      </c>
      <c r="F88" t="s">
        <v>32</v>
      </c>
      <c r="G88" t="s">
        <v>140</v>
      </c>
      <c r="H88" s="10">
        <v>3586</v>
      </c>
      <c r="I88">
        <f>IF(RegistroEntradas[[#This Row],[Data do Caixa Realizado]] = "", 0, MONTH(RegistroEntradas[[#This Row],[Data do Caixa Realizado]]))</f>
        <v>7</v>
      </c>
      <c r="J88">
        <f>IF(RegistroEntradas[[#This Row],[Data do Caixa Realizado]] = "",0,YEAR(RegistroEntradas[[#This Row],[Data do Caixa Realizado]]))</f>
        <v>2018</v>
      </c>
      <c r="K88">
        <f xml:space="preserve"> IF(RegistroEntradas[[#This Row],[Data da Competência]] = "", 0, MONTH(RegistroEntradas[[#This Row],[Data da Competência]]))</f>
        <v>4</v>
      </c>
      <c r="L88">
        <f xml:space="preserve"> IF(RegistroEntradas[[#This Row],[Data da Competência]] = "", 0, YEAR(RegistroEntradas[[#This Row],[Data da Competência]]))</f>
        <v>2018</v>
      </c>
      <c r="M88">
        <f xml:space="preserve"> IF(RegistroEntradas[[#This Row],[Data do Caixa Previsto]]="",0,MONTH(RegistroEntradas[[#This Row],[Data do Caixa Previsto]]))</f>
        <v>5</v>
      </c>
      <c r="N88">
        <f xml:space="preserve"> IF(RegistroEntradas[[#This Row],[Data do Caixa Previsto]]="",0,YEAR(RegistroEntradas[[#This Row],[Data do Caixa Previsto]]))</f>
        <v>2018</v>
      </c>
      <c r="O88" t="str">
        <f ca="1">IF(AND(RegistroEntradas[[#This Row],[Data do Caixa Previsto]]&lt;TODAY(),RegistroEntradas[[#This Row],[Data do Caixa Realizado]]=""),"Vencida","Paga")</f>
        <v>Paga</v>
      </c>
      <c r="P88" t="str">
        <f xml:space="preserve"> IF(RegistroEntradas[[#This Row],[Data da Competência]]=RegistroEntradas[[#This Row],[Data do Caixa Previsto]],"À Vista","À Prazo")</f>
        <v>À Prazo</v>
      </c>
      <c r="Q88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37.624513578863116</v>
      </c>
    </row>
    <row r="89" spans="2:17" ht="20.100000000000001" customHeight="1" x14ac:dyDescent="0.25">
      <c r="B89" s="9">
        <v>43221.091190775791</v>
      </c>
      <c r="C89" s="9">
        <v>43196</v>
      </c>
      <c r="D89" s="9">
        <v>43221.091190775791</v>
      </c>
      <c r="E89" t="s">
        <v>24</v>
      </c>
      <c r="F89" t="s">
        <v>30</v>
      </c>
      <c r="G89" t="s">
        <v>141</v>
      </c>
      <c r="H89" s="10">
        <v>4467</v>
      </c>
      <c r="I89">
        <f>IF(RegistroEntradas[[#This Row],[Data do Caixa Realizado]] = "", 0, MONTH(RegistroEntradas[[#This Row],[Data do Caixa Realizado]]))</f>
        <v>5</v>
      </c>
      <c r="J89">
        <f>IF(RegistroEntradas[[#This Row],[Data do Caixa Realizado]] = "",0,YEAR(RegistroEntradas[[#This Row],[Data do Caixa Realizado]]))</f>
        <v>2018</v>
      </c>
      <c r="K89">
        <f xml:space="preserve"> IF(RegistroEntradas[[#This Row],[Data da Competência]] = "", 0, MONTH(RegistroEntradas[[#This Row],[Data da Competência]]))</f>
        <v>4</v>
      </c>
      <c r="L89">
        <f xml:space="preserve"> IF(RegistroEntradas[[#This Row],[Data da Competência]] = "", 0, YEAR(RegistroEntradas[[#This Row],[Data da Competência]]))</f>
        <v>2018</v>
      </c>
      <c r="M89">
        <f xml:space="preserve"> IF(RegistroEntradas[[#This Row],[Data do Caixa Previsto]]="",0,MONTH(RegistroEntradas[[#This Row],[Data do Caixa Previsto]]))</f>
        <v>5</v>
      </c>
      <c r="N89">
        <f xml:space="preserve"> IF(RegistroEntradas[[#This Row],[Data do Caixa Previsto]]="",0,YEAR(RegistroEntradas[[#This Row],[Data do Caixa Previsto]]))</f>
        <v>2018</v>
      </c>
      <c r="O89" t="str">
        <f ca="1">IF(AND(RegistroEntradas[[#This Row],[Data do Caixa Previsto]]&lt;TODAY(),RegistroEntradas[[#This Row],[Data do Caixa Realizado]]=""),"Vencida","Paga")</f>
        <v>Paga</v>
      </c>
      <c r="P89" t="str">
        <f xml:space="preserve"> IF(RegistroEntradas[[#This Row],[Data da Competência]]=RegistroEntradas[[#This Row],[Data do Caixa Previsto]],"À Vista","À Prazo")</f>
        <v>À Prazo</v>
      </c>
      <c r="Q89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90" spans="2:17" ht="20.100000000000001" customHeight="1" x14ac:dyDescent="0.25">
      <c r="B90" s="9">
        <v>43251.171133907985</v>
      </c>
      <c r="C90" s="9">
        <v>43199</v>
      </c>
      <c r="D90" s="9">
        <v>43251.171133907985</v>
      </c>
      <c r="E90" t="s">
        <v>24</v>
      </c>
      <c r="F90" t="s">
        <v>32</v>
      </c>
      <c r="G90" t="s">
        <v>142</v>
      </c>
      <c r="H90" s="10">
        <v>4262</v>
      </c>
      <c r="I90">
        <f>IF(RegistroEntradas[[#This Row],[Data do Caixa Realizado]] = "", 0, MONTH(RegistroEntradas[[#This Row],[Data do Caixa Realizado]]))</f>
        <v>5</v>
      </c>
      <c r="J90">
        <f>IF(RegistroEntradas[[#This Row],[Data do Caixa Realizado]] = "",0,YEAR(RegistroEntradas[[#This Row],[Data do Caixa Realizado]]))</f>
        <v>2018</v>
      </c>
      <c r="K90">
        <f xml:space="preserve"> IF(RegistroEntradas[[#This Row],[Data da Competência]] = "", 0, MONTH(RegistroEntradas[[#This Row],[Data da Competência]]))</f>
        <v>4</v>
      </c>
      <c r="L90">
        <f xml:space="preserve"> IF(RegistroEntradas[[#This Row],[Data da Competência]] = "", 0, YEAR(RegistroEntradas[[#This Row],[Data da Competência]]))</f>
        <v>2018</v>
      </c>
      <c r="M90">
        <f xml:space="preserve"> IF(RegistroEntradas[[#This Row],[Data do Caixa Previsto]]="",0,MONTH(RegistroEntradas[[#This Row],[Data do Caixa Previsto]]))</f>
        <v>5</v>
      </c>
      <c r="N90">
        <f xml:space="preserve"> IF(RegistroEntradas[[#This Row],[Data do Caixa Previsto]]="",0,YEAR(RegistroEntradas[[#This Row],[Data do Caixa Previsto]]))</f>
        <v>2018</v>
      </c>
      <c r="O90" t="str">
        <f ca="1">IF(AND(RegistroEntradas[[#This Row],[Data do Caixa Previsto]]&lt;TODAY(),RegistroEntradas[[#This Row],[Data do Caixa Realizado]]=""),"Vencida","Paga")</f>
        <v>Paga</v>
      </c>
      <c r="P90" t="str">
        <f xml:space="preserve"> IF(RegistroEntradas[[#This Row],[Data da Competência]]=RegistroEntradas[[#This Row],[Data do Caixa Previsto]],"À Vista","À Prazo")</f>
        <v>À Prazo</v>
      </c>
      <c r="Q90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91" spans="2:17" ht="20.100000000000001" customHeight="1" x14ac:dyDescent="0.25">
      <c r="B91" s="9">
        <v>43264.89293629631</v>
      </c>
      <c r="C91" s="9">
        <v>43201</v>
      </c>
      <c r="D91" s="9">
        <v>43260.535750034454</v>
      </c>
      <c r="E91" t="s">
        <v>24</v>
      </c>
      <c r="F91" t="s">
        <v>32</v>
      </c>
      <c r="G91" t="s">
        <v>143</v>
      </c>
      <c r="H91" s="10">
        <v>2593</v>
      </c>
      <c r="I91">
        <f>IF(RegistroEntradas[[#This Row],[Data do Caixa Realizado]] = "", 0, MONTH(RegistroEntradas[[#This Row],[Data do Caixa Realizado]]))</f>
        <v>6</v>
      </c>
      <c r="J91">
        <f>IF(RegistroEntradas[[#This Row],[Data do Caixa Realizado]] = "",0,YEAR(RegistroEntradas[[#This Row],[Data do Caixa Realizado]]))</f>
        <v>2018</v>
      </c>
      <c r="K91">
        <f xml:space="preserve"> IF(RegistroEntradas[[#This Row],[Data da Competência]] = "", 0, MONTH(RegistroEntradas[[#This Row],[Data da Competência]]))</f>
        <v>4</v>
      </c>
      <c r="L91">
        <f xml:space="preserve"> IF(RegistroEntradas[[#This Row],[Data da Competência]] = "", 0, YEAR(RegistroEntradas[[#This Row],[Data da Competência]]))</f>
        <v>2018</v>
      </c>
      <c r="M91">
        <f xml:space="preserve"> IF(RegistroEntradas[[#This Row],[Data do Caixa Previsto]]="",0,MONTH(RegistroEntradas[[#This Row],[Data do Caixa Previsto]]))</f>
        <v>6</v>
      </c>
      <c r="N91">
        <f xml:space="preserve"> IF(RegistroEntradas[[#This Row],[Data do Caixa Previsto]]="",0,YEAR(RegistroEntradas[[#This Row],[Data do Caixa Previsto]]))</f>
        <v>2018</v>
      </c>
      <c r="O91" t="str">
        <f ca="1">IF(AND(RegistroEntradas[[#This Row],[Data do Caixa Previsto]]&lt;TODAY(),RegistroEntradas[[#This Row],[Data do Caixa Realizado]]=""),"Vencida","Paga")</f>
        <v>Paga</v>
      </c>
      <c r="P91" t="str">
        <f xml:space="preserve"> IF(RegistroEntradas[[#This Row],[Data da Competência]]=RegistroEntradas[[#This Row],[Data do Caixa Previsto]],"À Vista","À Prazo")</f>
        <v>À Prazo</v>
      </c>
      <c r="Q91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4.3571862618555315</v>
      </c>
    </row>
    <row r="92" spans="2:17" ht="20.100000000000001" customHeight="1" x14ac:dyDescent="0.25">
      <c r="B92" s="9">
        <v>43224.851474146271</v>
      </c>
      <c r="C92" s="9">
        <v>43204</v>
      </c>
      <c r="D92" s="9">
        <v>43224.851474146271</v>
      </c>
      <c r="E92" t="s">
        <v>24</v>
      </c>
      <c r="F92" t="s">
        <v>32</v>
      </c>
      <c r="G92" t="s">
        <v>144</v>
      </c>
      <c r="H92" s="10">
        <v>1885</v>
      </c>
      <c r="I92">
        <f>IF(RegistroEntradas[[#This Row],[Data do Caixa Realizado]] = "", 0, MONTH(RegistroEntradas[[#This Row],[Data do Caixa Realizado]]))</f>
        <v>5</v>
      </c>
      <c r="J92">
        <f>IF(RegistroEntradas[[#This Row],[Data do Caixa Realizado]] = "",0,YEAR(RegistroEntradas[[#This Row],[Data do Caixa Realizado]]))</f>
        <v>2018</v>
      </c>
      <c r="K92">
        <f xml:space="preserve"> IF(RegistroEntradas[[#This Row],[Data da Competência]] = "", 0, MONTH(RegistroEntradas[[#This Row],[Data da Competência]]))</f>
        <v>4</v>
      </c>
      <c r="L92">
        <f xml:space="preserve"> IF(RegistroEntradas[[#This Row],[Data da Competência]] = "", 0, YEAR(RegistroEntradas[[#This Row],[Data da Competência]]))</f>
        <v>2018</v>
      </c>
      <c r="M92">
        <f xml:space="preserve"> IF(RegistroEntradas[[#This Row],[Data do Caixa Previsto]]="",0,MONTH(RegistroEntradas[[#This Row],[Data do Caixa Previsto]]))</f>
        <v>5</v>
      </c>
      <c r="N92">
        <f xml:space="preserve"> IF(RegistroEntradas[[#This Row],[Data do Caixa Previsto]]="",0,YEAR(RegistroEntradas[[#This Row],[Data do Caixa Previsto]]))</f>
        <v>2018</v>
      </c>
      <c r="O92" t="str">
        <f ca="1">IF(AND(RegistroEntradas[[#This Row],[Data do Caixa Previsto]]&lt;TODAY(),RegistroEntradas[[#This Row],[Data do Caixa Realizado]]=""),"Vencida","Paga")</f>
        <v>Paga</v>
      </c>
      <c r="P92" t="str">
        <f xml:space="preserve"> IF(RegistroEntradas[[#This Row],[Data da Competência]]=RegistroEntradas[[#This Row],[Data do Caixa Previsto]],"À Vista","À Prazo")</f>
        <v>À Prazo</v>
      </c>
      <c r="Q92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93" spans="2:17" ht="20.100000000000001" customHeight="1" x14ac:dyDescent="0.25">
      <c r="B93" s="9" t="s">
        <v>64</v>
      </c>
      <c r="C93" s="9">
        <v>43209</v>
      </c>
      <c r="D93" s="9">
        <v>43266.340119269124</v>
      </c>
      <c r="E93" t="s">
        <v>24</v>
      </c>
      <c r="F93" t="s">
        <v>32</v>
      </c>
      <c r="G93" t="s">
        <v>145</v>
      </c>
      <c r="H93" s="10">
        <v>2224</v>
      </c>
      <c r="I93">
        <f>IF(RegistroEntradas[[#This Row],[Data do Caixa Realizado]] = "", 0, MONTH(RegistroEntradas[[#This Row],[Data do Caixa Realizado]]))</f>
        <v>0</v>
      </c>
      <c r="J93">
        <f>IF(RegistroEntradas[[#This Row],[Data do Caixa Realizado]] = "",0,YEAR(RegistroEntradas[[#This Row],[Data do Caixa Realizado]]))</f>
        <v>0</v>
      </c>
      <c r="K93">
        <f xml:space="preserve"> IF(RegistroEntradas[[#This Row],[Data da Competência]] = "", 0, MONTH(RegistroEntradas[[#This Row],[Data da Competência]]))</f>
        <v>4</v>
      </c>
      <c r="L93">
        <f xml:space="preserve"> IF(RegistroEntradas[[#This Row],[Data da Competência]] = "", 0, YEAR(RegistroEntradas[[#This Row],[Data da Competência]]))</f>
        <v>2018</v>
      </c>
      <c r="M93">
        <f xml:space="preserve"> IF(RegistroEntradas[[#This Row],[Data do Caixa Previsto]]="",0,MONTH(RegistroEntradas[[#This Row],[Data do Caixa Previsto]]))</f>
        <v>6</v>
      </c>
      <c r="N93">
        <f xml:space="preserve"> IF(RegistroEntradas[[#This Row],[Data do Caixa Previsto]]="",0,YEAR(RegistroEntradas[[#This Row],[Data do Caixa Previsto]]))</f>
        <v>2018</v>
      </c>
      <c r="O93" t="str">
        <f ca="1">IF(AND(RegistroEntradas[[#This Row],[Data do Caixa Previsto]]&lt;TODAY(),RegistroEntradas[[#This Row],[Data do Caixa Realizado]]=""),"Vencida","Paga")</f>
        <v>Vencida</v>
      </c>
      <c r="P93" t="str">
        <f xml:space="preserve"> IF(RegistroEntradas[[#This Row],[Data da Competência]]=RegistroEntradas[[#This Row],[Data do Caixa Previsto]],"À Vista","À Prazo")</f>
        <v>À Prazo</v>
      </c>
      <c r="Q93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1949.6598807308765</v>
      </c>
    </row>
    <row r="94" spans="2:17" ht="20.100000000000001" customHeight="1" x14ac:dyDescent="0.25">
      <c r="B94" s="9">
        <v>43302.517348540277</v>
      </c>
      <c r="C94" s="9">
        <v>43213</v>
      </c>
      <c r="D94" s="9">
        <v>43234.087727619473</v>
      </c>
      <c r="E94" t="s">
        <v>24</v>
      </c>
      <c r="F94" t="s">
        <v>32</v>
      </c>
      <c r="G94" t="s">
        <v>146</v>
      </c>
      <c r="H94" s="10">
        <v>3223</v>
      </c>
      <c r="I94">
        <f>IF(RegistroEntradas[[#This Row],[Data do Caixa Realizado]] = "", 0, MONTH(RegistroEntradas[[#This Row],[Data do Caixa Realizado]]))</f>
        <v>7</v>
      </c>
      <c r="J94">
        <f>IF(RegistroEntradas[[#This Row],[Data do Caixa Realizado]] = "",0,YEAR(RegistroEntradas[[#This Row],[Data do Caixa Realizado]]))</f>
        <v>2018</v>
      </c>
      <c r="K94">
        <f xml:space="preserve"> IF(RegistroEntradas[[#This Row],[Data da Competência]] = "", 0, MONTH(RegistroEntradas[[#This Row],[Data da Competência]]))</f>
        <v>4</v>
      </c>
      <c r="L94">
        <f xml:space="preserve"> IF(RegistroEntradas[[#This Row],[Data da Competência]] = "", 0, YEAR(RegistroEntradas[[#This Row],[Data da Competência]]))</f>
        <v>2018</v>
      </c>
      <c r="M94">
        <f xml:space="preserve"> IF(RegistroEntradas[[#This Row],[Data do Caixa Previsto]]="",0,MONTH(RegistroEntradas[[#This Row],[Data do Caixa Previsto]]))</f>
        <v>5</v>
      </c>
      <c r="N94">
        <f xml:space="preserve"> IF(RegistroEntradas[[#This Row],[Data do Caixa Previsto]]="",0,YEAR(RegistroEntradas[[#This Row],[Data do Caixa Previsto]]))</f>
        <v>2018</v>
      </c>
      <c r="O94" t="str">
        <f ca="1">IF(AND(RegistroEntradas[[#This Row],[Data do Caixa Previsto]]&lt;TODAY(),RegistroEntradas[[#This Row],[Data do Caixa Realizado]]=""),"Vencida","Paga")</f>
        <v>Paga</v>
      </c>
      <c r="P94" t="str">
        <f xml:space="preserve"> IF(RegistroEntradas[[#This Row],[Data da Competência]]=RegistroEntradas[[#This Row],[Data do Caixa Previsto]],"À Vista","À Prazo")</f>
        <v>À Prazo</v>
      </c>
      <c r="Q94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68.429620920804155</v>
      </c>
    </row>
    <row r="95" spans="2:17" ht="20.100000000000001" customHeight="1" x14ac:dyDescent="0.25">
      <c r="B95" s="9">
        <v>43299.933065152305</v>
      </c>
      <c r="C95" s="9">
        <v>43216</v>
      </c>
      <c r="D95" s="9">
        <v>43265.015379904566</v>
      </c>
      <c r="E95" t="s">
        <v>24</v>
      </c>
      <c r="F95" t="s">
        <v>31</v>
      </c>
      <c r="G95" t="s">
        <v>147</v>
      </c>
      <c r="H95" s="10">
        <v>3446</v>
      </c>
      <c r="I95">
        <f>IF(RegistroEntradas[[#This Row],[Data do Caixa Realizado]] = "", 0, MONTH(RegistroEntradas[[#This Row],[Data do Caixa Realizado]]))</f>
        <v>7</v>
      </c>
      <c r="J95">
        <f>IF(RegistroEntradas[[#This Row],[Data do Caixa Realizado]] = "",0,YEAR(RegistroEntradas[[#This Row],[Data do Caixa Realizado]]))</f>
        <v>2018</v>
      </c>
      <c r="K95">
        <f xml:space="preserve"> IF(RegistroEntradas[[#This Row],[Data da Competência]] = "", 0, MONTH(RegistroEntradas[[#This Row],[Data da Competência]]))</f>
        <v>4</v>
      </c>
      <c r="L95">
        <f xml:space="preserve"> IF(RegistroEntradas[[#This Row],[Data da Competência]] = "", 0, YEAR(RegistroEntradas[[#This Row],[Data da Competência]]))</f>
        <v>2018</v>
      </c>
      <c r="M95">
        <f xml:space="preserve"> IF(RegistroEntradas[[#This Row],[Data do Caixa Previsto]]="",0,MONTH(RegistroEntradas[[#This Row],[Data do Caixa Previsto]]))</f>
        <v>6</v>
      </c>
      <c r="N95">
        <f xml:space="preserve"> IF(RegistroEntradas[[#This Row],[Data do Caixa Previsto]]="",0,YEAR(RegistroEntradas[[#This Row],[Data do Caixa Previsto]]))</f>
        <v>2018</v>
      </c>
      <c r="O95" t="str">
        <f ca="1">IF(AND(RegistroEntradas[[#This Row],[Data do Caixa Previsto]]&lt;TODAY(),RegistroEntradas[[#This Row],[Data do Caixa Realizado]]=""),"Vencida","Paga")</f>
        <v>Paga</v>
      </c>
      <c r="P95" t="str">
        <f xml:space="preserve"> IF(RegistroEntradas[[#This Row],[Data da Competência]]=RegistroEntradas[[#This Row],[Data do Caixa Previsto]],"À Vista","À Prazo")</f>
        <v>À Prazo</v>
      </c>
      <c r="Q95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34.917685247739428</v>
      </c>
    </row>
    <row r="96" spans="2:17" ht="20.100000000000001" customHeight="1" x14ac:dyDescent="0.25">
      <c r="B96" s="9">
        <v>43265.565544078599</v>
      </c>
      <c r="C96" s="9">
        <v>43220</v>
      </c>
      <c r="D96" s="9">
        <v>43265.565544078599</v>
      </c>
      <c r="E96" t="s">
        <v>24</v>
      </c>
      <c r="F96" t="s">
        <v>32</v>
      </c>
      <c r="G96" t="s">
        <v>148</v>
      </c>
      <c r="H96" s="10">
        <v>4540</v>
      </c>
      <c r="I96">
        <f>IF(RegistroEntradas[[#This Row],[Data do Caixa Realizado]] = "", 0, MONTH(RegistroEntradas[[#This Row],[Data do Caixa Realizado]]))</f>
        <v>6</v>
      </c>
      <c r="J96">
        <f>IF(RegistroEntradas[[#This Row],[Data do Caixa Realizado]] = "",0,YEAR(RegistroEntradas[[#This Row],[Data do Caixa Realizado]]))</f>
        <v>2018</v>
      </c>
      <c r="K96">
        <f xml:space="preserve"> IF(RegistroEntradas[[#This Row],[Data da Competência]] = "", 0, MONTH(RegistroEntradas[[#This Row],[Data da Competência]]))</f>
        <v>4</v>
      </c>
      <c r="L96">
        <f xml:space="preserve"> IF(RegistroEntradas[[#This Row],[Data da Competência]] = "", 0, YEAR(RegistroEntradas[[#This Row],[Data da Competência]]))</f>
        <v>2018</v>
      </c>
      <c r="M96">
        <f xml:space="preserve"> IF(RegistroEntradas[[#This Row],[Data do Caixa Previsto]]="",0,MONTH(RegistroEntradas[[#This Row],[Data do Caixa Previsto]]))</f>
        <v>6</v>
      </c>
      <c r="N96">
        <f xml:space="preserve"> IF(RegistroEntradas[[#This Row],[Data do Caixa Previsto]]="",0,YEAR(RegistroEntradas[[#This Row],[Data do Caixa Previsto]]))</f>
        <v>2018</v>
      </c>
      <c r="O96" t="str">
        <f ca="1">IF(AND(RegistroEntradas[[#This Row],[Data do Caixa Previsto]]&lt;TODAY(),RegistroEntradas[[#This Row],[Data do Caixa Realizado]]=""),"Vencida","Paga")</f>
        <v>Paga</v>
      </c>
      <c r="P96" t="str">
        <f xml:space="preserve"> IF(RegistroEntradas[[#This Row],[Data da Competência]]=RegistroEntradas[[#This Row],[Data do Caixa Previsto]],"À Vista","À Prazo")</f>
        <v>À Prazo</v>
      </c>
      <c r="Q96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97" spans="2:17" ht="20.100000000000001" customHeight="1" x14ac:dyDescent="0.25">
      <c r="B97" s="9">
        <v>43330.643378541507</v>
      </c>
      <c r="C97" s="9">
        <v>43228</v>
      </c>
      <c r="D97" s="9">
        <v>43283.921086983224</v>
      </c>
      <c r="E97" t="s">
        <v>24</v>
      </c>
      <c r="F97" t="s">
        <v>33</v>
      </c>
      <c r="G97" t="s">
        <v>149</v>
      </c>
      <c r="H97" s="10">
        <v>3862</v>
      </c>
      <c r="I97">
        <f>IF(RegistroEntradas[[#This Row],[Data do Caixa Realizado]] = "", 0, MONTH(RegistroEntradas[[#This Row],[Data do Caixa Realizado]]))</f>
        <v>8</v>
      </c>
      <c r="J97">
        <f>IF(RegistroEntradas[[#This Row],[Data do Caixa Realizado]] = "",0,YEAR(RegistroEntradas[[#This Row],[Data do Caixa Realizado]]))</f>
        <v>2018</v>
      </c>
      <c r="K97">
        <f xml:space="preserve"> IF(RegistroEntradas[[#This Row],[Data da Competência]] = "", 0, MONTH(RegistroEntradas[[#This Row],[Data da Competência]]))</f>
        <v>5</v>
      </c>
      <c r="L97">
        <f xml:space="preserve"> IF(RegistroEntradas[[#This Row],[Data da Competência]] = "", 0, YEAR(RegistroEntradas[[#This Row],[Data da Competência]]))</f>
        <v>2018</v>
      </c>
      <c r="M97">
        <f xml:space="preserve"> IF(RegistroEntradas[[#This Row],[Data do Caixa Previsto]]="",0,MONTH(RegistroEntradas[[#This Row],[Data do Caixa Previsto]]))</f>
        <v>7</v>
      </c>
      <c r="N97">
        <f xml:space="preserve"> IF(RegistroEntradas[[#This Row],[Data do Caixa Previsto]]="",0,YEAR(RegistroEntradas[[#This Row],[Data do Caixa Previsto]]))</f>
        <v>2018</v>
      </c>
      <c r="O97" t="str">
        <f ca="1">IF(AND(RegistroEntradas[[#This Row],[Data do Caixa Previsto]]&lt;TODAY(),RegistroEntradas[[#This Row],[Data do Caixa Realizado]]=""),"Vencida","Paga")</f>
        <v>Paga</v>
      </c>
      <c r="P97" t="str">
        <f xml:space="preserve"> IF(RegistroEntradas[[#This Row],[Data da Competência]]=RegistroEntradas[[#This Row],[Data do Caixa Previsto]],"À Vista","À Prazo")</f>
        <v>À Prazo</v>
      </c>
      <c r="Q97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46.72229155828245</v>
      </c>
    </row>
    <row r="98" spans="2:17" ht="20.100000000000001" customHeight="1" x14ac:dyDescent="0.25">
      <c r="B98" s="9">
        <v>43279.381017407846</v>
      </c>
      <c r="C98" s="9">
        <v>43231</v>
      </c>
      <c r="D98" s="9">
        <v>43279.381017407846</v>
      </c>
      <c r="E98" t="s">
        <v>24</v>
      </c>
      <c r="F98" t="s">
        <v>31</v>
      </c>
      <c r="G98" t="s">
        <v>150</v>
      </c>
      <c r="H98" s="10">
        <v>611</v>
      </c>
      <c r="I98">
        <f>IF(RegistroEntradas[[#This Row],[Data do Caixa Realizado]] = "", 0, MONTH(RegistroEntradas[[#This Row],[Data do Caixa Realizado]]))</f>
        <v>6</v>
      </c>
      <c r="J98">
        <f>IF(RegistroEntradas[[#This Row],[Data do Caixa Realizado]] = "",0,YEAR(RegistroEntradas[[#This Row],[Data do Caixa Realizado]]))</f>
        <v>2018</v>
      </c>
      <c r="K98">
        <f xml:space="preserve"> IF(RegistroEntradas[[#This Row],[Data da Competência]] = "", 0, MONTH(RegistroEntradas[[#This Row],[Data da Competência]]))</f>
        <v>5</v>
      </c>
      <c r="L98">
        <f xml:space="preserve"> IF(RegistroEntradas[[#This Row],[Data da Competência]] = "", 0, YEAR(RegistroEntradas[[#This Row],[Data da Competência]]))</f>
        <v>2018</v>
      </c>
      <c r="M98">
        <f xml:space="preserve"> IF(RegistroEntradas[[#This Row],[Data do Caixa Previsto]]="",0,MONTH(RegistroEntradas[[#This Row],[Data do Caixa Previsto]]))</f>
        <v>6</v>
      </c>
      <c r="N98">
        <f xml:space="preserve"> IF(RegistroEntradas[[#This Row],[Data do Caixa Previsto]]="",0,YEAR(RegistroEntradas[[#This Row],[Data do Caixa Previsto]]))</f>
        <v>2018</v>
      </c>
      <c r="O98" t="str">
        <f ca="1">IF(AND(RegistroEntradas[[#This Row],[Data do Caixa Previsto]]&lt;TODAY(),RegistroEntradas[[#This Row],[Data do Caixa Realizado]]=""),"Vencida","Paga")</f>
        <v>Paga</v>
      </c>
      <c r="P98" t="str">
        <f xml:space="preserve"> IF(RegistroEntradas[[#This Row],[Data da Competência]]=RegistroEntradas[[#This Row],[Data do Caixa Previsto]],"À Vista","À Prazo")</f>
        <v>À Prazo</v>
      </c>
      <c r="Q98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99" spans="2:17" ht="20.100000000000001" customHeight="1" x14ac:dyDescent="0.25">
      <c r="B99" s="9">
        <v>43285.463133098099</v>
      </c>
      <c r="C99" s="9">
        <v>43233</v>
      </c>
      <c r="D99" s="9">
        <v>43285.463133098099</v>
      </c>
      <c r="E99" t="s">
        <v>24</v>
      </c>
      <c r="F99" t="s">
        <v>29</v>
      </c>
      <c r="G99" t="s">
        <v>151</v>
      </c>
      <c r="H99" s="10">
        <v>1486</v>
      </c>
      <c r="I99">
        <f>IF(RegistroEntradas[[#This Row],[Data do Caixa Realizado]] = "", 0, MONTH(RegistroEntradas[[#This Row],[Data do Caixa Realizado]]))</f>
        <v>7</v>
      </c>
      <c r="J99">
        <f>IF(RegistroEntradas[[#This Row],[Data do Caixa Realizado]] = "",0,YEAR(RegistroEntradas[[#This Row],[Data do Caixa Realizado]]))</f>
        <v>2018</v>
      </c>
      <c r="K99">
        <f xml:space="preserve"> IF(RegistroEntradas[[#This Row],[Data da Competência]] = "", 0, MONTH(RegistroEntradas[[#This Row],[Data da Competência]]))</f>
        <v>5</v>
      </c>
      <c r="L99">
        <f xml:space="preserve"> IF(RegistroEntradas[[#This Row],[Data da Competência]] = "", 0, YEAR(RegistroEntradas[[#This Row],[Data da Competência]]))</f>
        <v>2018</v>
      </c>
      <c r="M99">
        <f xml:space="preserve"> IF(RegistroEntradas[[#This Row],[Data do Caixa Previsto]]="",0,MONTH(RegistroEntradas[[#This Row],[Data do Caixa Previsto]]))</f>
        <v>7</v>
      </c>
      <c r="N99">
        <f xml:space="preserve"> IF(RegistroEntradas[[#This Row],[Data do Caixa Previsto]]="",0,YEAR(RegistroEntradas[[#This Row],[Data do Caixa Previsto]]))</f>
        <v>2018</v>
      </c>
      <c r="O99" t="str">
        <f ca="1">IF(AND(RegistroEntradas[[#This Row],[Data do Caixa Previsto]]&lt;TODAY(),RegistroEntradas[[#This Row],[Data do Caixa Realizado]]=""),"Vencida","Paga")</f>
        <v>Paga</v>
      </c>
      <c r="P99" t="str">
        <f xml:space="preserve"> IF(RegistroEntradas[[#This Row],[Data da Competência]]=RegistroEntradas[[#This Row],[Data do Caixa Previsto]],"À Vista","À Prazo")</f>
        <v>À Prazo</v>
      </c>
      <c r="Q99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100" spans="2:17" ht="20.100000000000001" customHeight="1" x14ac:dyDescent="0.25">
      <c r="B100" s="9">
        <v>43252.121501784946</v>
      </c>
      <c r="C100" s="9">
        <v>43241</v>
      </c>
      <c r="D100" s="9">
        <v>43252.121501784946</v>
      </c>
      <c r="E100" t="s">
        <v>24</v>
      </c>
      <c r="F100" t="s">
        <v>32</v>
      </c>
      <c r="G100" t="s">
        <v>152</v>
      </c>
      <c r="H100" s="10">
        <v>4850</v>
      </c>
      <c r="I100">
        <f>IF(RegistroEntradas[[#This Row],[Data do Caixa Realizado]] = "", 0, MONTH(RegistroEntradas[[#This Row],[Data do Caixa Realizado]]))</f>
        <v>6</v>
      </c>
      <c r="J100">
        <f>IF(RegistroEntradas[[#This Row],[Data do Caixa Realizado]] = "",0,YEAR(RegistroEntradas[[#This Row],[Data do Caixa Realizado]]))</f>
        <v>2018</v>
      </c>
      <c r="K100">
        <f xml:space="preserve"> IF(RegistroEntradas[[#This Row],[Data da Competência]] = "", 0, MONTH(RegistroEntradas[[#This Row],[Data da Competência]]))</f>
        <v>5</v>
      </c>
      <c r="L100">
        <f xml:space="preserve"> IF(RegistroEntradas[[#This Row],[Data da Competência]] = "", 0, YEAR(RegistroEntradas[[#This Row],[Data da Competência]]))</f>
        <v>2018</v>
      </c>
      <c r="M100">
        <f xml:space="preserve"> IF(RegistroEntradas[[#This Row],[Data do Caixa Previsto]]="",0,MONTH(RegistroEntradas[[#This Row],[Data do Caixa Previsto]]))</f>
        <v>6</v>
      </c>
      <c r="N100">
        <f xml:space="preserve"> IF(RegistroEntradas[[#This Row],[Data do Caixa Previsto]]="",0,YEAR(RegistroEntradas[[#This Row],[Data do Caixa Previsto]]))</f>
        <v>2018</v>
      </c>
      <c r="O100" t="str">
        <f ca="1">IF(AND(RegistroEntradas[[#This Row],[Data do Caixa Previsto]]&lt;TODAY(),RegistroEntradas[[#This Row],[Data do Caixa Realizado]]=""),"Vencida","Paga")</f>
        <v>Paga</v>
      </c>
      <c r="P100" t="str">
        <f xml:space="preserve"> IF(RegistroEntradas[[#This Row],[Data da Competência]]=RegistroEntradas[[#This Row],[Data do Caixa Previsto]],"À Vista","À Prazo")</f>
        <v>À Prazo</v>
      </c>
      <c r="Q100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101" spans="2:17" ht="20.100000000000001" customHeight="1" x14ac:dyDescent="0.25">
      <c r="B101" s="9" t="s">
        <v>64</v>
      </c>
      <c r="C101" s="9">
        <v>43244</v>
      </c>
      <c r="D101" s="9">
        <v>43275.457463184524</v>
      </c>
      <c r="E101" t="s">
        <v>24</v>
      </c>
      <c r="F101" t="s">
        <v>29</v>
      </c>
      <c r="G101" t="s">
        <v>91</v>
      </c>
      <c r="H101" s="10">
        <v>3878</v>
      </c>
      <c r="I101">
        <f>IF(RegistroEntradas[[#This Row],[Data do Caixa Realizado]] = "", 0, MONTH(RegistroEntradas[[#This Row],[Data do Caixa Realizado]]))</f>
        <v>0</v>
      </c>
      <c r="J101">
        <f>IF(RegistroEntradas[[#This Row],[Data do Caixa Realizado]] = "",0,YEAR(RegistroEntradas[[#This Row],[Data do Caixa Realizado]]))</f>
        <v>0</v>
      </c>
      <c r="K101">
        <f xml:space="preserve"> IF(RegistroEntradas[[#This Row],[Data da Competência]] = "", 0, MONTH(RegistroEntradas[[#This Row],[Data da Competência]]))</f>
        <v>5</v>
      </c>
      <c r="L101">
        <f xml:space="preserve"> IF(RegistroEntradas[[#This Row],[Data da Competência]] = "", 0, YEAR(RegistroEntradas[[#This Row],[Data da Competência]]))</f>
        <v>2018</v>
      </c>
      <c r="M101">
        <f xml:space="preserve"> IF(RegistroEntradas[[#This Row],[Data do Caixa Previsto]]="",0,MONTH(RegistroEntradas[[#This Row],[Data do Caixa Previsto]]))</f>
        <v>6</v>
      </c>
      <c r="N101">
        <f xml:space="preserve"> IF(RegistroEntradas[[#This Row],[Data do Caixa Previsto]]="",0,YEAR(RegistroEntradas[[#This Row],[Data do Caixa Previsto]]))</f>
        <v>2018</v>
      </c>
      <c r="O101" t="str">
        <f ca="1">IF(AND(RegistroEntradas[[#This Row],[Data do Caixa Previsto]]&lt;TODAY(),RegistroEntradas[[#This Row],[Data do Caixa Realizado]]=""),"Vencida","Paga")</f>
        <v>Vencida</v>
      </c>
      <c r="P101" t="str">
        <f xml:space="preserve"> IF(RegistroEntradas[[#This Row],[Data da Competência]]=RegistroEntradas[[#This Row],[Data do Caixa Previsto]],"À Vista","À Prazo")</f>
        <v>À Prazo</v>
      </c>
      <c r="Q101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1940.5425368154756</v>
      </c>
    </row>
    <row r="102" spans="2:17" ht="20.100000000000001" customHeight="1" x14ac:dyDescent="0.25">
      <c r="B102" s="9">
        <v>43275.663970819842</v>
      </c>
      <c r="C102" s="9">
        <v>43249</v>
      </c>
      <c r="D102" s="9">
        <v>43275.663970819842</v>
      </c>
      <c r="E102" t="s">
        <v>24</v>
      </c>
      <c r="F102" t="s">
        <v>29</v>
      </c>
      <c r="G102" t="s">
        <v>153</v>
      </c>
      <c r="H102" s="10">
        <v>976</v>
      </c>
      <c r="I102">
        <f>IF(RegistroEntradas[[#This Row],[Data do Caixa Realizado]] = "", 0, MONTH(RegistroEntradas[[#This Row],[Data do Caixa Realizado]]))</f>
        <v>6</v>
      </c>
      <c r="J102">
        <f>IF(RegistroEntradas[[#This Row],[Data do Caixa Realizado]] = "",0,YEAR(RegistroEntradas[[#This Row],[Data do Caixa Realizado]]))</f>
        <v>2018</v>
      </c>
      <c r="K102">
        <f xml:space="preserve"> IF(RegistroEntradas[[#This Row],[Data da Competência]] = "", 0, MONTH(RegistroEntradas[[#This Row],[Data da Competência]]))</f>
        <v>5</v>
      </c>
      <c r="L102">
        <f xml:space="preserve"> IF(RegistroEntradas[[#This Row],[Data da Competência]] = "", 0, YEAR(RegistroEntradas[[#This Row],[Data da Competência]]))</f>
        <v>2018</v>
      </c>
      <c r="M102">
        <f xml:space="preserve"> IF(RegistroEntradas[[#This Row],[Data do Caixa Previsto]]="",0,MONTH(RegistroEntradas[[#This Row],[Data do Caixa Previsto]]))</f>
        <v>6</v>
      </c>
      <c r="N102">
        <f xml:space="preserve"> IF(RegistroEntradas[[#This Row],[Data do Caixa Previsto]]="",0,YEAR(RegistroEntradas[[#This Row],[Data do Caixa Previsto]]))</f>
        <v>2018</v>
      </c>
      <c r="O102" t="str">
        <f ca="1">IF(AND(RegistroEntradas[[#This Row],[Data do Caixa Previsto]]&lt;TODAY(),RegistroEntradas[[#This Row],[Data do Caixa Realizado]]=""),"Vencida","Paga")</f>
        <v>Paga</v>
      </c>
      <c r="P102" t="str">
        <f xml:space="preserve"> IF(RegistroEntradas[[#This Row],[Data da Competência]]=RegistroEntradas[[#This Row],[Data do Caixa Previsto]],"À Vista","À Prazo")</f>
        <v>À Prazo</v>
      </c>
      <c r="Q102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103" spans="2:17" ht="20.100000000000001" customHeight="1" x14ac:dyDescent="0.25">
      <c r="B103" s="9">
        <v>43265.40932974538</v>
      </c>
      <c r="C103" s="9">
        <v>43250</v>
      </c>
      <c r="D103" s="9">
        <v>43265.40932974538</v>
      </c>
      <c r="E103" t="s">
        <v>24</v>
      </c>
      <c r="F103" t="s">
        <v>33</v>
      </c>
      <c r="G103" t="s">
        <v>154</v>
      </c>
      <c r="H103" s="10">
        <v>3346</v>
      </c>
      <c r="I103">
        <f>IF(RegistroEntradas[[#This Row],[Data do Caixa Realizado]] = "", 0, MONTH(RegistroEntradas[[#This Row],[Data do Caixa Realizado]]))</f>
        <v>6</v>
      </c>
      <c r="J103">
        <f>IF(RegistroEntradas[[#This Row],[Data do Caixa Realizado]] = "",0,YEAR(RegistroEntradas[[#This Row],[Data do Caixa Realizado]]))</f>
        <v>2018</v>
      </c>
      <c r="K103">
        <f xml:space="preserve"> IF(RegistroEntradas[[#This Row],[Data da Competência]] = "", 0, MONTH(RegistroEntradas[[#This Row],[Data da Competência]]))</f>
        <v>5</v>
      </c>
      <c r="L103">
        <f xml:space="preserve"> IF(RegistroEntradas[[#This Row],[Data da Competência]] = "", 0, YEAR(RegistroEntradas[[#This Row],[Data da Competência]]))</f>
        <v>2018</v>
      </c>
      <c r="M103">
        <f xml:space="preserve"> IF(RegistroEntradas[[#This Row],[Data do Caixa Previsto]]="",0,MONTH(RegistroEntradas[[#This Row],[Data do Caixa Previsto]]))</f>
        <v>6</v>
      </c>
      <c r="N103">
        <f xml:space="preserve"> IF(RegistroEntradas[[#This Row],[Data do Caixa Previsto]]="",0,YEAR(RegistroEntradas[[#This Row],[Data do Caixa Previsto]]))</f>
        <v>2018</v>
      </c>
      <c r="O103" t="str">
        <f ca="1">IF(AND(RegistroEntradas[[#This Row],[Data do Caixa Previsto]]&lt;TODAY(),RegistroEntradas[[#This Row],[Data do Caixa Realizado]]=""),"Vencida","Paga")</f>
        <v>Paga</v>
      </c>
      <c r="P103" t="str">
        <f xml:space="preserve"> IF(RegistroEntradas[[#This Row],[Data da Competência]]=RegistroEntradas[[#This Row],[Data do Caixa Previsto]],"À Vista","À Prazo")</f>
        <v>À Prazo</v>
      </c>
      <c r="Q103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104" spans="2:17" ht="20.100000000000001" customHeight="1" x14ac:dyDescent="0.25">
      <c r="B104" s="9">
        <v>43313.778330733978</v>
      </c>
      <c r="C104" s="9">
        <v>43254</v>
      </c>
      <c r="D104" s="9">
        <v>43313.778330733978</v>
      </c>
      <c r="E104" t="s">
        <v>24</v>
      </c>
      <c r="F104" t="s">
        <v>31</v>
      </c>
      <c r="G104" t="s">
        <v>155</v>
      </c>
      <c r="H104" s="10">
        <v>443</v>
      </c>
      <c r="I104">
        <f>IF(RegistroEntradas[[#This Row],[Data do Caixa Realizado]] = "", 0, MONTH(RegistroEntradas[[#This Row],[Data do Caixa Realizado]]))</f>
        <v>8</v>
      </c>
      <c r="J104">
        <f>IF(RegistroEntradas[[#This Row],[Data do Caixa Realizado]] = "",0,YEAR(RegistroEntradas[[#This Row],[Data do Caixa Realizado]]))</f>
        <v>2018</v>
      </c>
      <c r="K104">
        <f xml:space="preserve"> IF(RegistroEntradas[[#This Row],[Data da Competência]] = "", 0, MONTH(RegistroEntradas[[#This Row],[Data da Competência]]))</f>
        <v>6</v>
      </c>
      <c r="L104">
        <f xml:space="preserve"> IF(RegistroEntradas[[#This Row],[Data da Competência]] = "", 0, YEAR(RegistroEntradas[[#This Row],[Data da Competência]]))</f>
        <v>2018</v>
      </c>
      <c r="M104">
        <f xml:space="preserve"> IF(RegistroEntradas[[#This Row],[Data do Caixa Previsto]]="",0,MONTH(RegistroEntradas[[#This Row],[Data do Caixa Previsto]]))</f>
        <v>8</v>
      </c>
      <c r="N104">
        <f xml:space="preserve"> IF(RegistroEntradas[[#This Row],[Data do Caixa Previsto]]="",0,YEAR(RegistroEntradas[[#This Row],[Data do Caixa Previsto]]))</f>
        <v>2018</v>
      </c>
      <c r="O104" t="str">
        <f ca="1">IF(AND(RegistroEntradas[[#This Row],[Data do Caixa Previsto]]&lt;TODAY(),RegistroEntradas[[#This Row],[Data do Caixa Realizado]]=""),"Vencida","Paga")</f>
        <v>Paga</v>
      </c>
      <c r="P104" t="str">
        <f xml:space="preserve"> IF(RegistroEntradas[[#This Row],[Data da Competência]]=RegistroEntradas[[#This Row],[Data do Caixa Previsto]],"À Vista","À Prazo")</f>
        <v>À Prazo</v>
      </c>
      <c r="Q104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105" spans="2:17" ht="20.100000000000001" customHeight="1" x14ac:dyDescent="0.25">
      <c r="B105" s="9">
        <v>43309.034479812522</v>
      </c>
      <c r="C105" s="9">
        <v>43255</v>
      </c>
      <c r="D105" s="9">
        <v>43309.034479812522</v>
      </c>
      <c r="E105" t="s">
        <v>24</v>
      </c>
      <c r="F105" t="s">
        <v>31</v>
      </c>
      <c r="G105" t="s">
        <v>156</v>
      </c>
      <c r="H105" s="10">
        <v>2781</v>
      </c>
      <c r="I105">
        <f>IF(RegistroEntradas[[#This Row],[Data do Caixa Realizado]] = "", 0, MONTH(RegistroEntradas[[#This Row],[Data do Caixa Realizado]]))</f>
        <v>7</v>
      </c>
      <c r="J105">
        <f>IF(RegistroEntradas[[#This Row],[Data do Caixa Realizado]] = "",0,YEAR(RegistroEntradas[[#This Row],[Data do Caixa Realizado]]))</f>
        <v>2018</v>
      </c>
      <c r="K105">
        <f xml:space="preserve"> IF(RegistroEntradas[[#This Row],[Data da Competência]] = "", 0, MONTH(RegistroEntradas[[#This Row],[Data da Competência]]))</f>
        <v>6</v>
      </c>
      <c r="L105">
        <f xml:space="preserve"> IF(RegistroEntradas[[#This Row],[Data da Competência]] = "", 0, YEAR(RegistroEntradas[[#This Row],[Data da Competência]]))</f>
        <v>2018</v>
      </c>
      <c r="M105">
        <f xml:space="preserve"> IF(RegistroEntradas[[#This Row],[Data do Caixa Previsto]]="",0,MONTH(RegistroEntradas[[#This Row],[Data do Caixa Previsto]]))</f>
        <v>7</v>
      </c>
      <c r="N105">
        <f xml:space="preserve"> IF(RegistroEntradas[[#This Row],[Data do Caixa Previsto]]="",0,YEAR(RegistroEntradas[[#This Row],[Data do Caixa Previsto]]))</f>
        <v>2018</v>
      </c>
      <c r="O105" t="str">
        <f ca="1">IF(AND(RegistroEntradas[[#This Row],[Data do Caixa Previsto]]&lt;TODAY(),RegistroEntradas[[#This Row],[Data do Caixa Realizado]]=""),"Vencida","Paga")</f>
        <v>Paga</v>
      </c>
      <c r="P105" t="str">
        <f xml:space="preserve"> IF(RegistroEntradas[[#This Row],[Data da Competência]]=RegistroEntradas[[#This Row],[Data do Caixa Previsto]],"À Vista","À Prazo")</f>
        <v>À Prazo</v>
      </c>
      <c r="Q105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106" spans="2:17" ht="20.100000000000001" customHeight="1" x14ac:dyDescent="0.25">
      <c r="B106" s="9">
        <v>43267.639792395334</v>
      </c>
      <c r="C106" s="9">
        <v>43256</v>
      </c>
      <c r="D106" s="9">
        <v>43267.639792395334</v>
      </c>
      <c r="E106" t="s">
        <v>24</v>
      </c>
      <c r="F106" t="s">
        <v>29</v>
      </c>
      <c r="G106" t="s">
        <v>157</v>
      </c>
      <c r="H106" s="10">
        <v>1875</v>
      </c>
      <c r="I106">
        <f>IF(RegistroEntradas[[#This Row],[Data do Caixa Realizado]] = "", 0, MONTH(RegistroEntradas[[#This Row],[Data do Caixa Realizado]]))</f>
        <v>6</v>
      </c>
      <c r="J106">
        <f>IF(RegistroEntradas[[#This Row],[Data do Caixa Realizado]] = "",0,YEAR(RegistroEntradas[[#This Row],[Data do Caixa Realizado]]))</f>
        <v>2018</v>
      </c>
      <c r="K106">
        <f xml:space="preserve"> IF(RegistroEntradas[[#This Row],[Data da Competência]] = "", 0, MONTH(RegistroEntradas[[#This Row],[Data da Competência]]))</f>
        <v>6</v>
      </c>
      <c r="L106">
        <f xml:space="preserve"> IF(RegistroEntradas[[#This Row],[Data da Competência]] = "", 0, YEAR(RegistroEntradas[[#This Row],[Data da Competência]]))</f>
        <v>2018</v>
      </c>
      <c r="M106">
        <f xml:space="preserve"> IF(RegistroEntradas[[#This Row],[Data do Caixa Previsto]]="",0,MONTH(RegistroEntradas[[#This Row],[Data do Caixa Previsto]]))</f>
        <v>6</v>
      </c>
      <c r="N106">
        <f xml:space="preserve"> IF(RegistroEntradas[[#This Row],[Data do Caixa Previsto]]="",0,YEAR(RegistroEntradas[[#This Row],[Data do Caixa Previsto]]))</f>
        <v>2018</v>
      </c>
      <c r="O106" t="str">
        <f ca="1">IF(AND(RegistroEntradas[[#This Row],[Data do Caixa Previsto]]&lt;TODAY(),RegistroEntradas[[#This Row],[Data do Caixa Realizado]]=""),"Vencida","Paga")</f>
        <v>Paga</v>
      </c>
      <c r="P106" t="str">
        <f xml:space="preserve"> IF(RegistroEntradas[[#This Row],[Data da Competência]]=RegistroEntradas[[#This Row],[Data do Caixa Previsto]],"À Vista","À Prazo")</f>
        <v>À Prazo</v>
      </c>
      <c r="Q106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107" spans="2:17" ht="20.100000000000001" customHeight="1" x14ac:dyDescent="0.25">
      <c r="B107" s="9">
        <v>43295.992726264638</v>
      </c>
      <c r="C107" s="9">
        <v>43259</v>
      </c>
      <c r="D107" s="9">
        <v>43295.992726264638</v>
      </c>
      <c r="E107" t="s">
        <v>24</v>
      </c>
      <c r="F107" t="s">
        <v>32</v>
      </c>
      <c r="G107" t="s">
        <v>158</v>
      </c>
      <c r="H107" s="10">
        <v>3134</v>
      </c>
      <c r="I107">
        <f>IF(RegistroEntradas[[#This Row],[Data do Caixa Realizado]] = "", 0, MONTH(RegistroEntradas[[#This Row],[Data do Caixa Realizado]]))</f>
        <v>7</v>
      </c>
      <c r="J107">
        <f>IF(RegistroEntradas[[#This Row],[Data do Caixa Realizado]] = "",0,YEAR(RegistroEntradas[[#This Row],[Data do Caixa Realizado]]))</f>
        <v>2018</v>
      </c>
      <c r="K107">
        <f xml:space="preserve"> IF(RegistroEntradas[[#This Row],[Data da Competência]] = "", 0, MONTH(RegistroEntradas[[#This Row],[Data da Competência]]))</f>
        <v>6</v>
      </c>
      <c r="L107">
        <f xml:space="preserve"> IF(RegistroEntradas[[#This Row],[Data da Competência]] = "", 0, YEAR(RegistroEntradas[[#This Row],[Data da Competência]]))</f>
        <v>2018</v>
      </c>
      <c r="M107">
        <f xml:space="preserve"> IF(RegistroEntradas[[#This Row],[Data do Caixa Previsto]]="",0,MONTH(RegistroEntradas[[#This Row],[Data do Caixa Previsto]]))</f>
        <v>7</v>
      </c>
      <c r="N107">
        <f xml:space="preserve"> IF(RegistroEntradas[[#This Row],[Data do Caixa Previsto]]="",0,YEAR(RegistroEntradas[[#This Row],[Data do Caixa Previsto]]))</f>
        <v>2018</v>
      </c>
      <c r="O107" t="str">
        <f ca="1">IF(AND(RegistroEntradas[[#This Row],[Data do Caixa Previsto]]&lt;TODAY(),RegistroEntradas[[#This Row],[Data do Caixa Realizado]]=""),"Vencida","Paga")</f>
        <v>Paga</v>
      </c>
      <c r="P107" t="str">
        <f xml:space="preserve"> IF(RegistroEntradas[[#This Row],[Data da Competência]]=RegistroEntradas[[#This Row],[Data do Caixa Previsto]],"À Vista","À Prazo")</f>
        <v>À Prazo</v>
      </c>
      <c r="Q107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108" spans="2:17" ht="20.100000000000001" customHeight="1" x14ac:dyDescent="0.25">
      <c r="B108" s="9">
        <v>43276.511490365912</v>
      </c>
      <c r="C108" s="9">
        <v>43261</v>
      </c>
      <c r="D108" s="9">
        <v>43276.511490365912</v>
      </c>
      <c r="E108" t="s">
        <v>24</v>
      </c>
      <c r="F108" t="s">
        <v>30</v>
      </c>
      <c r="G108" t="s">
        <v>159</v>
      </c>
      <c r="H108" s="10">
        <v>2114</v>
      </c>
      <c r="I108">
        <f>IF(RegistroEntradas[[#This Row],[Data do Caixa Realizado]] = "", 0, MONTH(RegistroEntradas[[#This Row],[Data do Caixa Realizado]]))</f>
        <v>6</v>
      </c>
      <c r="J108">
        <f>IF(RegistroEntradas[[#This Row],[Data do Caixa Realizado]] = "",0,YEAR(RegistroEntradas[[#This Row],[Data do Caixa Realizado]]))</f>
        <v>2018</v>
      </c>
      <c r="K108">
        <f xml:space="preserve"> IF(RegistroEntradas[[#This Row],[Data da Competência]] = "", 0, MONTH(RegistroEntradas[[#This Row],[Data da Competência]]))</f>
        <v>6</v>
      </c>
      <c r="L108">
        <f xml:space="preserve"> IF(RegistroEntradas[[#This Row],[Data da Competência]] = "", 0, YEAR(RegistroEntradas[[#This Row],[Data da Competência]]))</f>
        <v>2018</v>
      </c>
      <c r="M108">
        <f xml:space="preserve"> IF(RegistroEntradas[[#This Row],[Data do Caixa Previsto]]="",0,MONTH(RegistroEntradas[[#This Row],[Data do Caixa Previsto]]))</f>
        <v>6</v>
      </c>
      <c r="N108">
        <f xml:space="preserve"> IF(RegistroEntradas[[#This Row],[Data do Caixa Previsto]]="",0,YEAR(RegistroEntradas[[#This Row],[Data do Caixa Previsto]]))</f>
        <v>2018</v>
      </c>
      <c r="O108" t="str">
        <f ca="1">IF(AND(RegistroEntradas[[#This Row],[Data do Caixa Previsto]]&lt;TODAY(),RegistroEntradas[[#This Row],[Data do Caixa Realizado]]=""),"Vencida","Paga")</f>
        <v>Paga</v>
      </c>
      <c r="P108" t="str">
        <f xml:space="preserve"> IF(RegistroEntradas[[#This Row],[Data da Competência]]=RegistroEntradas[[#This Row],[Data do Caixa Previsto]],"À Vista","À Prazo")</f>
        <v>À Prazo</v>
      </c>
      <c r="Q108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109" spans="2:17" ht="20.100000000000001" customHeight="1" x14ac:dyDescent="0.25">
      <c r="B109" s="9">
        <v>43320.151513939236</v>
      </c>
      <c r="C109" s="9">
        <v>43264</v>
      </c>
      <c r="D109" s="9">
        <v>43320.151513939236</v>
      </c>
      <c r="E109" t="s">
        <v>24</v>
      </c>
      <c r="F109" t="s">
        <v>29</v>
      </c>
      <c r="G109" t="s">
        <v>160</v>
      </c>
      <c r="H109" s="10">
        <v>4961</v>
      </c>
      <c r="I109">
        <f>IF(RegistroEntradas[[#This Row],[Data do Caixa Realizado]] = "", 0, MONTH(RegistroEntradas[[#This Row],[Data do Caixa Realizado]]))</f>
        <v>8</v>
      </c>
      <c r="J109">
        <f>IF(RegistroEntradas[[#This Row],[Data do Caixa Realizado]] = "",0,YEAR(RegistroEntradas[[#This Row],[Data do Caixa Realizado]]))</f>
        <v>2018</v>
      </c>
      <c r="K109">
        <f xml:space="preserve"> IF(RegistroEntradas[[#This Row],[Data da Competência]] = "", 0, MONTH(RegistroEntradas[[#This Row],[Data da Competência]]))</f>
        <v>6</v>
      </c>
      <c r="L109">
        <f xml:space="preserve"> IF(RegistroEntradas[[#This Row],[Data da Competência]] = "", 0, YEAR(RegistroEntradas[[#This Row],[Data da Competência]]))</f>
        <v>2018</v>
      </c>
      <c r="M109">
        <f xml:space="preserve"> IF(RegistroEntradas[[#This Row],[Data do Caixa Previsto]]="",0,MONTH(RegistroEntradas[[#This Row],[Data do Caixa Previsto]]))</f>
        <v>8</v>
      </c>
      <c r="N109">
        <f xml:space="preserve"> IF(RegistroEntradas[[#This Row],[Data do Caixa Previsto]]="",0,YEAR(RegistroEntradas[[#This Row],[Data do Caixa Previsto]]))</f>
        <v>2018</v>
      </c>
      <c r="O109" t="str">
        <f ca="1">IF(AND(RegistroEntradas[[#This Row],[Data do Caixa Previsto]]&lt;TODAY(),RegistroEntradas[[#This Row],[Data do Caixa Realizado]]=""),"Vencida","Paga")</f>
        <v>Paga</v>
      </c>
      <c r="P109" t="str">
        <f xml:space="preserve"> IF(RegistroEntradas[[#This Row],[Data da Competência]]=RegistroEntradas[[#This Row],[Data do Caixa Previsto]],"À Vista","À Prazo")</f>
        <v>À Prazo</v>
      </c>
      <c r="Q109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110" spans="2:17" ht="20.100000000000001" customHeight="1" x14ac:dyDescent="0.25">
      <c r="B110" s="9">
        <v>43303.335943391627</v>
      </c>
      <c r="C110" s="9">
        <v>43265</v>
      </c>
      <c r="D110" s="9">
        <v>43303.335943391627</v>
      </c>
      <c r="E110" t="s">
        <v>24</v>
      </c>
      <c r="F110" t="s">
        <v>32</v>
      </c>
      <c r="G110" t="s">
        <v>161</v>
      </c>
      <c r="H110" s="10">
        <v>909</v>
      </c>
      <c r="I110">
        <f>IF(RegistroEntradas[[#This Row],[Data do Caixa Realizado]] = "", 0, MONTH(RegistroEntradas[[#This Row],[Data do Caixa Realizado]]))</f>
        <v>7</v>
      </c>
      <c r="J110">
        <f>IF(RegistroEntradas[[#This Row],[Data do Caixa Realizado]] = "",0,YEAR(RegistroEntradas[[#This Row],[Data do Caixa Realizado]]))</f>
        <v>2018</v>
      </c>
      <c r="K110">
        <f xml:space="preserve"> IF(RegistroEntradas[[#This Row],[Data da Competência]] = "", 0, MONTH(RegistroEntradas[[#This Row],[Data da Competência]]))</f>
        <v>6</v>
      </c>
      <c r="L110">
        <f xml:space="preserve"> IF(RegistroEntradas[[#This Row],[Data da Competência]] = "", 0, YEAR(RegistroEntradas[[#This Row],[Data da Competência]]))</f>
        <v>2018</v>
      </c>
      <c r="M110">
        <f xml:space="preserve"> IF(RegistroEntradas[[#This Row],[Data do Caixa Previsto]]="",0,MONTH(RegistroEntradas[[#This Row],[Data do Caixa Previsto]]))</f>
        <v>7</v>
      </c>
      <c r="N110">
        <f xml:space="preserve"> IF(RegistroEntradas[[#This Row],[Data do Caixa Previsto]]="",0,YEAR(RegistroEntradas[[#This Row],[Data do Caixa Previsto]]))</f>
        <v>2018</v>
      </c>
      <c r="O110" t="str">
        <f ca="1">IF(AND(RegistroEntradas[[#This Row],[Data do Caixa Previsto]]&lt;TODAY(),RegistroEntradas[[#This Row],[Data do Caixa Realizado]]=""),"Vencida","Paga")</f>
        <v>Paga</v>
      </c>
      <c r="P110" t="str">
        <f xml:space="preserve"> IF(RegistroEntradas[[#This Row],[Data da Competência]]=RegistroEntradas[[#This Row],[Data do Caixa Previsto]],"À Vista","À Prazo")</f>
        <v>À Prazo</v>
      </c>
      <c r="Q110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111" spans="2:17" ht="20.100000000000001" customHeight="1" x14ac:dyDescent="0.25">
      <c r="B111" s="9">
        <v>43293.385542692129</v>
      </c>
      <c r="C111" s="9">
        <v>43266</v>
      </c>
      <c r="D111" s="9">
        <v>43293.385542692129</v>
      </c>
      <c r="E111" t="s">
        <v>24</v>
      </c>
      <c r="F111" t="s">
        <v>32</v>
      </c>
      <c r="G111" t="s">
        <v>162</v>
      </c>
      <c r="H111" s="10">
        <v>2197</v>
      </c>
      <c r="I111">
        <f>IF(RegistroEntradas[[#This Row],[Data do Caixa Realizado]] = "", 0, MONTH(RegistroEntradas[[#This Row],[Data do Caixa Realizado]]))</f>
        <v>7</v>
      </c>
      <c r="J111">
        <f>IF(RegistroEntradas[[#This Row],[Data do Caixa Realizado]] = "",0,YEAR(RegistroEntradas[[#This Row],[Data do Caixa Realizado]]))</f>
        <v>2018</v>
      </c>
      <c r="K111">
        <f xml:space="preserve"> IF(RegistroEntradas[[#This Row],[Data da Competência]] = "", 0, MONTH(RegistroEntradas[[#This Row],[Data da Competência]]))</f>
        <v>6</v>
      </c>
      <c r="L111">
        <f xml:space="preserve"> IF(RegistroEntradas[[#This Row],[Data da Competência]] = "", 0, YEAR(RegistroEntradas[[#This Row],[Data da Competência]]))</f>
        <v>2018</v>
      </c>
      <c r="M111">
        <f xml:space="preserve"> IF(RegistroEntradas[[#This Row],[Data do Caixa Previsto]]="",0,MONTH(RegistroEntradas[[#This Row],[Data do Caixa Previsto]]))</f>
        <v>7</v>
      </c>
      <c r="N111">
        <f xml:space="preserve"> IF(RegistroEntradas[[#This Row],[Data do Caixa Previsto]]="",0,YEAR(RegistroEntradas[[#This Row],[Data do Caixa Previsto]]))</f>
        <v>2018</v>
      </c>
      <c r="O111" t="str">
        <f ca="1">IF(AND(RegistroEntradas[[#This Row],[Data do Caixa Previsto]]&lt;TODAY(),RegistroEntradas[[#This Row],[Data do Caixa Realizado]]=""),"Vencida","Paga")</f>
        <v>Paga</v>
      </c>
      <c r="P111" t="str">
        <f xml:space="preserve"> IF(RegistroEntradas[[#This Row],[Data da Competência]]=RegistroEntradas[[#This Row],[Data do Caixa Previsto]],"À Vista","À Prazo")</f>
        <v>À Prazo</v>
      </c>
      <c r="Q111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112" spans="2:17" ht="20.100000000000001" customHeight="1" x14ac:dyDescent="0.25">
      <c r="B112" s="9">
        <v>43347.784698126074</v>
      </c>
      <c r="C112" s="9">
        <v>43268</v>
      </c>
      <c r="D112" s="9">
        <v>43310.26005003383</v>
      </c>
      <c r="E112" t="s">
        <v>24</v>
      </c>
      <c r="F112" t="s">
        <v>33</v>
      </c>
      <c r="G112" t="s">
        <v>163</v>
      </c>
      <c r="H112" s="10">
        <v>3045</v>
      </c>
      <c r="I112">
        <f>IF(RegistroEntradas[[#This Row],[Data do Caixa Realizado]] = "", 0, MONTH(RegistroEntradas[[#This Row],[Data do Caixa Realizado]]))</f>
        <v>9</v>
      </c>
      <c r="J112">
        <f>IF(RegistroEntradas[[#This Row],[Data do Caixa Realizado]] = "",0,YEAR(RegistroEntradas[[#This Row],[Data do Caixa Realizado]]))</f>
        <v>2018</v>
      </c>
      <c r="K112">
        <f xml:space="preserve"> IF(RegistroEntradas[[#This Row],[Data da Competência]] = "", 0, MONTH(RegistroEntradas[[#This Row],[Data da Competência]]))</f>
        <v>6</v>
      </c>
      <c r="L112">
        <f xml:space="preserve"> IF(RegistroEntradas[[#This Row],[Data da Competência]] = "", 0, YEAR(RegistroEntradas[[#This Row],[Data da Competência]]))</f>
        <v>2018</v>
      </c>
      <c r="M112">
        <f xml:space="preserve"> IF(RegistroEntradas[[#This Row],[Data do Caixa Previsto]]="",0,MONTH(RegistroEntradas[[#This Row],[Data do Caixa Previsto]]))</f>
        <v>7</v>
      </c>
      <c r="N112">
        <f xml:space="preserve"> IF(RegistroEntradas[[#This Row],[Data do Caixa Previsto]]="",0,YEAR(RegistroEntradas[[#This Row],[Data do Caixa Previsto]]))</f>
        <v>2018</v>
      </c>
      <c r="O112" t="str">
        <f ca="1">IF(AND(RegistroEntradas[[#This Row],[Data do Caixa Previsto]]&lt;TODAY(),RegistroEntradas[[#This Row],[Data do Caixa Realizado]]=""),"Vencida","Paga")</f>
        <v>Paga</v>
      </c>
      <c r="P112" t="str">
        <f xml:space="preserve"> IF(RegistroEntradas[[#This Row],[Data da Competência]]=RegistroEntradas[[#This Row],[Data do Caixa Previsto]],"À Vista","À Prazo")</f>
        <v>À Prazo</v>
      </c>
      <c r="Q112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37.524648092243297</v>
      </c>
    </row>
    <row r="113" spans="2:17" ht="20.100000000000001" customHeight="1" x14ac:dyDescent="0.25">
      <c r="B113" s="9">
        <v>43328.142631140596</v>
      </c>
      <c r="C113" s="9">
        <v>43272</v>
      </c>
      <c r="D113" s="9">
        <v>43309.393451525575</v>
      </c>
      <c r="E113" t="s">
        <v>24</v>
      </c>
      <c r="F113" t="s">
        <v>33</v>
      </c>
      <c r="G113" t="s">
        <v>164</v>
      </c>
      <c r="H113" s="10">
        <v>460</v>
      </c>
      <c r="I113">
        <f>IF(RegistroEntradas[[#This Row],[Data do Caixa Realizado]] = "", 0, MONTH(RegistroEntradas[[#This Row],[Data do Caixa Realizado]]))</f>
        <v>8</v>
      </c>
      <c r="J113">
        <f>IF(RegistroEntradas[[#This Row],[Data do Caixa Realizado]] = "",0,YEAR(RegistroEntradas[[#This Row],[Data do Caixa Realizado]]))</f>
        <v>2018</v>
      </c>
      <c r="K113">
        <f xml:space="preserve"> IF(RegistroEntradas[[#This Row],[Data da Competência]] = "", 0, MONTH(RegistroEntradas[[#This Row],[Data da Competência]]))</f>
        <v>6</v>
      </c>
      <c r="L113">
        <f xml:space="preserve"> IF(RegistroEntradas[[#This Row],[Data da Competência]] = "", 0, YEAR(RegistroEntradas[[#This Row],[Data da Competência]]))</f>
        <v>2018</v>
      </c>
      <c r="M113">
        <f xml:space="preserve"> IF(RegistroEntradas[[#This Row],[Data do Caixa Previsto]]="",0,MONTH(RegistroEntradas[[#This Row],[Data do Caixa Previsto]]))</f>
        <v>7</v>
      </c>
      <c r="N113">
        <f xml:space="preserve"> IF(RegistroEntradas[[#This Row],[Data do Caixa Previsto]]="",0,YEAR(RegistroEntradas[[#This Row],[Data do Caixa Previsto]]))</f>
        <v>2018</v>
      </c>
      <c r="O113" t="str">
        <f ca="1">IF(AND(RegistroEntradas[[#This Row],[Data do Caixa Previsto]]&lt;TODAY(),RegistroEntradas[[#This Row],[Data do Caixa Realizado]]=""),"Vencida","Paga")</f>
        <v>Paga</v>
      </c>
      <c r="P113" t="str">
        <f xml:space="preserve"> IF(RegistroEntradas[[#This Row],[Data da Competência]]=RegistroEntradas[[#This Row],[Data do Caixa Previsto]],"À Vista","À Prazo")</f>
        <v>À Prazo</v>
      </c>
      <c r="Q113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18.749179615020694</v>
      </c>
    </row>
    <row r="114" spans="2:17" ht="20.100000000000001" customHeight="1" x14ac:dyDescent="0.25">
      <c r="B114" s="9" t="s">
        <v>64</v>
      </c>
      <c r="C114" s="9">
        <v>43275</v>
      </c>
      <c r="D114" s="9">
        <v>43313.637699425337</v>
      </c>
      <c r="E114" t="s">
        <v>24</v>
      </c>
      <c r="F114" t="s">
        <v>33</v>
      </c>
      <c r="G114" t="s">
        <v>165</v>
      </c>
      <c r="H114" s="10">
        <v>770</v>
      </c>
      <c r="I114">
        <f>IF(RegistroEntradas[[#This Row],[Data do Caixa Realizado]] = "", 0, MONTH(RegistroEntradas[[#This Row],[Data do Caixa Realizado]]))</f>
        <v>0</v>
      </c>
      <c r="J114">
        <f>IF(RegistroEntradas[[#This Row],[Data do Caixa Realizado]] = "",0,YEAR(RegistroEntradas[[#This Row],[Data do Caixa Realizado]]))</f>
        <v>0</v>
      </c>
      <c r="K114">
        <f xml:space="preserve"> IF(RegistroEntradas[[#This Row],[Data da Competência]] = "", 0, MONTH(RegistroEntradas[[#This Row],[Data da Competência]]))</f>
        <v>6</v>
      </c>
      <c r="L114">
        <f xml:space="preserve"> IF(RegistroEntradas[[#This Row],[Data da Competência]] = "", 0, YEAR(RegistroEntradas[[#This Row],[Data da Competência]]))</f>
        <v>2018</v>
      </c>
      <c r="M114">
        <f xml:space="preserve"> IF(RegistroEntradas[[#This Row],[Data do Caixa Previsto]]="",0,MONTH(RegistroEntradas[[#This Row],[Data do Caixa Previsto]]))</f>
        <v>8</v>
      </c>
      <c r="N114">
        <f xml:space="preserve"> IF(RegistroEntradas[[#This Row],[Data do Caixa Previsto]]="",0,YEAR(RegistroEntradas[[#This Row],[Data do Caixa Previsto]]))</f>
        <v>2018</v>
      </c>
      <c r="O114" t="str">
        <f ca="1">IF(AND(RegistroEntradas[[#This Row],[Data do Caixa Previsto]]&lt;TODAY(),RegistroEntradas[[#This Row],[Data do Caixa Realizado]]=""),"Vencida","Paga")</f>
        <v>Vencida</v>
      </c>
      <c r="P114" t="str">
        <f xml:space="preserve"> IF(RegistroEntradas[[#This Row],[Data da Competência]]=RegistroEntradas[[#This Row],[Data do Caixa Previsto]],"À Vista","À Prazo")</f>
        <v>À Prazo</v>
      </c>
      <c r="Q114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1902.3623005746631</v>
      </c>
    </row>
    <row r="115" spans="2:17" ht="20.100000000000001" customHeight="1" x14ac:dyDescent="0.25">
      <c r="B115" s="9">
        <v>43321.066181249873</v>
      </c>
      <c r="C115" s="9">
        <v>43276</v>
      </c>
      <c r="D115" s="9">
        <v>43317.738042183715</v>
      </c>
      <c r="E115" t="s">
        <v>24</v>
      </c>
      <c r="F115" t="s">
        <v>32</v>
      </c>
      <c r="G115" t="s">
        <v>166</v>
      </c>
      <c r="H115" s="10">
        <v>3646</v>
      </c>
      <c r="I115">
        <f>IF(RegistroEntradas[[#This Row],[Data do Caixa Realizado]] = "", 0, MONTH(RegistroEntradas[[#This Row],[Data do Caixa Realizado]]))</f>
        <v>8</v>
      </c>
      <c r="J115">
        <f>IF(RegistroEntradas[[#This Row],[Data do Caixa Realizado]] = "",0,YEAR(RegistroEntradas[[#This Row],[Data do Caixa Realizado]]))</f>
        <v>2018</v>
      </c>
      <c r="K115">
        <f xml:space="preserve"> IF(RegistroEntradas[[#This Row],[Data da Competência]] = "", 0, MONTH(RegistroEntradas[[#This Row],[Data da Competência]]))</f>
        <v>6</v>
      </c>
      <c r="L115">
        <f xml:space="preserve"> IF(RegistroEntradas[[#This Row],[Data da Competência]] = "", 0, YEAR(RegistroEntradas[[#This Row],[Data da Competência]]))</f>
        <v>2018</v>
      </c>
      <c r="M115">
        <f xml:space="preserve"> IF(RegistroEntradas[[#This Row],[Data do Caixa Previsto]]="",0,MONTH(RegistroEntradas[[#This Row],[Data do Caixa Previsto]]))</f>
        <v>8</v>
      </c>
      <c r="N115">
        <f xml:space="preserve"> IF(RegistroEntradas[[#This Row],[Data do Caixa Previsto]]="",0,YEAR(RegistroEntradas[[#This Row],[Data do Caixa Previsto]]))</f>
        <v>2018</v>
      </c>
      <c r="O115" t="str">
        <f ca="1">IF(AND(RegistroEntradas[[#This Row],[Data do Caixa Previsto]]&lt;TODAY(),RegistroEntradas[[#This Row],[Data do Caixa Realizado]]=""),"Vencida","Paga")</f>
        <v>Paga</v>
      </c>
      <c r="P115" t="str">
        <f xml:space="preserve"> IF(RegistroEntradas[[#This Row],[Data da Competência]]=RegistroEntradas[[#This Row],[Data do Caixa Previsto]],"À Vista","À Prazo")</f>
        <v>À Prazo</v>
      </c>
      <c r="Q115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3.3281390661577461</v>
      </c>
    </row>
    <row r="116" spans="2:17" ht="20.100000000000001" customHeight="1" x14ac:dyDescent="0.25">
      <c r="B116" s="9">
        <v>43328.896220051167</v>
      </c>
      <c r="C116" s="9">
        <v>43280</v>
      </c>
      <c r="D116" s="9">
        <v>43328.896220051167</v>
      </c>
      <c r="E116" t="s">
        <v>24</v>
      </c>
      <c r="F116" t="s">
        <v>32</v>
      </c>
      <c r="G116" t="s">
        <v>167</v>
      </c>
      <c r="H116" s="10">
        <v>2376</v>
      </c>
      <c r="I116">
        <f>IF(RegistroEntradas[[#This Row],[Data do Caixa Realizado]] = "", 0, MONTH(RegistroEntradas[[#This Row],[Data do Caixa Realizado]]))</f>
        <v>8</v>
      </c>
      <c r="J116">
        <f>IF(RegistroEntradas[[#This Row],[Data do Caixa Realizado]] = "",0,YEAR(RegistroEntradas[[#This Row],[Data do Caixa Realizado]]))</f>
        <v>2018</v>
      </c>
      <c r="K116">
        <f xml:space="preserve"> IF(RegistroEntradas[[#This Row],[Data da Competência]] = "", 0, MONTH(RegistroEntradas[[#This Row],[Data da Competência]]))</f>
        <v>6</v>
      </c>
      <c r="L116">
        <f xml:space="preserve"> IF(RegistroEntradas[[#This Row],[Data da Competência]] = "", 0, YEAR(RegistroEntradas[[#This Row],[Data da Competência]]))</f>
        <v>2018</v>
      </c>
      <c r="M116">
        <f xml:space="preserve"> IF(RegistroEntradas[[#This Row],[Data do Caixa Previsto]]="",0,MONTH(RegistroEntradas[[#This Row],[Data do Caixa Previsto]]))</f>
        <v>8</v>
      </c>
      <c r="N116">
        <f xml:space="preserve"> IF(RegistroEntradas[[#This Row],[Data do Caixa Previsto]]="",0,YEAR(RegistroEntradas[[#This Row],[Data do Caixa Previsto]]))</f>
        <v>2018</v>
      </c>
      <c r="O116" t="str">
        <f ca="1">IF(AND(RegistroEntradas[[#This Row],[Data do Caixa Previsto]]&lt;TODAY(),RegistroEntradas[[#This Row],[Data do Caixa Realizado]]=""),"Vencida","Paga")</f>
        <v>Paga</v>
      </c>
      <c r="P116" t="str">
        <f xml:space="preserve"> IF(RegistroEntradas[[#This Row],[Data da Competência]]=RegistroEntradas[[#This Row],[Data do Caixa Previsto]],"À Vista","À Prazo")</f>
        <v>À Prazo</v>
      </c>
      <c r="Q116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117" spans="2:17" ht="20.100000000000001" customHeight="1" x14ac:dyDescent="0.25">
      <c r="B117" s="9">
        <v>43310.362560784597</v>
      </c>
      <c r="C117" s="9">
        <v>43284</v>
      </c>
      <c r="D117" s="9">
        <v>43310.362560784597</v>
      </c>
      <c r="E117" t="s">
        <v>24</v>
      </c>
      <c r="F117" t="s">
        <v>32</v>
      </c>
      <c r="G117" t="s">
        <v>168</v>
      </c>
      <c r="H117" s="10">
        <v>3940</v>
      </c>
      <c r="I117">
        <f>IF(RegistroEntradas[[#This Row],[Data do Caixa Realizado]] = "", 0, MONTH(RegistroEntradas[[#This Row],[Data do Caixa Realizado]]))</f>
        <v>7</v>
      </c>
      <c r="J117">
        <f>IF(RegistroEntradas[[#This Row],[Data do Caixa Realizado]] = "",0,YEAR(RegistroEntradas[[#This Row],[Data do Caixa Realizado]]))</f>
        <v>2018</v>
      </c>
      <c r="K117">
        <f xml:space="preserve"> IF(RegistroEntradas[[#This Row],[Data da Competência]] = "", 0, MONTH(RegistroEntradas[[#This Row],[Data da Competência]]))</f>
        <v>7</v>
      </c>
      <c r="L117">
        <f xml:space="preserve"> IF(RegistroEntradas[[#This Row],[Data da Competência]] = "", 0, YEAR(RegistroEntradas[[#This Row],[Data da Competência]]))</f>
        <v>2018</v>
      </c>
      <c r="M117">
        <f xml:space="preserve"> IF(RegistroEntradas[[#This Row],[Data do Caixa Previsto]]="",0,MONTH(RegistroEntradas[[#This Row],[Data do Caixa Previsto]]))</f>
        <v>7</v>
      </c>
      <c r="N117">
        <f xml:space="preserve"> IF(RegistroEntradas[[#This Row],[Data do Caixa Previsto]]="",0,YEAR(RegistroEntradas[[#This Row],[Data do Caixa Previsto]]))</f>
        <v>2018</v>
      </c>
      <c r="O117" t="str">
        <f ca="1">IF(AND(RegistroEntradas[[#This Row],[Data do Caixa Previsto]]&lt;TODAY(),RegistroEntradas[[#This Row],[Data do Caixa Realizado]]=""),"Vencida","Paga")</f>
        <v>Paga</v>
      </c>
      <c r="P117" t="str">
        <f xml:space="preserve"> IF(RegistroEntradas[[#This Row],[Data da Competência]]=RegistroEntradas[[#This Row],[Data do Caixa Previsto]],"À Vista","À Prazo")</f>
        <v>À Prazo</v>
      </c>
      <c r="Q117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118" spans="2:17" ht="20.100000000000001" customHeight="1" x14ac:dyDescent="0.25">
      <c r="B118" s="9">
        <v>43343.848263098727</v>
      </c>
      <c r="C118" s="9">
        <v>43285</v>
      </c>
      <c r="D118" s="9">
        <v>43343.848263098727</v>
      </c>
      <c r="E118" t="s">
        <v>24</v>
      </c>
      <c r="F118" t="s">
        <v>32</v>
      </c>
      <c r="G118" t="s">
        <v>169</v>
      </c>
      <c r="H118" s="10">
        <v>1732</v>
      </c>
      <c r="I118">
        <f>IF(RegistroEntradas[[#This Row],[Data do Caixa Realizado]] = "", 0, MONTH(RegistroEntradas[[#This Row],[Data do Caixa Realizado]]))</f>
        <v>8</v>
      </c>
      <c r="J118">
        <f>IF(RegistroEntradas[[#This Row],[Data do Caixa Realizado]] = "",0,YEAR(RegistroEntradas[[#This Row],[Data do Caixa Realizado]]))</f>
        <v>2018</v>
      </c>
      <c r="K118">
        <f xml:space="preserve"> IF(RegistroEntradas[[#This Row],[Data da Competência]] = "", 0, MONTH(RegistroEntradas[[#This Row],[Data da Competência]]))</f>
        <v>7</v>
      </c>
      <c r="L118">
        <f xml:space="preserve"> IF(RegistroEntradas[[#This Row],[Data da Competência]] = "", 0, YEAR(RegistroEntradas[[#This Row],[Data da Competência]]))</f>
        <v>2018</v>
      </c>
      <c r="M118">
        <f xml:space="preserve"> IF(RegistroEntradas[[#This Row],[Data do Caixa Previsto]]="",0,MONTH(RegistroEntradas[[#This Row],[Data do Caixa Previsto]]))</f>
        <v>8</v>
      </c>
      <c r="N118">
        <f xml:space="preserve"> IF(RegistroEntradas[[#This Row],[Data do Caixa Previsto]]="",0,YEAR(RegistroEntradas[[#This Row],[Data do Caixa Previsto]]))</f>
        <v>2018</v>
      </c>
      <c r="O118" t="str">
        <f ca="1">IF(AND(RegistroEntradas[[#This Row],[Data do Caixa Previsto]]&lt;TODAY(),RegistroEntradas[[#This Row],[Data do Caixa Realizado]]=""),"Vencida","Paga")</f>
        <v>Paga</v>
      </c>
      <c r="P118" t="str">
        <f xml:space="preserve"> IF(RegistroEntradas[[#This Row],[Data da Competência]]=RegistroEntradas[[#This Row],[Data do Caixa Previsto]],"À Vista","À Prazo")</f>
        <v>À Prazo</v>
      </c>
      <c r="Q118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119" spans="2:17" ht="20.100000000000001" customHeight="1" x14ac:dyDescent="0.25">
      <c r="B119" s="9">
        <v>43316.086897207155</v>
      </c>
      <c r="C119" s="9">
        <v>43286</v>
      </c>
      <c r="D119" s="9">
        <v>43316.086897207155</v>
      </c>
      <c r="E119" t="s">
        <v>24</v>
      </c>
      <c r="F119" t="s">
        <v>31</v>
      </c>
      <c r="G119" t="s">
        <v>170</v>
      </c>
      <c r="H119" s="10">
        <v>1306</v>
      </c>
      <c r="I119">
        <f>IF(RegistroEntradas[[#This Row],[Data do Caixa Realizado]] = "", 0, MONTH(RegistroEntradas[[#This Row],[Data do Caixa Realizado]]))</f>
        <v>8</v>
      </c>
      <c r="J119">
        <f>IF(RegistroEntradas[[#This Row],[Data do Caixa Realizado]] = "",0,YEAR(RegistroEntradas[[#This Row],[Data do Caixa Realizado]]))</f>
        <v>2018</v>
      </c>
      <c r="K119">
        <f xml:space="preserve"> IF(RegistroEntradas[[#This Row],[Data da Competência]] = "", 0, MONTH(RegistroEntradas[[#This Row],[Data da Competência]]))</f>
        <v>7</v>
      </c>
      <c r="L119">
        <f xml:space="preserve"> IF(RegistroEntradas[[#This Row],[Data da Competência]] = "", 0, YEAR(RegistroEntradas[[#This Row],[Data da Competência]]))</f>
        <v>2018</v>
      </c>
      <c r="M119">
        <f xml:space="preserve"> IF(RegistroEntradas[[#This Row],[Data do Caixa Previsto]]="",0,MONTH(RegistroEntradas[[#This Row],[Data do Caixa Previsto]]))</f>
        <v>8</v>
      </c>
      <c r="N119">
        <f xml:space="preserve"> IF(RegistroEntradas[[#This Row],[Data do Caixa Previsto]]="",0,YEAR(RegistroEntradas[[#This Row],[Data do Caixa Previsto]]))</f>
        <v>2018</v>
      </c>
      <c r="O119" t="str">
        <f ca="1">IF(AND(RegistroEntradas[[#This Row],[Data do Caixa Previsto]]&lt;TODAY(),RegistroEntradas[[#This Row],[Data do Caixa Realizado]]=""),"Vencida","Paga")</f>
        <v>Paga</v>
      </c>
      <c r="P119" t="str">
        <f xml:space="preserve"> IF(RegistroEntradas[[#This Row],[Data da Competência]]=RegistroEntradas[[#This Row],[Data do Caixa Previsto]],"À Vista","À Prazo")</f>
        <v>À Prazo</v>
      </c>
      <c r="Q119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120" spans="2:17" ht="20.100000000000001" customHeight="1" x14ac:dyDescent="0.25">
      <c r="B120" s="9">
        <v>43336.184362990563</v>
      </c>
      <c r="C120" s="9">
        <v>43288</v>
      </c>
      <c r="D120" s="9">
        <v>43336.184362990563</v>
      </c>
      <c r="E120" t="s">
        <v>24</v>
      </c>
      <c r="F120" t="s">
        <v>30</v>
      </c>
      <c r="G120" t="s">
        <v>171</v>
      </c>
      <c r="H120" s="10">
        <v>3954</v>
      </c>
      <c r="I120">
        <f>IF(RegistroEntradas[[#This Row],[Data do Caixa Realizado]] = "", 0, MONTH(RegistroEntradas[[#This Row],[Data do Caixa Realizado]]))</f>
        <v>8</v>
      </c>
      <c r="J120">
        <f>IF(RegistroEntradas[[#This Row],[Data do Caixa Realizado]] = "",0,YEAR(RegistroEntradas[[#This Row],[Data do Caixa Realizado]]))</f>
        <v>2018</v>
      </c>
      <c r="K120">
        <f xml:space="preserve"> IF(RegistroEntradas[[#This Row],[Data da Competência]] = "", 0, MONTH(RegistroEntradas[[#This Row],[Data da Competência]]))</f>
        <v>7</v>
      </c>
      <c r="L120">
        <f xml:space="preserve"> IF(RegistroEntradas[[#This Row],[Data da Competência]] = "", 0, YEAR(RegistroEntradas[[#This Row],[Data da Competência]]))</f>
        <v>2018</v>
      </c>
      <c r="M120">
        <f xml:space="preserve"> IF(RegistroEntradas[[#This Row],[Data do Caixa Previsto]]="",0,MONTH(RegistroEntradas[[#This Row],[Data do Caixa Previsto]]))</f>
        <v>8</v>
      </c>
      <c r="N120">
        <f xml:space="preserve"> IF(RegistroEntradas[[#This Row],[Data do Caixa Previsto]]="",0,YEAR(RegistroEntradas[[#This Row],[Data do Caixa Previsto]]))</f>
        <v>2018</v>
      </c>
      <c r="O120" t="str">
        <f ca="1">IF(AND(RegistroEntradas[[#This Row],[Data do Caixa Previsto]]&lt;TODAY(),RegistroEntradas[[#This Row],[Data do Caixa Realizado]]=""),"Vencida","Paga")</f>
        <v>Paga</v>
      </c>
      <c r="P120" t="str">
        <f xml:space="preserve"> IF(RegistroEntradas[[#This Row],[Data da Competência]]=RegistroEntradas[[#This Row],[Data do Caixa Previsto]],"À Vista","À Prazo")</f>
        <v>À Prazo</v>
      </c>
      <c r="Q120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121" spans="2:17" ht="20.100000000000001" customHeight="1" x14ac:dyDescent="0.25">
      <c r="B121" s="9">
        <v>43367.055849144577</v>
      </c>
      <c r="C121" s="9">
        <v>43292</v>
      </c>
      <c r="D121" s="9">
        <v>43323.658986192779</v>
      </c>
      <c r="E121" t="s">
        <v>24</v>
      </c>
      <c r="F121" t="s">
        <v>33</v>
      </c>
      <c r="G121" t="s">
        <v>172</v>
      </c>
      <c r="H121" s="10">
        <v>4090</v>
      </c>
      <c r="I121">
        <f>IF(RegistroEntradas[[#This Row],[Data do Caixa Realizado]] = "", 0, MONTH(RegistroEntradas[[#This Row],[Data do Caixa Realizado]]))</f>
        <v>9</v>
      </c>
      <c r="J121">
        <f>IF(RegistroEntradas[[#This Row],[Data do Caixa Realizado]] = "",0,YEAR(RegistroEntradas[[#This Row],[Data do Caixa Realizado]]))</f>
        <v>2018</v>
      </c>
      <c r="K121">
        <f xml:space="preserve"> IF(RegistroEntradas[[#This Row],[Data da Competência]] = "", 0, MONTH(RegistroEntradas[[#This Row],[Data da Competência]]))</f>
        <v>7</v>
      </c>
      <c r="L121">
        <f xml:space="preserve"> IF(RegistroEntradas[[#This Row],[Data da Competência]] = "", 0, YEAR(RegistroEntradas[[#This Row],[Data da Competência]]))</f>
        <v>2018</v>
      </c>
      <c r="M121">
        <f xml:space="preserve"> IF(RegistroEntradas[[#This Row],[Data do Caixa Previsto]]="",0,MONTH(RegistroEntradas[[#This Row],[Data do Caixa Previsto]]))</f>
        <v>8</v>
      </c>
      <c r="N121">
        <f xml:space="preserve"> IF(RegistroEntradas[[#This Row],[Data do Caixa Previsto]]="",0,YEAR(RegistroEntradas[[#This Row],[Data do Caixa Previsto]]))</f>
        <v>2018</v>
      </c>
      <c r="O121" t="str">
        <f ca="1">IF(AND(RegistroEntradas[[#This Row],[Data do Caixa Previsto]]&lt;TODAY(),RegistroEntradas[[#This Row],[Data do Caixa Realizado]]=""),"Vencida","Paga")</f>
        <v>Paga</v>
      </c>
      <c r="P121" t="str">
        <f xml:space="preserve"> IF(RegistroEntradas[[#This Row],[Data da Competência]]=RegistroEntradas[[#This Row],[Data do Caixa Previsto]],"À Vista","À Prazo")</f>
        <v>À Prazo</v>
      </c>
      <c r="Q121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43.396862951798539</v>
      </c>
    </row>
    <row r="122" spans="2:17" ht="20.100000000000001" customHeight="1" x14ac:dyDescent="0.25">
      <c r="B122" s="9">
        <v>43311.051743268465</v>
      </c>
      <c r="C122" s="9">
        <v>43293</v>
      </c>
      <c r="D122" s="9">
        <v>43311.051743268465</v>
      </c>
      <c r="E122" t="s">
        <v>24</v>
      </c>
      <c r="F122" t="s">
        <v>29</v>
      </c>
      <c r="G122" t="s">
        <v>173</v>
      </c>
      <c r="H122" s="10">
        <v>2713</v>
      </c>
      <c r="I122">
        <f>IF(RegistroEntradas[[#This Row],[Data do Caixa Realizado]] = "", 0, MONTH(RegistroEntradas[[#This Row],[Data do Caixa Realizado]]))</f>
        <v>7</v>
      </c>
      <c r="J122">
        <f>IF(RegistroEntradas[[#This Row],[Data do Caixa Realizado]] = "",0,YEAR(RegistroEntradas[[#This Row],[Data do Caixa Realizado]]))</f>
        <v>2018</v>
      </c>
      <c r="K122">
        <f xml:space="preserve"> IF(RegistroEntradas[[#This Row],[Data da Competência]] = "", 0, MONTH(RegistroEntradas[[#This Row],[Data da Competência]]))</f>
        <v>7</v>
      </c>
      <c r="L122">
        <f xml:space="preserve"> IF(RegistroEntradas[[#This Row],[Data da Competência]] = "", 0, YEAR(RegistroEntradas[[#This Row],[Data da Competência]]))</f>
        <v>2018</v>
      </c>
      <c r="M122">
        <f xml:space="preserve"> IF(RegistroEntradas[[#This Row],[Data do Caixa Previsto]]="",0,MONTH(RegistroEntradas[[#This Row],[Data do Caixa Previsto]]))</f>
        <v>7</v>
      </c>
      <c r="N122">
        <f xml:space="preserve"> IF(RegistroEntradas[[#This Row],[Data do Caixa Previsto]]="",0,YEAR(RegistroEntradas[[#This Row],[Data do Caixa Previsto]]))</f>
        <v>2018</v>
      </c>
      <c r="O122" t="str">
        <f ca="1">IF(AND(RegistroEntradas[[#This Row],[Data do Caixa Previsto]]&lt;TODAY(),RegistroEntradas[[#This Row],[Data do Caixa Realizado]]=""),"Vencida","Paga")</f>
        <v>Paga</v>
      </c>
      <c r="P122" t="str">
        <f xml:space="preserve"> IF(RegistroEntradas[[#This Row],[Data da Competência]]=RegistroEntradas[[#This Row],[Data do Caixa Previsto]],"À Vista","À Prazo")</f>
        <v>À Prazo</v>
      </c>
      <c r="Q122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123" spans="2:17" ht="20.100000000000001" customHeight="1" x14ac:dyDescent="0.25">
      <c r="B123" s="9">
        <v>43302.671415134202</v>
      </c>
      <c r="C123" s="9">
        <v>43297</v>
      </c>
      <c r="D123" s="9">
        <v>43302.671415134202</v>
      </c>
      <c r="E123" t="s">
        <v>24</v>
      </c>
      <c r="F123" t="s">
        <v>32</v>
      </c>
      <c r="G123" t="s">
        <v>174</v>
      </c>
      <c r="H123" s="10">
        <v>3482</v>
      </c>
      <c r="I123">
        <f>IF(RegistroEntradas[[#This Row],[Data do Caixa Realizado]] = "", 0, MONTH(RegistroEntradas[[#This Row],[Data do Caixa Realizado]]))</f>
        <v>7</v>
      </c>
      <c r="J123">
        <f>IF(RegistroEntradas[[#This Row],[Data do Caixa Realizado]] = "",0,YEAR(RegistroEntradas[[#This Row],[Data do Caixa Realizado]]))</f>
        <v>2018</v>
      </c>
      <c r="K123">
        <f xml:space="preserve"> IF(RegistroEntradas[[#This Row],[Data da Competência]] = "", 0, MONTH(RegistroEntradas[[#This Row],[Data da Competência]]))</f>
        <v>7</v>
      </c>
      <c r="L123">
        <f xml:space="preserve"> IF(RegistroEntradas[[#This Row],[Data da Competência]] = "", 0, YEAR(RegistroEntradas[[#This Row],[Data da Competência]]))</f>
        <v>2018</v>
      </c>
      <c r="M123">
        <f xml:space="preserve"> IF(RegistroEntradas[[#This Row],[Data do Caixa Previsto]]="",0,MONTH(RegistroEntradas[[#This Row],[Data do Caixa Previsto]]))</f>
        <v>7</v>
      </c>
      <c r="N123">
        <f xml:space="preserve"> IF(RegistroEntradas[[#This Row],[Data do Caixa Previsto]]="",0,YEAR(RegistroEntradas[[#This Row],[Data do Caixa Previsto]]))</f>
        <v>2018</v>
      </c>
      <c r="O123" t="str">
        <f ca="1">IF(AND(RegistroEntradas[[#This Row],[Data do Caixa Previsto]]&lt;TODAY(),RegistroEntradas[[#This Row],[Data do Caixa Realizado]]=""),"Vencida","Paga")</f>
        <v>Paga</v>
      </c>
      <c r="P123" t="str">
        <f xml:space="preserve"> IF(RegistroEntradas[[#This Row],[Data da Competência]]=RegistroEntradas[[#This Row],[Data do Caixa Previsto]],"À Vista","À Prazo")</f>
        <v>À Prazo</v>
      </c>
      <c r="Q123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124" spans="2:17" ht="20.100000000000001" customHeight="1" x14ac:dyDescent="0.25">
      <c r="B124" s="9">
        <v>43346.313143570049</v>
      </c>
      <c r="C124" s="9">
        <v>43299</v>
      </c>
      <c r="D124" s="9">
        <v>43346.313143570049</v>
      </c>
      <c r="E124" t="s">
        <v>24</v>
      </c>
      <c r="F124" t="s">
        <v>32</v>
      </c>
      <c r="G124" t="s">
        <v>175</v>
      </c>
      <c r="H124" s="10">
        <v>2071</v>
      </c>
      <c r="I124">
        <f>IF(RegistroEntradas[[#This Row],[Data do Caixa Realizado]] = "", 0, MONTH(RegistroEntradas[[#This Row],[Data do Caixa Realizado]]))</f>
        <v>9</v>
      </c>
      <c r="J124">
        <f>IF(RegistroEntradas[[#This Row],[Data do Caixa Realizado]] = "",0,YEAR(RegistroEntradas[[#This Row],[Data do Caixa Realizado]]))</f>
        <v>2018</v>
      </c>
      <c r="K124">
        <f xml:space="preserve"> IF(RegistroEntradas[[#This Row],[Data da Competência]] = "", 0, MONTH(RegistroEntradas[[#This Row],[Data da Competência]]))</f>
        <v>7</v>
      </c>
      <c r="L124">
        <f xml:space="preserve"> IF(RegistroEntradas[[#This Row],[Data da Competência]] = "", 0, YEAR(RegistroEntradas[[#This Row],[Data da Competência]]))</f>
        <v>2018</v>
      </c>
      <c r="M124">
        <f xml:space="preserve"> IF(RegistroEntradas[[#This Row],[Data do Caixa Previsto]]="",0,MONTH(RegistroEntradas[[#This Row],[Data do Caixa Previsto]]))</f>
        <v>9</v>
      </c>
      <c r="N124">
        <f xml:space="preserve"> IF(RegistroEntradas[[#This Row],[Data do Caixa Previsto]]="",0,YEAR(RegistroEntradas[[#This Row],[Data do Caixa Previsto]]))</f>
        <v>2018</v>
      </c>
      <c r="O124" t="str">
        <f ca="1">IF(AND(RegistroEntradas[[#This Row],[Data do Caixa Previsto]]&lt;TODAY(),RegistroEntradas[[#This Row],[Data do Caixa Realizado]]=""),"Vencida","Paga")</f>
        <v>Paga</v>
      </c>
      <c r="P124" t="str">
        <f xml:space="preserve"> IF(RegistroEntradas[[#This Row],[Data da Competência]]=RegistroEntradas[[#This Row],[Data do Caixa Previsto]],"À Vista","À Prazo")</f>
        <v>À Prazo</v>
      </c>
      <c r="Q124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125" spans="2:17" ht="20.100000000000001" customHeight="1" x14ac:dyDescent="0.25">
      <c r="B125" s="9">
        <v>43333.777244922574</v>
      </c>
      <c r="C125" s="9">
        <v>43304</v>
      </c>
      <c r="D125" s="9">
        <v>43333.777244922574</v>
      </c>
      <c r="E125" t="s">
        <v>24</v>
      </c>
      <c r="F125" t="s">
        <v>33</v>
      </c>
      <c r="G125" t="s">
        <v>176</v>
      </c>
      <c r="H125" s="10">
        <v>4258</v>
      </c>
      <c r="I125">
        <f>IF(RegistroEntradas[[#This Row],[Data do Caixa Realizado]] = "", 0, MONTH(RegistroEntradas[[#This Row],[Data do Caixa Realizado]]))</f>
        <v>8</v>
      </c>
      <c r="J125">
        <f>IF(RegistroEntradas[[#This Row],[Data do Caixa Realizado]] = "",0,YEAR(RegistroEntradas[[#This Row],[Data do Caixa Realizado]]))</f>
        <v>2018</v>
      </c>
      <c r="K125">
        <f xml:space="preserve"> IF(RegistroEntradas[[#This Row],[Data da Competência]] = "", 0, MONTH(RegistroEntradas[[#This Row],[Data da Competência]]))</f>
        <v>7</v>
      </c>
      <c r="L125">
        <f xml:space="preserve"> IF(RegistroEntradas[[#This Row],[Data da Competência]] = "", 0, YEAR(RegistroEntradas[[#This Row],[Data da Competência]]))</f>
        <v>2018</v>
      </c>
      <c r="M125">
        <f xml:space="preserve"> IF(RegistroEntradas[[#This Row],[Data do Caixa Previsto]]="",0,MONTH(RegistroEntradas[[#This Row],[Data do Caixa Previsto]]))</f>
        <v>8</v>
      </c>
      <c r="N125">
        <f xml:space="preserve"> IF(RegistroEntradas[[#This Row],[Data do Caixa Previsto]]="",0,YEAR(RegistroEntradas[[#This Row],[Data do Caixa Previsto]]))</f>
        <v>2018</v>
      </c>
      <c r="O125" t="str">
        <f ca="1">IF(AND(RegistroEntradas[[#This Row],[Data do Caixa Previsto]]&lt;TODAY(),RegistroEntradas[[#This Row],[Data do Caixa Realizado]]=""),"Vencida","Paga")</f>
        <v>Paga</v>
      </c>
      <c r="P125" t="str">
        <f xml:space="preserve"> IF(RegistroEntradas[[#This Row],[Data da Competência]]=RegistroEntradas[[#This Row],[Data do Caixa Previsto]],"À Vista","À Prazo")</f>
        <v>À Prazo</v>
      </c>
      <c r="Q125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126" spans="2:17" ht="20.100000000000001" customHeight="1" x14ac:dyDescent="0.25">
      <c r="B126" s="9">
        <v>43428.73128891184</v>
      </c>
      <c r="C126" s="9">
        <v>43306</v>
      </c>
      <c r="D126" s="9">
        <v>43350.178253053913</v>
      </c>
      <c r="E126" t="s">
        <v>24</v>
      </c>
      <c r="F126" t="s">
        <v>30</v>
      </c>
      <c r="G126" t="s">
        <v>177</v>
      </c>
      <c r="H126" s="10">
        <v>4383</v>
      </c>
      <c r="I126">
        <f>IF(RegistroEntradas[[#This Row],[Data do Caixa Realizado]] = "", 0, MONTH(RegistroEntradas[[#This Row],[Data do Caixa Realizado]]))</f>
        <v>11</v>
      </c>
      <c r="J126">
        <f>IF(RegistroEntradas[[#This Row],[Data do Caixa Realizado]] = "",0,YEAR(RegistroEntradas[[#This Row],[Data do Caixa Realizado]]))</f>
        <v>2018</v>
      </c>
      <c r="K126">
        <f xml:space="preserve"> IF(RegistroEntradas[[#This Row],[Data da Competência]] = "", 0, MONTH(RegistroEntradas[[#This Row],[Data da Competência]]))</f>
        <v>7</v>
      </c>
      <c r="L126">
        <f xml:space="preserve"> IF(RegistroEntradas[[#This Row],[Data da Competência]] = "", 0, YEAR(RegistroEntradas[[#This Row],[Data da Competência]]))</f>
        <v>2018</v>
      </c>
      <c r="M126">
        <f xml:space="preserve"> IF(RegistroEntradas[[#This Row],[Data do Caixa Previsto]]="",0,MONTH(RegistroEntradas[[#This Row],[Data do Caixa Previsto]]))</f>
        <v>9</v>
      </c>
      <c r="N126">
        <f xml:space="preserve"> IF(RegistroEntradas[[#This Row],[Data do Caixa Previsto]]="",0,YEAR(RegistroEntradas[[#This Row],[Data do Caixa Previsto]]))</f>
        <v>2018</v>
      </c>
      <c r="O126" t="str">
        <f ca="1">IF(AND(RegistroEntradas[[#This Row],[Data do Caixa Previsto]]&lt;TODAY(),RegistroEntradas[[#This Row],[Data do Caixa Realizado]]=""),"Vencida","Paga")</f>
        <v>Paga</v>
      </c>
      <c r="P126" t="str">
        <f xml:space="preserve"> IF(RegistroEntradas[[#This Row],[Data da Competência]]=RegistroEntradas[[#This Row],[Data do Caixa Previsto]],"À Vista","À Prazo")</f>
        <v>À Prazo</v>
      </c>
      <c r="Q126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78.553035857927171</v>
      </c>
    </row>
    <row r="127" spans="2:17" ht="20.100000000000001" customHeight="1" x14ac:dyDescent="0.25">
      <c r="B127" s="9">
        <v>43352.69621488743</v>
      </c>
      <c r="C127" s="9">
        <v>43310</v>
      </c>
      <c r="D127" s="9">
        <v>43352.69621488743</v>
      </c>
      <c r="E127" t="s">
        <v>24</v>
      </c>
      <c r="F127" t="s">
        <v>32</v>
      </c>
      <c r="G127" t="s">
        <v>178</v>
      </c>
      <c r="H127" s="10">
        <v>1369</v>
      </c>
      <c r="I127">
        <f>IF(RegistroEntradas[[#This Row],[Data do Caixa Realizado]] = "", 0, MONTH(RegistroEntradas[[#This Row],[Data do Caixa Realizado]]))</f>
        <v>9</v>
      </c>
      <c r="J127">
        <f>IF(RegistroEntradas[[#This Row],[Data do Caixa Realizado]] = "",0,YEAR(RegistroEntradas[[#This Row],[Data do Caixa Realizado]]))</f>
        <v>2018</v>
      </c>
      <c r="K127">
        <f xml:space="preserve"> IF(RegistroEntradas[[#This Row],[Data da Competência]] = "", 0, MONTH(RegistroEntradas[[#This Row],[Data da Competência]]))</f>
        <v>7</v>
      </c>
      <c r="L127">
        <f xml:space="preserve"> IF(RegistroEntradas[[#This Row],[Data da Competência]] = "", 0, YEAR(RegistroEntradas[[#This Row],[Data da Competência]]))</f>
        <v>2018</v>
      </c>
      <c r="M127">
        <f xml:space="preserve"> IF(RegistroEntradas[[#This Row],[Data do Caixa Previsto]]="",0,MONTH(RegistroEntradas[[#This Row],[Data do Caixa Previsto]]))</f>
        <v>9</v>
      </c>
      <c r="N127">
        <f xml:space="preserve"> IF(RegistroEntradas[[#This Row],[Data do Caixa Previsto]]="",0,YEAR(RegistroEntradas[[#This Row],[Data do Caixa Previsto]]))</f>
        <v>2018</v>
      </c>
      <c r="O127" t="str">
        <f ca="1">IF(AND(RegistroEntradas[[#This Row],[Data do Caixa Previsto]]&lt;TODAY(),RegistroEntradas[[#This Row],[Data do Caixa Realizado]]=""),"Vencida","Paga")</f>
        <v>Paga</v>
      </c>
      <c r="P127" t="str">
        <f xml:space="preserve"> IF(RegistroEntradas[[#This Row],[Data da Competência]]=RegistroEntradas[[#This Row],[Data do Caixa Previsto]],"À Vista","À Prazo")</f>
        <v>À Prazo</v>
      </c>
      <c r="Q127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128" spans="2:17" ht="20.100000000000001" customHeight="1" x14ac:dyDescent="0.25">
      <c r="B128" s="9">
        <v>43357.5698549507</v>
      </c>
      <c r="C128" s="9">
        <v>43315</v>
      </c>
      <c r="D128" s="9">
        <v>43357.5698549507</v>
      </c>
      <c r="E128" t="s">
        <v>24</v>
      </c>
      <c r="F128" t="s">
        <v>32</v>
      </c>
      <c r="G128" t="s">
        <v>179</v>
      </c>
      <c r="H128" s="10">
        <v>331</v>
      </c>
      <c r="I128">
        <f>IF(RegistroEntradas[[#This Row],[Data do Caixa Realizado]] = "", 0, MONTH(RegistroEntradas[[#This Row],[Data do Caixa Realizado]]))</f>
        <v>9</v>
      </c>
      <c r="J128">
        <f>IF(RegistroEntradas[[#This Row],[Data do Caixa Realizado]] = "",0,YEAR(RegistroEntradas[[#This Row],[Data do Caixa Realizado]]))</f>
        <v>2018</v>
      </c>
      <c r="K128">
        <f xml:space="preserve"> IF(RegistroEntradas[[#This Row],[Data da Competência]] = "", 0, MONTH(RegistroEntradas[[#This Row],[Data da Competência]]))</f>
        <v>8</v>
      </c>
      <c r="L128">
        <f xml:space="preserve"> IF(RegistroEntradas[[#This Row],[Data da Competência]] = "", 0, YEAR(RegistroEntradas[[#This Row],[Data da Competência]]))</f>
        <v>2018</v>
      </c>
      <c r="M128">
        <f xml:space="preserve"> IF(RegistroEntradas[[#This Row],[Data do Caixa Previsto]]="",0,MONTH(RegistroEntradas[[#This Row],[Data do Caixa Previsto]]))</f>
        <v>9</v>
      </c>
      <c r="N128">
        <f xml:space="preserve"> IF(RegistroEntradas[[#This Row],[Data do Caixa Previsto]]="",0,YEAR(RegistroEntradas[[#This Row],[Data do Caixa Previsto]]))</f>
        <v>2018</v>
      </c>
      <c r="O128" t="str">
        <f ca="1">IF(AND(RegistroEntradas[[#This Row],[Data do Caixa Previsto]]&lt;TODAY(),RegistroEntradas[[#This Row],[Data do Caixa Realizado]]=""),"Vencida","Paga")</f>
        <v>Paga</v>
      </c>
      <c r="P128" t="str">
        <f xml:space="preserve"> IF(RegistroEntradas[[#This Row],[Data da Competência]]=RegistroEntradas[[#This Row],[Data do Caixa Previsto]],"À Vista","À Prazo")</f>
        <v>À Prazo</v>
      </c>
      <c r="Q128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129" spans="2:17" ht="20.100000000000001" customHeight="1" x14ac:dyDescent="0.25">
      <c r="B129" s="9">
        <v>43321.343775306508</v>
      </c>
      <c r="C129" s="9">
        <v>43318</v>
      </c>
      <c r="D129" s="9">
        <v>43318</v>
      </c>
      <c r="E129" t="s">
        <v>24</v>
      </c>
      <c r="F129" t="s">
        <v>32</v>
      </c>
      <c r="G129" t="s">
        <v>180</v>
      </c>
      <c r="H129" s="10">
        <v>3031</v>
      </c>
      <c r="I129">
        <f>IF(RegistroEntradas[[#This Row],[Data do Caixa Realizado]] = "", 0, MONTH(RegistroEntradas[[#This Row],[Data do Caixa Realizado]]))</f>
        <v>8</v>
      </c>
      <c r="J129">
        <f>IF(RegistroEntradas[[#This Row],[Data do Caixa Realizado]] = "",0,YEAR(RegistroEntradas[[#This Row],[Data do Caixa Realizado]]))</f>
        <v>2018</v>
      </c>
      <c r="K129">
        <f xml:space="preserve"> IF(RegistroEntradas[[#This Row],[Data da Competência]] = "", 0, MONTH(RegistroEntradas[[#This Row],[Data da Competência]]))</f>
        <v>8</v>
      </c>
      <c r="L129">
        <f xml:space="preserve"> IF(RegistroEntradas[[#This Row],[Data da Competência]] = "", 0, YEAR(RegistroEntradas[[#This Row],[Data da Competência]]))</f>
        <v>2018</v>
      </c>
      <c r="M129">
        <f xml:space="preserve"> IF(RegistroEntradas[[#This Row],[Data do Caixa Previsto]]="",0,MONTH(RegistroEntradas[[#This Row],[Data do Caixa Previsto]]))</f>
        <v>8</v>
      </c>
      <c r="N129">
        <f xml:space="preserve"> IF(RegistroEntradas[[#This Row],[Data do Caixa Previsto]]="",0,YEAR(RegistroEntradas[[#This Row],[Data do Caixa Previsto]]))</f>
        <v>2018</v>
      </c>
      <c r="O129" t="str">
        <f ca="1">IF(AND(RegistroEntradas[[#This Row],[Data do Caixa Previsto]]&lt;TODAY(),RegistroEntradas[[#This Row],[Data do Caixa Realizado]]=""),"Vencida","Paga")</f>
        <v>Paga</v>
      </c>
      <c r="P129" t="str">
        <f xml:space="preserve"> IF(RegistroEntradas[[#This Row],[Data da Competência]]=RegistroEntradas[[#This Row],[Data do Caixa Previsto]],"À Vista","À Prazo")</f>
        <v>À Vista</v>
      </c>
      <c r="Q129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3.3437753065081779</v>
      </c>
    </row>
    <row r="130" spans="2:17" ht="20.100000000000001" customHeight="1" x14ac:dyDescent="0.25">
      <c r="B130" s="9">
        <v>43341.446775987133</v>
      </c>
      <c r="C130" s="9">
        <v>43321</v>
      </c>
      <c r="D130" s="9">
        <v>43341.446775987133</v>
      </c>
      <c r="E130" t="s">
        <v>24</v>
      </c>
      <c r="F130" t="s">
        <v>30</v>
      </c>
      <c r="G130" t="s">
        <v>181</v>
      </c>
      <c r="H130" s="10">
        <v>1200</v>
      </c>
      <c r="I130">
        <f>IF(RegistroEntradas[[#This Row],[Data do Caixa Realizado]] = "", 0, MONTH(RegistroEntradas[[#This Row],[Data do Caixa Realizado]]))</f>
        <v>8</v>
      </c>
      <c r="J130">
        <f>IF(RegistroEntradas[[#This Row],[Data do Caixa Realizado]] = "",0,YEAR(RegistroEntradas[[#This Row],[Data do Caixa Realizado]]))</f>
        <v>2018</v>
      </c>
      <c r="K130">
        <f xml:space="preserve"> IF(RegistroEntradas[[#This Row],[Data da Competência]] = "", 0, MONTH(RegistroEntradas[[#This Row],[Data da Competência]]))</f>
        <v>8</v>
      </c>
      <c r="L130">
        <f xml:space="preserve"> IF(RegistroEntradas[[#This Row],[Data da Competência]] = "", 0, YEAR(RegistroEntradas[[#This Row],[Data da Competência]]))</f>
        <v>2018</v>
      </c>
      <c r="M130">
        <f xml:space="preserve"> IF(RegistroEntradas[[#This Row],[Data do Caixa Previsto]]="",0,MONTH(RegistroEntradas[[#This Row],[Data do Caixa Previsto]]))</f>
        <v>8</v>
      </c>
      <c r="N130">
        <f xml:space="preserve"> IF(RegistroEntradas[[#This Row],[Data do Caixa Previsto]]="",0,YEAR(RegistroEntradas[[#This Row],[Data do Caixa Previsto]]))</f>
        <v>2018</v>
      </c>
      <c r="O130" t="str">
        <f ca="1">IF(AND(RegistroEntradas[[#This Row],[Data do Caixa Previsto]]&lt;TODAY(),RegistroEntradas[[#This Row],[Data do Caixa Realizado]]=""),"Vencida","Paga")</f>
        <v>Paga</v>
      </c>
      <c r="P130" t="str">
        <f xml:space="preserve"> IF(RegistroEntradas[[#This Row],[Data da Competência]]=RegistroEntradas[[#This Row],[Data do Caixa Previsto]],"À Vista","À Prazo")</f>
        <v>À Prazo</v>
      </c>
      <c r="Q130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131" spans="2:17" ht="20.100000000000001" customHeight="1" x14ac:dyDescent="0.25">
      <c r="B131" s="9">
        <v>43343.77071694022</v>
      </c>
      <c r="C131" s="9">
        <v>43323</v>
      </c>
      <c r="D131" s="9">
        <v>43323</v>
      </c>
      <c r="E131" t="s">
        <v>24</v>
      </c>
      <c r="F131" t="s">
        <v>30</v>
      </c>
      <c r="G131" t="s">
        <v>182</v>
      </c>
      <c r="H131" s="10">
        <v>405</v>
      </c>
      <c r="I131">
        <f>IF(RegistroEntradas[[#This Row],[Data do Caixa Realizado]] = "", 0, MONTH(RegistroEntradas[[#This Row],[Data do Caixa Realizado]]))</f>
        <v>8</v>
      </c>
      <c r="J131">
        <f>IF(RegistroEntradas[[#This Row],[Data do Caixa Realizado]] = "",0,YEAR(RegistroEntradas[[#This Row],[Data do Caixa Realizado]]))</f>
        <v>2018</v>
      </c>
      <c r="K131">
        <f xml:space="preserve"> IF(RegistroEntradas[[#This Row],[Data da Competência]] = "", 0, MONTH(RegistroEntradas[[#This Row],[Data da Competência]]))</f>
        <v>8</v>
      </c>
      <c r="L131">
        <f xml:space="preserve"> IF(RegistroEntradas[[#This Row],[Data da Competência]] = "", 0, YEAR(RegistroEntradas[[#This Row],[Data da Competência]]))</f>
        <v>2018</v>
      </c>
      <c r="M131">
        <f xml:space="preserve"> IF(RegistroEntradas[[#This Row],[Data do Caixa Previsto]]="",0,MONTH(RegistroEntradas[[#This Row],[Data do Caixa Previsto]]))</f>
        <v>8</v>
      </c>
      <c r="N131">
        <f xml:space="preserve"> IF(RegistroEntradas[[#This Row],[Data do Caixa Previsto]]="",0,YEAR(RegistroEntradas[[#This Row],[Data do Caixa Previsto]]))</f>
        <v>2018</v>
      </c>
      <c r="O131" t="str">
        <f ca="1">IF(AND(RegistroEntradas[[#This Row],[Data do Caixa Previsto]]&lt;TODAY(),RegistroEntradas[[#This Row],[Data do Caixa Realizado]]=""),"Vencida","Paga")</f>
        <v>Paga</v>
      </c>
      <c r="P131" t="str">
        <f xml:space="preserve"> IF(RegistroEntradas[[#This Row],[Data da Competência]]=RegistroEntradas[[#This Row],[Data do Caixa Previsto]],"À Vista","À Prazo")</f>
        <v>À Vista</v>
      </c>
      <c r="Q131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20.770716940220154</v>
      </c>
    </row>
    <row r="132" spans="2:17" ht="20.100000000000001" customHeight="1" x14ac:dyDescent="0.25">
      <c r="B132" s="9">
        <v>43360.32999077069</v>
      </c>
      <c r="C132" s="9">
        <v>43326</v>
      </c>
      <c r="D132" s="9">
        <v>43326</v>
      </c>
      <c r="E132" t="s">
        <v>24</v>
      </c>
      <c r="F132" t="s">
        <v>29</v>
      </c>
      <c r="G132" t="s">
        <v>148</v>
      </c>
      <c r="H132" s="10">
        <v>3080</v>
      </c>
      <c r="I132">
        <f>IF(RegistroEntradas[[#This Row],[Data do Caixa Realizado]] = "", 0, MONTH(RegistroEntradas[[#This Row],[Data do Caixa Realizado]]))</f>
        <v>9</v>
      </c>
      <c r="J132">
        <f>IF(RegistroEntradas[[#This Row],[Data do Caixa Realizado]] = "",0,YEAR(RegistroEntradas[[#This Row],[Data do Caixa Realizado]]))</f>
        <v>2018</v>
      </c>
      <c r="K132">
        <f xml:space="preserve"> IF(RegistroEntradas[[#This Row],[Data da Competência]] = "", 0, MONTH(RegistroEntradas[[#This Row],[Data da Competência]]))</f>
        <v>8</v>
      </c>
      <c r="L132">
        <f xml:space="preserve"> IF(RegistroEntradas[[#This Row],[Data da Competência]] = "", 0, YEAR(RegistroEntradas[[#This Row],[Data da Competência]]))</f>
        <v>2018</v>
      </c>
      <c r="M132">
        <f xml:space="preserve"> IF(RegistroEntradas[[#This Row],[Data do Caixa Previsto]]="",0,MONTH(RegistroEntradas[[#This Row],[Data do Caixa Previsto]]))</f>
        <v>8</v>
      </c>
      <c r="N132">
        <f xml:space="preserve"> IF(RegistroEntradas[[#This Row],[Data do Caixa Previsto]]="",0,YEAR(RegistroEntradas[[#This Row],[Data do Caixa Previsto]]))</f>
        <v>2018</v>
      </c>
      <c r="O132" t="str">
        <f ca="1">IF(AND(RegistroEntradas[[#This Row],[Data do Caixa Previsto]]&lt;TODAY(),RegistroEntradas[[#This Row],[Data do Caixa Realizado]]=""),"Vencida","Paga")</f>
        <v>Paga</v>
      </c>
      <c r="P132" t="str">
        <f xml:space="preserve"> IF(RegistroEntradas[[#This Row],[Data da Competência]]=RegistroEntradas[[#This Row],[Data do Caixa Previsto]],"À Vista","À Prazo")</f>
        <v>À Vista</v>
      </c>
      <c r="Q132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34.329990770689619</v>
      </c>
    </row>
    <row r="133" spans="2:17" ht="20.100000000000001" customHeight="1" x14ac:dyDescent="0.25">
      <c r="B133" s="9">
        <v>43329.315214521994</v>
      </c>
      <c r="C133" s="9">
        <v>43329</v>
      </c>
      <c r="D133" s="9">
        <v>43329.315214521994</v>
      </c>
      <c r="E133" t="s">
        <v>24</v>
      </c>
      <c r="F133" t="s">
        <v>32</v>
      </c>
      <c r="G133" t="s">
        <v>183</v>
      </c>
      <c r="H133" s="10">
        <v>2137</v>
      </c>
      <c r="I133">
        <f>IF(RegistroEntradas[[#This Row],[Data do Caixa Realizado]] = "", 0, MONTH(RegistroEntradas[[#This Row],[Data do Caixa Realizado]]))</f>
        <v>8</v>
      </c>
      <c r="J133">
        <f>IF(RegistroEntradas[[#This Row],[Data do Caixa Realizado]] = "",0,YEAR(RegistroEntradas[[#This Row],[Data do Caixa Realizado]]))</f>
        <v>2018</v>
      </c>
      <c r="K133">
        <f xml:space="preserve"> IF(RegistroEntradas[[#This Row],[Data da Competência]] = "", 0, MONTH(RegistroEntradas[[#This Row],[Data da Competência]]))</f>
        <v>8</v>
      </c>
      <c r="L133">
        <f xml:space="preserve"> IF(RegistroEntradas[[#This Row],[Data da Competência]] = "", 0, YEAR(RegistroEntradas[[#This Row],[Data da Competência]]))</f>
        <v>2018</v>
      </c>
      <c r="M133">
        <f xml:space="preserve"> IF(RegistroEntradas[[#This Row],[Data do Caixa Previsto]]="",0,MONTH(RegistroEntradas[[#This Row],[Data do Caixa Previsto]]))</f>
        <v>8</v>
      </c>
      <c r="N133">
        <f xml:space="preserve"> IF(RegistroEntradas[[#This Row],[Data do Caixa Previsto]]="",0,YEAR(RegistroEntradas[[#This Row],[Data do Caixa Previsto]]))</f>
        <v>2018</v>
      </c>
      <c r="O133" t="str">
        <f ca="1">IF(AND(RegistroEntradas[[#This Row],[Data do Caixa Previsto]]&lt;TODAY(),RegistroEntradas[[#This Row],[Data do Caixa Realizado]]=""),"Vencida","Paga")</f>
        <v>Paga</v>
      </c>
      <c r="P133" t="str">
        <f xml:space="preserve"> IF(RegistroEntradas[[#This Row],[Data da Competência]]=RegistroEntradas[[#This Row],[Data do Caixa Previsto]],"À Vista","À Prazo")</f>
        <v>À Prazo</v>
      </c>
      <c r="Q133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134" spans="2:17" ht="20.100000000000001" customHeight="1" x14ac:dyDescent="0.25">
      <c r="B134" s="9">
        <v>43388.49957155843</v>
      </c>
      <c r="C134" s="9">
        <v>43336</v>
      </c>
      <c r="D134" s="9">
        <v>43388.49957155843</v>
      </c>
      <c r="E134" t="s">
        <v>24</v>
      </c>
      <c r="F134" t="s">
        <v>33</v>
      </c>
      <c r="G134" t="s">
        <v>184</v>
      </c>
      <c r="H134" s="10">
        <v>4287</v>
      </c>
      <c r="I134">
        <f>IF(RegistroEntradas[[#This Row],[Data do Caixa Realizado]] = "", 0, MONTH(RegistroEntradas[[#This Row],[Data do Caixa Realizado]]))</f>
        <v>10</v>
      </c>
      <c r="J134">
        <f>IF(RegistroEntradas[[#This Row],[Data do Caixa Realizado]] = "",0,YEAR(RegistroEntradas[[#This Row],[Data do Caixa Realizado]]))</f>
        <v>2018</v>
      </c>
      <c r="K134">
        <f xml:space="preserve"> IF(RegistroEntradas[[#This Row],[Data da Competência]] = "", 0, MONTH(RegistroEntradas[[#This Row],[Data da Competência]]))</f>
        <v>8</v>
      </c>
      <c r="L134">
        <f xml:space="preserve"> IF(RegistroEntradas[[#This Row],[Data da Competência]] = "", 0, YEAR(RegistroEntradas[[#This Row],[Data da Competência]]))</f>
        <v>2018</v>
      </c>
      <c r="M134">
        <f xml:space="preserve"> IF(RegistroEntradas[[#This Row],[Data do Caixa Previsto]]="",0,MONTH(RegistroEntradas[[#This Row],[Data do Caixa Previsto]]))</f>
        <v>10</v>
      </c>
      <c r="N134">
        <f xml:space="preserve"> IF(RegistroEntradas[[#This Row],[Data do Caixa Previsto]]="",0,YEAR(RegistroEntradas[[#This Row],[Data do Caixa Previsto]]))</f>
        <v>2018</v>
      </c>
      <c r="O134" t="str">
        <f ca="1">IF(AND(RegistroEntradas[[#This Row],[Data do Caixa Previsto]]&lt;TODAY(),RegistroEntradas[[#This Row],[Data do Caixa Realizado]]=""),"Vencida","Paga")</f>
        <v>Paga</v>
      </c>
      <c r="P134" t="str">
        <f xml:space="preserve"> IF(RegistroEntradas[[#This Row],[Data da Competência]]=RegistroEntradas[[#This Row],[Data do Caixa Previsto]],"À Vista","À Prazo")</f>
        <v>À Prazo</v>
      </c>
      <c r="Q134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135" spans="2:17" ht="20.100000000000001" customHeight="1" x14ac:dyDescent="0.25">
      <c r="B135" s="9">
        <v>43395.898810917068</v>
      </c>
      <c r="C135" s="9">
        <v>43338</v>
      </c>
      <c r="D135" s="9">
        <v>43395.898810917068</v>
      </c>
      <c r="E135" t="s">
        <v>24</v>
      </c>
      <c r="F135" t="s">
        <v>33</v>
      </c>
      <c r="G135" t="s">
        <v>185</v>
      </c>
      <c r="H135" s="10">
        <v>4857</v>
      </c>
      <c r="I135">
        <f>IF(RegistroEntradas[[#This Row],[Data do Caixa Realizado]] = "", 0, MONTH(RegistroEntradas[[#This Row],[Data do Caixa Realizado]]))</f>
        <v>10</v>
      </c>
      <c r="J135">
        <f>IF(RegistroEntradas[[#This Row],[Data do Caixa Realizado]] = "",0,YEAR(RegistroEntradas[[#This Row],[Data do Caixa Realizado]]))</f>
        <v>2018</v>
      </c>
      <c r="K135">
        <f xml:space="preserve"> IF(RegistroEntradas[[#This Row],[Data da Competência]] = "", 0, MONTH(RegistroEntradas[[#This Row],[Data da Competência]]))</f>
        <v>8</v>
      </c>
      <c r="L135">
        <f xml:space="preserve"> IF(RegistroEntradas[[#This Row],[Data da Competência]] = "", 0, YEAR(RegistroEntradas[[#This Row],[Data da Competência]]))</f>
        <v>2018</v>
      </c>
      <c r="M135">
        <f xml:space="preserve"> IF(RegistroEntradas[[#This Row],[Data do Caixa Previsto]]="",0,MONTH(RegistroEntradas[[#This Row],[Data do Caixa Previsto]]))</f>
        <v>10</v>
      </c>
      <c r="N135">
        <f xml:space="preserve"> IF(RegistroEntradas[[#This Row],[Data do Caixa Previsto]]="",0,YEAR(RegistroEntradas[[#This Row],[Data do Caixa Previsto]]))</f>
        <v>2018</v>
      </c>
      <c r="O135" t="str">
        <f ca="1">IF(AND(RegistroEntradas[[#This Row],[Data do Caixa Previsto]]&lt;TODAY(),RegistroEntradas[[#This Row],[Data do Caixa Realizado]]=""),"Vencida","Paga")</f>
        <v>Paga</v>
      </c>
      <c r="P135" t="str">
        <f xml:space="preserve"> IF(RegistroEntradas[[#This Row],[Data da Competência]]=RegistroEntradas[[#This Row],[Data do Caixa Previsto]],"À Vista","À Prazo")</f>
        <v>À Prazo</v>
      </c>
      <c r="Q135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136" spans="2:17" ht="20.100000000000001" customHeight="1" x14ac:dyDescent="0.25">
      <c r="B136" s="9">
        <v>43393.910050358987</v>
      </c>
      <c r="C136" s="9">
        <v>43342</v>
      </c>
      <c r="D136" s="9">
        <v>43393.910050358987</v>
      </c>
      <c r="E136" t="s">
        <v>24</v>
      </c>
      <c r="F136" t="s">
        <v>32</v>
      </c>
      <c r="G136" t="s">
        <v>186</v>
      </c>
      <c r="H136" s="10">
        <v>507</v>
      </c>
      <c r="I136">
        <f>IF(RegistroEntradas[[#This Row],[Data do Caixa Realizado]] = "", 0, MONTH(RegistroEntradas[[#This Row],[Data do Caixa Realizado]]))</f>
        <v>10</v>
      </c>
      <c r="J136">
        <f>IF(RegistroEntradas[[#This Row],[Data do Caixa Realizado]] = "",0,YEAR(RegistroEntradas[[#This Row],[Data do Caixa Realizado]]))</f>
        <v>2018</v>
      </c>
      <c r="K136">
        <f xml:space="preserve"> IF(RegistroEntradas[[#This Row],[Data da Competência]] = "", 0, MONTH(RegistroEntradas[[#This Row],[Data da Competência]]))</f>
        <v>8</v>
      </c>
      <c r="L136">
        <f xml:space="preserve"> IF(RegistroEntradas[[#This Row],[Data da Competência]] = "", 0, YEAR(RegistroEntradas[[#This Row],[Data da Competência]]))</f>
        <v>2018</v>
      </c>
      <c r="M136">
        <f xml:space="preserve"> IF(RegistroEntradas[[#This Row],[Data do Caixa Previsto]]="",0,MONTH(RegistroEntradas[[#This Row],[Data do Caixa Previsto]]))</f>
        <v>10</v>
      </c>
      <c r="N136">
        <f xml:space="preserve"> IF(RegistroEntradas[[#This Row],[Data do Caixa Previsto]]="",0,YEAR(RegistroEntradas[[#This Row],[Data do Caixa Previsto]]))</f>
        <v>2018</v>
      </c>
      <c r="O136" t="str">
        <f ca="1">IF(AND(RegistroEntradas[[#This Row],[Data do Caixa Previsto]]&lt;TODAY(),RegistroEntradas[[#This Row],[Data do Caixa Realizado]]=""),"Vencida","Paga")</f>
        <v>Paga</v>
      </c>
      <c r="P136" t="str">
        <f xml:space="preserve"> IF(RegistroEntradas[[#This Row],[Data da Competência]]=RegistroEntradas[[#This Row],[Data do Caixa Previsto]],"À Vista","À Prazo")</f>
        <v>À Prazo</v>
      </c>
      <c r="Q136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137" spans="2:17" ht="20.100000000000001" customHeight="1" x14ac:dyDescent="0.25">
      <c r="B137" s="9">
        <v>43354.387651420941</v>
      </c>
      <c r="C137" s="9">
        <v>43343</v>
      </c>
      <c r="D137" s="9">
        <v>43354.387651420941</v>
      </c>
      <c r="E137" t="s">
        <v>24</v>
      </c>
      <c r="F137" t="s">
        <v>30</v>
      </c>
      <c r="G137" t="s">
        <v>187</v>
      </c>
      <c r="H137" s="10">
        <v>2467</v>
      </c>
      <c r="I137">
        <f>IF(RegistroEntradas[[#This Row],[Data do Caixa Realizado]] = "", 0, MONTH(RegistroEntradas[[#This Row],[Data do Caixa Realizado]]))</f>
        <v>9</v>
      </c>
      <c r="J137">
        <f>IF(RegistroEntradas[[#This Row],[Data do Caixa Realizado]] = "",0,YEAR(RegistroEntradas[[#This Row],[Data do Caixa Realizado]]))</f>
        <v>2018</v>
      </c>
      <c r="K137">
        <f xml:space="preserve"> IF(RegistroEntradas[[#This Row],[Data da Competência]] = "", 0, MONTH(RegistroEntradas[[#This Row],[Data da Competência]]))</f>
        <v>8</v>
      </c>
      <c r="L137">
        <f xml:space="preserve"> IF(RegistroEntradas[[#This Row],[Data da Competência]] = "", 0, YEAR(RegistroEntradas[[#This Row],[Data da Competência]]))</f>
        <v>2018</v>
      </c>
      <c r="M137">
        <f xml:space="preserve"> IF(RegistroEntradas[[#This Row],[Data do Caixa Previsto]]="",0,MONTH(RegistroEntradas[[#This Row],[Data do Caixa Previsto]]))</f>
        <v>9</v>
      </c>
      <c r="N137">
        <f xml:space="preserve"> IF(RegistroEntradas[[#This Row],[Data do Caixa Previsto]]="",0,YEAR(RegistroEntradas[[#This Row],[Data do Caixa Previsto]]))</f>
        <v>2018</v>
      </c>
      <c r="O137" t="str">
        <f ca="1">IF(AND(RegistroEntradas[[#This Row],[Data do Caixa Previsto]]&lt;TODAY(),RegistroEntradas[[#This Row],[Data do Caixa Realizado]]=""),"Vencida","Paga")</f>
        <v>Paga</v>
      </c>
      <c r="P137" t="str">
        <f xml:space="preserve"> IF(RegistroEntradas[[#This Row],[Data da Competência]]=RegistroEntradas[[#This Row],[Data do Caixa Previsto]],"À Vista","À Prazo")</f>
        <v>À Prazo</v>
      </c>
      <c r="Q137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138" spans="2:17" ht="20.100000000000001" customHeight="1" x14ac:dyDescent="0.25">
      <c r="B138" s="9" t="s">
        <v>64</v>
      </c>
      <c r="C138" s="9">
        <v>43344</v>
      </c>
      <c r="D138" s="9">
        <v>43370.663792328756</v>
      </c>
      <c r="E138" t="s">
        <v>24</v>
      </c>
      <c r="F138" t="s">
        <v>32</v>
      </c>
      <c r="G138" t="s">
        <v>188</v>
      </c>
      <c r="H138" s="10">
        <v>4253</v>
      </c>
      <c r="I138">
        <f>IF(RegistroEntradas[[#This Row],[Data do Caixa Realizado]] = "", 0, MONTH(RegistroEntradas[[#This Row],[Data do Caixa Realizado]]))</f>
        <v>0</v>
      </c>
      <c r="J138">
        <f>IF(RegistroEntradas[[#This Row],[Data do Caixa Realizado]] = "",0,YEAR(RegistroEntradas[[#This Row],[Data do Caixa Realizado]]))</f>
        <v>0</v>
      </c>
      <c r="K138">
        <f xml:space="preserve"> IF(RegistroEntradas[[#This Row],[Data da Competência]] = "", 0, MONTH(RegistroEntradas[[#This Row],[Data da Competência]]))</f>
        <v>9</v>
      </c>
      <c r="L138">
        <f xml:space="preserve"> IF(RegistroEntradas[[#This Row],[Data da Competência]] = "", 0, YEAR(RegistroEntradas[[#This Row],[Data da Competência]]))</f>
        <v>2018</v>
      </c>
      <c r="M138">
        <f xml:space="preserve"> IF(RegistroEntradas[[#This Row],[Data do Caixa Previsto]]="",0,MONTH(RegistroEntradas[[#This Row],[Data do Caixa Previsto]]))</f>
        <v>9</v>
      </c>
      <c r="N138">
        <f xml:space="preserve"> IF(RegistroEntradas[[#This Row],[Data do Caixa Previsto]]="",0,YEAR(RegistroEntradas[[#This Row],[Data do Caixa Previsto]]))</f>
        <v>2018</v>
      </c>
      <c r="O138" t="str">
        <f ca="1">IF(AND(RegistroEntradas[[#This Row],[Data do Caixa Previsto]]&lt;TODAY(),RegistroEntradas[[#This Row],[Data do Caixa Realizado]]=""),"Vencida","Paga")</f>
        <v>Vencida</v>
      </c>
      <c r="P138" t="str">
        <f xml:space="preserve"> IF(RegistroEntradas[[#This Row],[Data da Competência]]=RegistroEntradas[[#This Row],[Data do Caixa Previsto]],"À Vista","À Prazo")</f>
        <v>À Prazo</v>
      </c>
      <c r="Q138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1845.3362076712438</v>
      </c>
    </row>
    <row r="139" spans="2:17" ht="20.100000000000001" customHeight="1" x14ac:dyDescent="0.25">
      <c r="B139" s="9">
        <v>43357.782262904322</v>
      </c>
      <c r="C139" s="9">
        <v>43350</v>
      </c>
      <c r="D139" s="9">
        <v>43357.782262904322</v>
      </c>
      <c r="E139" t="s">
        <v>24</v>
      </c>
      <c r="F139" t="s">
        <v>33</v>
      </c>
      <c r="G139" t="s">
        <v>189</v>
      </c>
      <c r="H139" s="10">
        <v>2391</v>
      </c>
      <c r="I139">
        <f>IF(RegistroEntradas[[#This Row],[Data do Caixa Realizado]] = "", 0, MONTH(RegistroEntradas[[#This Row],[Data do Caixa Realizado]]))</f>
        <v>9</v>
      </c>
      <c r="J139">
        <f>IF(RegistroEntradas[[#This Row],[Data do Caixa Realizado]] = "",0,YEAR(RegistroEntradas[[#This Row],[Data do Caixa Realizado]]))</f>
        <v>2018</v>
      </c>
      <c r="K139">
        <f xml:space="preserve"> IF(RegistroEntradas[[#This Row],[Data da Competência]] = "", 0, MONTH(RegistroEntradas[[#This Row],[Data da Competência]]))</f>
        <v>9</v>
      </c>
      <c r="L139">
        <f xml:space="preserve"> IF(RegistroEntradas[[#This Row],[Data da Competência]] = "", 0, YEAR(RegistroEntradas[[#This Row],[Data da Competência]]))</f>
        <v>2018</v>
      </c>
      <c r="M139">
        <f xml:space="preserve"> IF(RegistroEntradas[[#This Row],[Data do Caixa Previsto]]="",0,MONTH(RegistroEntradas[[#This Row],[Data do Caixa Previsto]]))</f>
        <v>9</v>
      </c>
      <c r="N139">
        <f xml:space="preserve"> IF(RegistroEntradas[[#This Row],[Data do Caixa Previsto]]="",0,YEAR(RegistroEntradas[[#This Row],[Data do Caixa Previsto]]))</f>
        <v>2018</v>
      </c>
      <c r="O139" t="str">
        <f ca="1">IF(AND(RegistroEntradas[[#This Row],[Data do Caixa Previsto]]&lt;TODAY(),RegistroEntradas[[#This Row],[Data do Caixa Realizado]]=""),"Vencida","Paga")</f>
        <v>Paga</v>
      </c>
      <c r="P139" t="str">
        <f xml:space="preserve"> IF(RegistroEntradas[[#This Row],[Data da Competência]]=RegistroEntradas[[#This Row],[Data do Caixa Previsto]],"À Vista","À Prazo")</f>
        <v>À Prazo</v>
      </c>
      <c r="Q139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140" spans="2:17" ht="20.100000000000001" customHeight="1" x14ac:dyDescent="0.25">
      <c r="B140" s="9">
        <v>43370.746792358121</v>
      </c>
      <c r="C140" s="9">
        <v>43352</v>
      </c>
      <c r="D140" s="9">
        <v>43365.799147030826</v>
      </c>
      <c r="E140" t="s">
        <v>24</v>
      </c>
      <c r="F140" t="s">
        <v>32</v>
      </c>
      <c r="G140" t="s">
        <v>190</v>
      </c>
      <c r="H140" s="10">
        <v>3669</v>
      </c>
      <c r="I140">
        <f>IF(RegistroEntradas[[#This Row],[Data do Caixa Realizado]] = "", 0, MONTH(RegistroEntradas[[#This Row],[Data do Caixa Realizado]]))</f>
        <v>9</v>
      </c>
      <c r="J140">
        <f>IF(RegistroEntradas[[#This Row],[Data do Caixa Realizado]] = "",0,YEAR(RegistroEntradas[[#This Row],[Data do Caixa Realizado]]))</f>
        <v>2018</v>
      </c>
      <c r="K140">
        <f xml:space="preserve"> IF(RegistroEntradas[[#This Row],[Data da Competência]] = "", 0, MONTH(RegistroEntradas[[#This Row],[Data da Competência]]))</f>
        <v>9</v>
      </c>
      <c r="L140">
        <f xml:space="preserve"> IF(RegistroEntradas[[#This Row],[Data da Competência]] = "", 0, YEAR(RegistroEntradas[[#This Row],[Data da Competência]]))</f>
        <v>2018</v>
      </c>
      <c r="M140">
        <f xml:space="preserve"> IF(RegistroEntradas[[#This Row],[Data do Caixa Previsto]]="",0,MONTH(RegistroEntradas[[#This Row],[Data do Caixa Previsto]]))</f>
        <v>9</v>
      </c>
      <c r="N140">
        <f xml:space="preserve"> IF(RegistroEntradas[[#This Row],[Data do Caixa Previsto]]="",0,YEAR(RegistroEntradas[[#This Row],[Data do Caixa Previsto]]))</f>
        <v>2018</v>
      </c>
      <c r="O140" t="str">
        <f ca="1">IF(AND(RegistroEntradas[[#This Row],[Data do Caixa Previsto]]&lt;TODAY(),RegistroEntradas[[#This Row],[Data do Caixa Realizado]]=""),"Vencida","Paga")</f>
        <v>Paga</v>
      </c>
      <c r="P140" t="str">
        <f xml:space="preserve"> IF(RegistroEntradas[[#This Row],[Data da Competência]]=RegistroEntradas[[#This Row],[Data do Caixa Previsto]],"À Vista","À Prazo")</f>
        <v>À Prazo</v>
      </c>
      <c r="Q140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4.9476453272945946</v>
      </c>
    </row>
    <row r="141" spans="2:17" ht="20.100000000000001" customHeight="1" x14ac:dyDescent="0.25">
      <c r="B141" s="9">
        <v>43452.502445224149</v>
      </c>
      <c r="C141" s="9">
        <v>43355</v>
      </c>
      <c r="D141" s="9">
        <v>43383.231108677093</v>
      </c>
      <c r="E141" t="s">
        <v>24</v>
      </c>
      <c r="F141" t="s">
        <v>32</v>
      </c>
      <c r="G141" t="s">
        <v>191</v>
      </c>
      <c r="H141" s="10">
        <v>1207</v>
      </c>
      <c r="I141">
        <f>IF(RegistroEntradas[[#This Row],[Data do Caixa Realizado]] = "", 0, MONTH(RegistroEntradas[[#This Row],[Data do Caixa Realizado]]))</f>
        <v>12</v>
      </c>
      <c r="J141">
        <f>IF(RegistroEntradas[[#This Row],[Data do Caixa Realizado]] = "",0,YEAR(RegistroEntradas[[#This Row],[Data do Caixa Realizado]]))</f>
        <v>2018</v>
      </c>
      <c r="K141">
        <f xml:space="preserve"> IF(RegistroEntradas[[#This Row],[Data da Competência]] = "", 0, MONTH(RegistroEntradas[[#This Row],[Data da Competência]]))</f>
        <v>9</v>
      </c>
      <c r="L141">
        <f xml:space="preserve"> IF(RegistroEntradas[[#This Row],[Data da Competência]] = "", 0, YEAR(RegistroEntradas[[#This Row],[Data da Competência]]))</f>
        <v>2018</v>
      </c>
      <c r="M141">
        <f xml:space="preserve"> IF(RegistroEntradas[[#This Row],[Data do Caixa Previsto]]="",0,MONTH(RegistroEntradas[[#This Row],[Data do Caixa Previsto]]))</f>
        <v>10</v>
      </c>
      <c r="N141">
        <f xml:space="preserve"> IF(RegistroEntradas[[#This Row],[Data do Caixa Previsto]]="",0,YEAR(RegistroEntradas[[#This Row],[Data do Caixa Previsto]]))</f>
        <v>2018</v>
      </c>
      <c r="O141" t="str">
        <f ca="1">IF(AND(RegistroEntradas[[#This Row],[Data do Caixa Previsto]]&lt;TODAY(),RegistroEntradas[[#This Row],[Data do Caixa Realizado]]=""),"Vencida","Paga")</f>
        <v>Paga</v>
      </c>
      <c r="P141" t="str">
        <f xml:space="preserve"> IF(RegistroEntradas[[#This Row],[Data da Competência]]=RegistroEntradas[[#This Row],[Data do Caixa Previsto]],"À Vista","À Prazo")</f>
        <v>À Prazo</v>
      </c>
      <c r="Q141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69.271336547055398</v>
      </c>
    </row>
    <row r="142" spans="2:17" ht="20.100000000000001" customHeight="1" x14ac:dyDescent="0.25">
      <c r="B142" s="9">
        <v>43412.045933493078</v>
      </c>
      <c r="C142" s="9">
        <v>43361</v>
      </c>
      <c r="D142" s="9">
        <v>43412.045933493078</v>
      </c>
      <c r="E142" t="s">
        <v>24</v>
      </c>
      <c r="F142" t="s">
        <v>30</v>
      </c>
      <c r="G142" t="s">
        <v>192</v>
      </c>
      <c r="H142" s="10">
        <v>2539</v>
      </c>
      <c r="I142">
        <f>IF(RegistroEntradas[[#This Row],[Data do Caixa Realizado]] = "", 0, MONTH(RegistroEntradas[[#This Row],[Data do Caixa Realizado]]))</f>
        <v>11</v>
      </c>
      <c r="J142">
        <f>IF(RegistroEntradas[[#This Row],[Data do Caixa Realizado]] = "",0,YEAR(RegistroEntradas[[#This Row],[Data do Caixa Realizado]]))</f>
        <v>2018</v>
      </c>
      <c r="K142">
        <f xml:space="preserve"> IF(RegistroEntradas[[#This Row],[Data da Competência]] = "", 0, MONTH(RegistroEntradas[[#This Row],[Data da Competência]]))</f>
        <v>9</v>
      </c>
      <c r="L142">
        <f xml:space="preserve"> IF(RegistroEntradas[[#This Row],[Data da Competência]] = "", 0, YEAR(RegistroEntradas[[#This Row],[Data da Competência]]))</f>
        <v>2018</v>
      </c>
      <c r="M142">
        <f xml:space="preserve"> IF(RegistroEntradas[[#This Row],[Data do Caixa Previsto]]="",0,MONTH(RegistroEntradas[[#This Row],[Data do Caixa Previsto]]))</f>
        <v>11</v>
      </c>
      <c r="N142">
        <f xml:space="preserve"> IF(RegistroEntradas[[#This Row],[Data do Caixa Previsto]]="",0,YEAR(RegistroEntradas[[#This Row],[Data do Caixa Previsto]]))</f>
        <v>2018</v>
      </c>
      <c r="O142" t="str">
        <f ca="1">IF(AND(RegistroEntradas[[#This Row],[Data do Caixa Previsto]]&lt;TODAY(),RegistroEntradas[[#This Row],[Data do Caixa Realizado]]=""),"Vencida","Paga")</f>
        <v>Paga</v>
      </c>
      <c r="P142" t="str">
        <f xml:space="preserve"> IF(RegistroEntradas[[#This Row],[Data da Competência]]=RegistroEntradas[[#This Row],[Data do Caixa Previsto]],"À Vista","À Prazo")</f>
        <v>À Prazo</v>
      </c>
      <c r="Q142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143" spans="2:17" ht="20.100000000000001" customHeight="1" x14ac:dyDescent="0.25">
      <c r="B143" s="9">
        <v>43374.505096957248</v>
      </c>
      <c r="C143" s="9">
        <v>43363</v>
      </c>
      <c r="D143" s="9">
        <v>43374.505096957248</v>
      </c>
      <c r="E143" t="s">
        <v>24</v>
      </c>
      <c r="F143" t="s">
        <v>31</v>
      </c>
      <c r="G143" t="s">
        <v>193</v>
      </c>
      <c r="H143" s="10">
        <v>2895</v>
      </c>
      <c r="I143">
        <f>IF(RegistroEntradas[[#This Row],[Data do Caixa Realizado]] = "", 0, MONTH(RegistroEntradas[[#This Row],[Data do Caixa Realizado]]))</f>
        <v>10</v>
      </c>
      <c r="J143">
        <f>IF(RegistroEntradas[[#This Row],[Data do Caixa Realizado]] = "",0,YEAR(RegistroEntradas[[#This Row],[Data do Caixa Realizado]]))</f>
        <v>2018</v>
      </c>
      <c r="K143">
        <f xml:space="preserve"> IF(RegistroEntradas[[#This Row],[Data da Competência]] = "", 0, MONTH(RegistroEntradas[[#This Row],[Data da Competência]]))</f>
        <v>9</v>
      </c>
      <c r="L143">
        <f xml:space="preserve"> IF(RegistroEntradas[[#This Row],[Data da Competência]] = "", 0, YEAR(RegistroEntradas[[#This Row],[Data da Competência]]))</f>
        <v>2018</v>
      </c>
      <c r="M143">
        <f xml:space="preserve"> IF(RegistroEntradas[[#This Row],[Data do Caixa Previsto]]="",0,MONTH(RegistroEntradas[[#This Row],[Data do Caixa Previsto]]))</f>
        <v>10</v>
      </c>
      <c r="N143">
        <f xml:space="preserve"> IF(RegistroEntradas[[#This Row],[Data do Caixa Previsto]]="",0,YEAR(RegistroEntradas[[#This Row],[Data do Caixa Previsto]]))</f>
        <v>2018</v>
      </c>
      <c r="O143" t="str">
        <f ca="1">IF(AND(RegistroEntradas[[#This Row],[Data do Caixa Previsto]]&lt;TODAY(),RegistroEntradas[[#This Row],[Data do Caixa Realizado]]=""),"Vencida","Paga")</f>
        <v>Paga</v>
      </c>
      <c r="P143" t="str">
        <f xml:space="preserve"> IF(RegistroEntradas[[#This Row],[Data da Competência]]=RegistroEntradas[[#This Row],[Data do Caixa Previsto]],"À Vista","À Prazo")</f>
        <v>À Prazo</v>
      </c>
      <c r="Q143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144" spans="2:17" ht="20.100000000000001" customHeight="1" x14ac:dyDescent="0.25">
      <c r="B144" s="9">
        <v>43388.790596442639</v>
      </c>
      <c r="C144" s="9">
        <v>43364</v>
      </c>
      <c r="D144" s="9">
        <v>43377.195562585111</v>
      </c>
      <c r="E144" t="s">
        <v>24</v>
      </c>
      <c r="F144" t="s">
        <v>32</v>
      </c>
      <c r="G144" t="s">
        <v>194</v>
      </c>
      <c r="H144" s="10">
        <v>2106</v>
      </c>
      <c r="I144">
        <f>IF(RegistroEntradas[[#This Row],[Data do Caixa Realizado]] = "", 0, MONTH(RegistroEntradas[[#This Row],[Data do Caixa Realizado]]))</f>
        <v>10</v>
      </c>
      <c r="J144">
        <f>IF(RegistroEntradas[[#This Row],[Data do Caixa Realizado]] = "",0,YEAR(RegistroEntradas[[#This Row],[Data do Caixa Realizado]]))</f>
        <v>2018</v>
      </c>
      <c r="K144">
        <f xml:space="preserve"> IF(RegistroEntradas[[#This Row],[Data da Competência]] = "", 0, MONTH(RegistroEntradas[[#This Row],[Data da Competência]]))</f>
        <v>9</v>
      </c>
      <c r="L144">
        <f xml:space="preserve"> IF(RegistroEntradas[[#This Row],[Data da Competência]] = "", 0, YEAR(RegistroEntradas[[#This Row],[Data da Competência]]))</f>
        <v>2018</v>
      </c>
      <c r="M144">
        <f xml:space="preserve"> IF(RegistroEntradas[[#This Row],[Data do Caixa Previsto]]="",0,MONTH(RegistroEntradas[[#This Row],[Data do Caixa Previsto]]))</f>
        <v>10</v>
      </c>
      <c r="N144">
        <f xml:space="preserve"> IF(RegistroEntradas[[#This Row],[Data do Caixa Previsto]]="",0,YEAR(RegistroEntradas[[#This Row],[Data do Caixa Previsto]]))</f>
        <v>2018</v>
      </c>
      <c r="O144" t="str">
        <f ca="1">IF(AND(RegistroEntradas[[#This Row],[Data do Caixa Previsto]]&lt;TODAY(),RegistroEntradas[[#This Row],[Data do Caixa Realizado]]=""),"Vencida","Paga")</f>
        <v>Paga</v>
      </c>
      <c r="P144" t="str">
        <f xml:space="preserve"> IF(RegistroEntradas[[#This Row],[Data da Competência]]=RegistroEntradas[[#This Row],[Data do Caixa Previsto]],"À Vista","À Prazo")</f>
        <v>À Prazo</v>
      </c>
      <c r="Q144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11.595033857527596</v>
      </c>
    </row>
    <row r="145" spans="2:17" ht="20.100000000000001" customHeight="1" x14ac:dyDescent="0.25">
      <c r="B145" s="9">
        <v>43405.698265794999</v>
      </c>
      <c r="C145" s="9">
        <v>43366</v>
      </c>
      <c r="D145" s="9">
        <v>43405.698265794999</v>
      </c>
      <c r="E145" t="s">
        <v>24</v>
      </c>
      <c r="F145" t="s">
        <v>31</v>
      </c>
      <c r="G145" t="s">
        <v>195</v>
      </c>
      <c r="H145" s="10">
        <v>3742</v>
      </c>
      <c r="I145">
        <f>IF(RegistroEntradas[[#This Row],[Data do Caixa Realizado]] = "", 0, MONTH(RegistroEntradas[[#This Row],[Data do Caixa Realizado]]))</f>
        <v>11</v>
      </c>
      <c r="J145">
        <f>IF(RegistroEntradas[[#This Row],[Data do Caixa Realizado]] = "",0,YEAR(RegistroEntradas[[#This Row],[Data do Caixa Realizado]]))</f>
        <v>2018</v>
      </c>
      <c r="K145">
        <f xml:space="preserve"> IF(RegistroEntradas[[#This Row],[Data da Competência]] = "", 0, MONTH(RegistroEntradas[[#This Row],[Data da Competência]]))</f>
        <v>9</v>
      </c>
      <c r="L145">
        <f xml:space="preserve"> IF(RegistroEntradas[[#This Row],[Data da Competência]] = "", 0, YEAR(RegistroEntradas[[#This Row],[Data da Competência]]))</f>
        <v>2018</v>
      </c>
      <c r="M145">
        <f xml:space="preserve"> IF(RegistroEntradas[[#This Row],[Data do Caixa Previsto]]="",0,MONTH(RegistroEntradas[[#This Row],[Data do Caixa Previsto]]))</f>
        <v>11</v>
      </c>
      <c r="N145">
        <f xml:space="preserve"> IF(RegistroEntradas[[#This Row],[Data do Caixa Previsto]]="",0,YEAR(RegistroEntradas[[#This Row],[Data do Caixa Previsto]]))</f>
        <v>2018</v>
      </c>
      <c r="O145" t="str">
        <f ca="1">IF(AND(RegistroEntradas[[#This Row],[Data do Caixa Previsto]]&lt;TODAY(),RegistroEntradas[[#This Row],[Data do Caixa Realizado]]=""),"Vencida","Paga")</f>
        <v>Paga</v>
      </c>
      <c r="P145" t="str">
        <f xml:space="preserve"> IF(RegistroEntradas[[#This Row],[Data da Competência]]=RegistroEntradas[[#This Row],[Data do Caixa Previsto]],"À Vista","À Prazo")</f>
        <v>À Prazo</v>
      </c>
      <c r="Q145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146" spans="2:17" ht="20.100000000000001" customHeight="1" x14ac:dyDescent="0.25">
      <c r="B146" s="9">
        <v>43395.635115246572</v>
      </c>
      <c r="C146" s="9">
        <v>43369</v>
      </c>
      <c r="D146" s="9">
        <v>43395.635115246572</v>
      </c>
      <c r="E146" t="s">
        <v>24</v>
      </c>
      <c r="F146" t="s">
        <v>30</v>
      </c>
      <c r="G146" t="s">
        <v>196</v>
      </c>
      <c r="H146" s="10">
        <v>3222</v>
      </c>
      <c r="I146">
        <f>IF(RegistroEntradas[[#This Row],[Data do Caixa Realizado]] = "", 0, MONTH(RegistroEntradas[[#This Row],[Data do Caixa Realizado]]))</f>
        <v>10</v>
      </c>
      <c r="J146">
        <f>IF(RegistroEntradas[[#This Row],[Data do Caixa Realizado]] = "",0,YEAR(RegistroEntradas[[#This Row],[Data do Caixa Realizado]]))</f>
        <v>2018</v>
      </c>
      <c r="K146">
        <f xml:space="preserve"> IF(RegistroEntradas[[#This Row],[Data da Competência]] = "", 0, MONTH(RegistroEntradas[[#This Row],[Data da Competência]]))</f>
        <v>9</v>
      </c>
      <c r="L146">
        <f xml:space="preserve"> IF(RegistroEntradas[[#This Row],[Data da Competência]] = "", 0, YEAR(RegistroEntradas[[#This Row],[Data da Competência]]))</f>
        <v>2018</v>
      </c>
      <c r="M146">
        <f xml:space="preserve"> IF(RegistroEntradas[[#This Row],[Data do Caixa Previsto]]="",0,MONTH(RegistroEntradas[[#This Row],[Data do Caixa Previsto]]))</f>
        <v>10</v>
      </c>
      <c r="N146">
        <f xml:space="preserve"> IF(RegistroEntradas[[#This Row],[Data do Caixa Previsto]]="",0,YEAR(RegistroEntradas[[#This Row],[Data do Caixa Previsto]]))</f>
        <v>2018</v>
      </c>
      <c r="O146" t="str">
        <f ca="1">IF(AND(RegistroEntradas[[#This Row],[Data do Caixa Previsto]]&lt;TODAY(),RegistroEntradas[[#This Row],[Data do Caixa Realizado]]=""),"Vencida","Paga")</f>
        <v>Paga</v>
      </c>
      <c r="P146" t="str">
        <f xml:space="preserve"> IF(RegistroEntradas[[#This Row],[Data da Competência]]=RegistroEntradas[[#This Row],[Data do Caixa Previsto]],"À Vista","À Prazo")</f>
        <v>À Prazo</v>
      </c>
      <c r="Q146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147" spans="2:17" ht="20.100000000000001" customHeight="1" x14ac:dyDescent="0.25">
      <c r="B147" s="9">
        <v>43392.294011107704</v>
      </c>
      <c r="C147" s="9">
        <v>43374</v>
      </c>
      <c r="D147" s="9">
        <v>43392.294011107704</v>
      </c>
      <c r="E147" t="s">
        <v>24</v>
      </c>
      <c r="F147" t="s">
        <v>32</v>
      </c>
      <c r="G147" t="s">
        <v>197</v>
      </c>
      <c r="H147" s="10">
        <v>673</v>
      </c>
      <c r="I147">
        <f>IF(RegistroEntradas[[#This Row],[Data do Caixa Realizado]] = "", 0, MONTH(RegistroEntradas[[#This Row],[Data do Caixa Realizado]]))</f>
        <v>10</v>
      </c>
      <c r="J147">
        <f>IF(RegistroEntradas[[#This Row],[Data do Caixa Realizado]] = "",0,YEAR(RegistroEntradas[[#This Row],[Data do Caixa Realizado]]))</f>
        <v>2018</v>
      </c>
      <c r="K147">
        <f xml:space="preserve"> IF(RegistroEntradas[[#This Row],[Data da Competência]] = "", 0, MONTH(RegistroEntradas[[#This Row],[Data da Competência]]))</f>
        <v>10</v>
      </c>
      <c r="L147">
        <f xml:space="preserve"> IF(RegistroEntradas[[#This Row],[Data da Competência]] = "", 0, YEAR(RegistroEntradas[[#This Row],[Data da Competência]]))</f>
        <v>2018</v>
      </c>
      <c r="M147">
        <f xml:space="preserve"> IF(RegistroEntradas[[#This Row],[Data do Caixa Previsto]]="",0,MONTH(RegistroEntradas[[#This Row],[Data do Caixa Previsto]]))</f>
        <v>10</v>
      </c>
      <c r="N147">
        <f xml:space="preserve"> IF(RegistroEntradas[[#This Row],[Data do Caixa Previsto]]="",0,YEAR(RegistroEntradas[[#This Row],[Data do Caixa Previsto]]))</f>
        <v>2018</v>
      </c>
      <c r="O147" t="str">
        <f ca="1">IF(AND(RegistroEntradas[[#This Row],[Data do Caixa Previsto]]&lt;TODAY(),RegistroEntradas[[#This Row],[Data do Caixa Realizado]]=""),"Vencida","Paga")</f>
        <v>Paga</v>
      </c>
      <c r="P147" t="str">
        <f xml:space="preserve"> IF(RegistroEntradas[[#This Row],[Data da Competência]]=RegistroEntradas[[#This Row],[Data do Caixa Previsto]],"À Vista","À Prazo")</f>
        <v>À Prazo</v>
      </c>
      <c r="Q147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148" spans="2:17" ht="20.100000000000001" customHeight="1" x14ac:dyDescent="0.25">
      <c r="B148" s="9" t="s">
        <v>64</v>
      </c>
      <c r="C148" s="9">
        <v>43378</v>
      </c>
      <c r="D148" s="9">
        <v>43399.816257310325</v>
      </c>
      <c r="E148" t="s">
        <v>24</v>
      </c>
      <c r="F148" t="s">
        <v>29</v>
      </c>
      <c r="G148" t="s">
        <v>198</v>
      </c>
      <c r="H148" s="10">
        <v>4922</v>
      </c>
      <c r="I148">
        <f>IF(RegistroEntradas[[#This Row],[Data do Caixa Realizado]] = "", 0, MONTH(RegistroEntradas[[#This Row],[Data do Caixa Realizado]]))</f>
        <v>0</v>
      </c>
      <c r="J148">
        <f>IF(RegistroEntradas[[#This Row],[Data do Caixa Realizado]] = "",0,YEAR(RegistroEntradas[[#This Row],[Data do Caixa Realizado]]))</f>
        <v>0</v>
      </c>
      <c r="K148">
        <f xml:space="preserve"> IF(RegistroEntradas[[#This Row],[Data da Competência]] = "", 0, MONTH(RegistroEntradas[[#This Row],[Data da Competência]]))</f>
        <v>10</v>
      </c>
      <c r="L148">
        <f xml:space="preserve"> IF(RegistroEntradas[[#This Row],[Data da Competência]] = "", 0, YEAR(RegistroEntradas[[#This Row],[Data da Competência]]))</f>
        <v>2018</v>
      </c>
      <c r="M148">
        <f xml:space="preserve"> IF(RegistroEntradas[[#This Row],[Data do Caixa Previsto]]="",0,MONTH(RegistroEntradas[[#This Row],[Data do Caixa Previsto]]))</f>
        <v>10</v>
      </c>
      <c r="N148">
        <f xml:space="preserve"> IF(RegistroEntradas[[#This Row],[Data do Caixa Previsto]]="",0,YEAR(RegistroEntradas[[#This Row],[Data do Caixa Previsto]]))</f>
        <v>2018</v>
      </c>
      <c r="O148" t="str">
        <f ca="1">IF(AND(RegistroEntradas[[#This Row],[Data do Caixa Previsto]]&lt;TODAY(),RegistroEntradas[[#This Row],[Data do Caixa Realizado]]=""),"Vencida","Paga")</f>
        <v>Vencida</v>
      </c>
      <c r="P148" t="str">
        <f xml:space="preserve"> IF(RegistroEntradas[[#This Row],[Data da Competência]]=RegistroEntradas[[#This Row],[Data do Caixa Previsto]],"À Vista","À Prazo")</f>
        <v>À Prazo</v>
      </c>
      <c r="Q148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1816.1837426896745</v>
      </c>
    </row>
    <row r="149" spans="2:17" ht="20.100000000000001" customHeight="1" x14ac:dyDescent="0.25">
      <c r="B149" s="9">
        <v>43491.255960910879</v>
      </c>
      <c r="C149" s="9">
        <v>43382</v>
      </c>
      <c r="D149" s="9">
        <v>43432.893680650159</v>
      </c>
      <c r="E149" t="s">
        <v>24</v>
      </c>
      <c r="F149" t="s">
        <v>33</v>
      </c>
      <c r="G149" t="s">
        <v>199</v>
      </c>
      <c r="H149" s="10">
        <v>1688</v>
      </c>
      <c r="I149">
        <f>IF(RegistroEntradas[[#This Row],[Data do Caixa Realizado]] = "", 0, MONTH(RegistroEntradas[[#This Row],[Data do Caixa Realizado]]))</f>
        <v>1</v>
      </c>
      <c r="J149">
        <f>IF(RegistroEntradas[[#This Row],[Data do Caixa Realizado]] = "",0,YEAR(RegistroEntradas[[#This Row],[Data do Caixa Realizado]]))</f>
        <v>2019</v>
      </c>
      <c r="K149">
        <f xml:space="preserve"> IF(RegistroEntradas[[#This Row],[Data da Competência]] = "", 0, MONTH(RegistroEntradas[[#This Row],[Data da Competência]]))</f>
        <v>10</v>
      </c>
      <c r="L149">
        <f xml:space="preserve"> IF(RegistroEntradas[[#This Row],[Data da Competência]] = "", 0, YEAR(RegistroEntradas[[#This Row],[Data da Competência]]))</f>
        <v>2018</v>
      </c>
      <c r="M149">
        <f xml:space="preserve"> IF(RegistroEntradas[[#This Row],[Data do Caixa Previsto]]="",0,MONTH(RegistroEntradas[[#This Row],[Data do Caixa Previsto]]))</f>
        <v>11</v>
      </c>
      <c r="N149">
        <f xml:space="preserve"> IF(RegistroEntradas[[#This Row],[Data do Caixa Previsto]]="",0,YEAR(RegistroEntradas[[#This Row],[Data do Caixa Previsto]]))</f>
        <v>2018</v>
      </c>
      <c r="O149" t="str">
        <f ca="1">IF(AND(RegistroEntradas[[#This Row],[Data do Caixa Previsto]]&lt;TODAY(),RegistroEntradas[[#This Row],[Data do Caixa Realizado]]=""),"Vencida","Paga")</f>
        <v>Paga</v>
      </c>
      <c r="P149" t="str">
        <f xml:space="preserve"> IF(RegistroEntradas[[#This Row],[Data da Competência]]=RegistroEntradas[[#This Row],[Data do Caixa Previsto]],"À Vista","À Prazo")</f>
        <v>À Prazo</v>
      </c>
      <c r="Q149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58.362280260720581</v>
      </c>
    </row>
    <row r="150" spans="2:17" ht="20.100000000000001" customHeight="1" x14ac:dyDescent="0.25">
      <c r="B150" s="9">
        <v>43442.77456497735</v>
      </c>
      <c r="C150" s="9">
        <v>43382</v>
      </c>
      <c r="D150" s="9">
        <v>43423.510226289633</v>
      </c>
      <c r="E150" t="s">
        <v>24</v>
      </c>
      <c r="F150" t="s">
        <v>33</v>
      </c>
      <c r="G150" t="s">
        <v>200</v>
      </c>
      <c r="H150" s="10">
        <v>979</v>
      </c>
      <c r="I150">
        <f>IF(RegistroEntradas[[#This Row],[Data do Caixa Realizado]] = "", 0, MONTH(RegistroEntradas[[#This Row],[Data do Caixa Realizado]]))</f>
        <v>12</v>
      </c>
      <c r="J150">
        <f>IF(RegistroEntradas[[#This Row],[Data do Caixa Realizado]] = "",0,YEAR(RegistroEntradas[[#This Row],[Data do Caixa Realizado]]))</f>
        <v>2018</v>
      </c>
      <c r="K150">
        <f xml:space="preserve"> IF(RegistroEntradas[[#This Row],[Data da Competência]] = "", 0, MONTH(RegistroEntradas[[#This Row],[Data da Competência]]))</f>
        <v>10</v>
      </c>
      <c r="L150">
        <f xml:space="preserve"> IF(RegistroEntradas[[#This Row],[Data da Competência]] = "", 0, YEAR(RegistroEntradas[[#This Row],[Data da Competência]]))</f>
        <v>2018</v>
      </c>
      <c r="M150">
        <f xml:space="preserve"> IF(RegistroEntradas[[#This Row],[Data do Caixa Previsto]]="",0,MONTH(RegistroEntradas[[#This Row],[Data do Caixa Previsto]]))</f>
        <v>11</v>
      </c>
      <c r="N150">
        <f xml:space="preserve"> IF(RegistroEntradas[[#This Row],[Data do Caixa Previsto]]="",0,YEAR(RegistroEntradas[[#This Row],[Data do Caixa Previsto]]))</f>
        <v>2018</v>
      </c>
      <c r="O150" t="str">
        <f ca="1">IF(AND(RegistroEntradas[[#This Row],[Data do Caixa Previsto]]&lt;TODAY(),RegistroEntradas[[#This Row],[Data do Caixa Realizado]]=""),"Vencida","Paga")</f>
        <v>Paga</v>
      </c>
      <c r="P150" t="str">
        <f xml:space="preserve"> IF(RegistroEntradas[[#This Row],[Data da Competência]]=RegistroEntradas[[#This Row],[Data do Caixa Previsto]],"À Vista","À Prazo")</f>
        <v>À Prazo</v>
      </c>
      <c r="Q150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19.2643386877171</v>
      </c>
    </row>
    <row r="151" spans="2:17" ht="20.100000000000001" customHeight="1" x14ac:dyDescent="0.25">
      <c r="B151" s="9">
        <v>43400.871146361249</v>
      </c>
      <c r="C151" s="9">
        <v>43387</v>
      </c>
      <c r="D151" s="9">
        <v>43400.871146361249</v>
      </c>
      <c r="E151" t="s">
        <v>24</v>
      </c>
      <c r="F151" t="s">
        <v>32</v>
      </c>
      <c r="G151" t="s">
        <v>201</v>
      </c>
      <c r="H151" s="10">
        <v>3744</v>
      </c>
      <c r="I151">
        <f>IF(RegistroEntradas[[#This Row],[Data do Caixa Realizado]] = "", 0, MONTH(RegistroEntradas[[#This Row],[Data do Caixa Realizado]]))</f>
        <v>10</v>
      </c>
      <c r="J151">
        <f>IF(RegistroEntradas[[#This Row],[Data do Caixa Realizado]] = "",0,YEAR(RegistroEntradas[[#This Row],[Data do Caixa Realizado]]))</f>
        <v>2018</v>
      </c>
      <c r="K151">
        <f xml:space="preserve"> IF(RegistroEntradas[[#This Row],[Data da Competência]] = "", 0, MONTH(RegistroEntradas[[#This Row],[Data da Competência]]))</f>
        <v>10</v>
      </c>
      <c r="L151">
        <f xml:space="preserve"> IF(RegistroEntradas[[#This Row],[Data da Competência]] = "", 0, YEAR(RegistroEntradas[[#This Row],[Data da Competência]]))</f>
        <v>2018</v>
      </c>
      <c r="M151">
        <f xml:space="preserve"> IF(RegistroEntradas[[#This Row],[Data do Caixa Previsto]]="",0,MONTH(RegistroEntradas[[#This Row],[Data do Caixa Previsto]]))</f>
        <v>10</v>
      </c>
      <c r="N151">
        <f xml:space="preserve"> IF(RegistroEntradas[[#This Row],[Data do Caixa Previsto]]="",0,YEAR(RegistroEntradas[[#This Row],[Data do Caixa Previsto]]))</f>
        <v>2018</v>
      </c>
      <c r="O151" t="str">
        <f ca="1">IF(AND(RegistroEntradas[[#This Row],[Data do Caixa Previsto]]&lt;TODAY(),RegistroEntradas[[#This Row],[Data do Caixa Realizado]]=""),"Vencida","Paga")</f>
        <v>Paga</v>
      </c>
      <c r="P151" t="str">
        <f xml:space="preserve"> IF(RegistroEntradas[[#This Row],[Data da Competência]]=RegistroEntradas[[#This Row],[Data do Caixa Previsto]],"À Vista","À Prazo")</f>
        <v>À Prazo</v>
      </c>
      <c r="Q151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152" spans="2:17" ht="20.100000000000001" customHeight="1" x14ac:dyDescent="0.25">
      <c r="B152" s="9">
        <v>43438.136766228803</v>
      </c>
      <c r="C152" s="9">
        <v>43389</v>
      </c>
      <c r="D152" s="9">
        <v>43438.136766228803</v>
      </c>
      <c r="E152" t="s">
        <v>24</v>
      </c>
      <c r="F152" t="s">
        <v>33</v>
      </c>
      <c r="G152" t="s">
        <v>202</v>
      </c>
      <c r="H152" s="10">
        <v>4061</v>
      </c>
      <c r="I152">
        <f>IF(RegistroEntradas[[#This Row],[Data do Caixa Realizado]] = "", 0, MONTH(RegistroEntradas[[#This Row],[Data do Caixa Realizado]]))</f>
        <v>12</v>
      </c>
      <c r="J152">
        <f>IF(RegistroEntradas[[#This Row],[Data do Caixa Realizado]] = "",0,YEAR(RegistroEntradas[[#This Row],[Data do Caixa Realizado]]))</f>
        <v>2018</v>
      </c>
      <c r="K152">
        <f xml:space="preserve"> IF(RegistroEntradas[[#This Row],[Data da Competência]] = "", 0, MONTH(RegistroEntradas[[#This Row],[Data da Competência]]))</f>
        <v>10</v>
      </c>
      <c r="L152">
        <f xml:space="preserve"> IF(RegistroEntradas[[#This Row],[Data da Competência]] = "", 0, YEAR(RegistroEntradas[[#This Row],[Data da Competência]]))</f>
        <v>2018</v>
      </c>
      <c r="M152">
        <f xml:space="preserve"> IF(RegistroEntradas[[#This Row],[Data do Caixa Previsto]]="",0,MONTH(RegistroEntradas[[#This Row],[Data do Caixa Previsto]]))</f>
        <v>12</v>
      </c>
      <c r="N152">
        <f xml:space="preserve"> IF(RegistroEntradas[[#This Row],[Data do Caixa Previsto]]="",0,YEAR(RegistroEntradas[[#This Row],[Data do Caixa Previsto]]))</f>
        <v>2018</v>
      </c>
      <c r="O152" t="str">
        <f ca="1">IF(AND(RegistroEntradas[[#This Row],[Data do Caixa Previsto]]&lt;TODAY(),RegistroEntradas[[#This Row],[Data do Caixa Realizado]]=""),"Vencida","Paga")</f>
        <v>Paga</v>
      </c>
      <c r="P152" t="str">
        <f xml:space="preserve"> IF(RegistroEntradas[[#This Row],[Data da Competência]]=RegistroEntradas[[#This Row],[Data do Caixa Previsto]],"À Vista","À Prazo")</f>
        <v>À Prazo</v>
      </c>
      <c r="Q152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153" spans="2:17" ht="20.100000000000001" customHeight="1" x14ac:dyDescent="0.25">
      <c r="B153" s="9">
        <v>43493.104436604881</v>
      </c>
      <c r="C153" s="9">
        <v>43394</v>
      </c>
      <c r="D153" s="9">
        <v>43435.81232629544</v>
      </c>
      <c r="E153" t="s">
        <v>24</v>
      </c>
      <c r="F153" t="s">
        <v>30</v>
      </c>
      <c r="G153" t="s">
        <v>203</v>
      </c>
      <c r="H153" s="10">
        <v>4404</v>
      </c>
      <c r="I153">
        <f>IF(RegistroEntradas[[#This Row],[Data do Caixa Realizado]] = "", 0, MONTH(RegistroEntradas[[#This Row],[Data do Caixa Realizado]]))</f>
        <v>1</v>
      </c>
      <c r="J153">
        <f>IF(RegistroEntradas[[#This Row],[Data do Caixa Realizado]] = "",0,YEAR(RegistroEntradas[[#This Row],[Data do Caixa Realizado]]))</f>
        <v>2019</v>
      </c>
      <c r="K153">
        <f xml:space="preserve"> IF(RegistroEntradas[[#This Row],[Data da Competência]] = "", 0, MONTH(RegistroEntradas[[#This Row],[Data da Competência]]))</f>
        <v>10</v>
      </c>
      <c r="L153">
        <f xml:space="preserve"> IF(RegistroEntradas[[#This Row],[Data da Competência]] = "", 0, YEAR(RegistroEntradas[[#This Row],[Data da Competência]]))</f>
        <v>2018</v>
      </c>
      <c r="M153">
        <f xml:space="preserve"> IF(RegistroEntradas[[#This Row],[Data do Caixa Previsto]]="",0,MONTH(RegistroEntradas[[#This Row],[Data do Caixa Previsto]]))</f>
        <v>12</v>
      </c>
      <c r="N153">
        <f xml:space="preserve"> IF(RegistroEntradas[[#This Row],[Data do Caixa Previsto]]="",0,YEAR(RegistroEntradas[[#This Row],[Data do Caixa Previsto]]))</f>
        <v>2018</v>
      </c>
      <c r="O153" t="str">
        <f ca="1">IF(AND(RegistroEntradas[[#This Row],[Data do Caixa Previsto]]&lt;TODAY(),RegistroEntradas[[#This Row],[Data do Caixa Realizado]]=""),"Vencida","Paga")</f>
        <v>Paga</v>
      </c>
      <c r="P153" t="str">
        <f xml:space="preserve"> IF(RegistroEntradas[[#This Row],[Data da Competência]]=RegistroEntradas[[#This Row],[Data do Caixa Previsto]],"À Vista","À Prazo")</f>
        <v>À Prazo</v>
      </c>
      <c r="Q153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57.292110309441341</v>
      </c>
    </row>
    <row r="154" spans="2:17" ht="20.100000000000001" customHeight="1" x14ac:dyDescent="0.25">
      <c r="B154" s="9">
        <v>43419.609240604143</v>
      </c>
      <c r="C154" s="9">
        <v>43398</v>
      </c>
      <c r="D154" s="9">
        <v>43419.609240604143</v>
      </c>
      <c r="E154" t="s">
        <v>24</v>
      </c>
      <c r="F154" t="s">
        <v>32</v>
      </c>
      <c r="G154" t="s">
        <v>204</v>
      </c>
      <c r="H154" s="10">
        <v>2429</v>
      </c>
      <c r="I154">
        <f>IF(RegistroEntradas[[#This Row],[Data do Caixa Realizado]] = "", 0, MONTH(RegistroEntradas[[#This Row],[Data do Caixa Realizado]]))</f>
        <v>11</v>
      </c>
      <c r="J154">
        <f>IF(RegistroEntradas[[#This Row],[Data do Caixa Realizado]] = "",0,YEAR(RegistroEntradas[[#This Row],[Data do Caixa Realizado]]))</f>
        <v>2018</v>
      </c>
      <c r="K154">
        <f xml:space="preserve"> IF(RegistroEntradas[[#This Row],[Data da Competência]] = "", 0, MONTH(RegistroEntradas[[#This Row],[Data da Competência]]))</f>
        <v>10</v>
      </c>
      <c r="L154">
        <f xml:space="preserve"> IF(RegistroEntradas[[#This Row],[Data da Competência]] = "", 0, YEAR(RegistroEntradas[[#This Row],[Data da Competência]]))</f>
        <v>2018</v>
      </c>
      <c r="M154">
        <f xml:space="preserve"> IF(RegistroEntradas[[#This Row],[Data do Caixa Previsto]]="",0,MONTH(RegistroEntradas[[#This Row],[Data do Caixa Previsto]]))</f>
        <v>11</v>
      </c>
      <c r="N154">
        <f xml:space="preserve"> IF(RegistroEntradas[[#This Row],[Data do Caixa Previsto]]="",0,YEAR(RegistroEntradas[[#This Row],[Data do Caixa Previsto]]))</f>
        <v>2018</v>
      </c>
      <c r="O154" t="str">
        <f ca="1">IF(AND(RegistroEntradas[[#This Row],[Data do Caixa Previsto]]&lt;TODAY(),RegistroEntradas[[#This Row],[Data do Caixa Realizado]]=""),"Vencida","Paga")</f>
        <v>Paga</v>
      </c>
      <c r="P154" t="str">
        <f xml:space="preserve"> IF(RegistroEntradas[[#This Row],[Data da Competência]]=RegistroEntradas[[#This Row],[Data do Caixa Previsto]],"À Vista","À Prazo")</f>
        <v>À Prazo</v>
      </c>
      <c r="Q154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155" spans="2:17" ht="20.100000000000001" customHeight="1" x14ac:dyDescent="0.25">
      <c r="B155" s="9">
        <v>43457.427069040656</v>
      </c>
      <c r="C155" s="9">
        <v>43398</v>
      </c>
      <c r="D155" s="9">
        <v>43457.427069040656</v>
      </c>
      <c r="E155" t="s">
        <v>24</v>
      </c>
      <c r="F155" t="s">
        <v>30</v>
      </c>
      <c r="G155" t="s">
        <v>205</v>
      </c>
      <c r="H155" s="10">
        <v>2713</v>
      </c>
      <c r="I155">
        <f>IF(RegistroEntradas[[#This Row],[Data do Caixa Realizado]] = "", 0, MONTH(RegistroEntradas[[#This Row],[Data do Caixa Realizado]]))</f>
        <v>12</v>
      </c>
      <c r="J155">
        <f>IF(RegistroEntradas[[#This Row],[Data do Caixa Realizado]] = "",0,YEAR(RegistroEntradas[[#This Row],[Data do Caixa Realizado]]))</f>
        <v>2018</v>
      </c>
      <c r="K155">
        <f xml:space="preserve"> IF(RegistroEntradas[[#This Row],[Data da Competência]] = "", 0, MONTH(RegistroEntradas[[#This Row],[Data da Competência]]))</f>
        <v>10</v>
      </c>
      <c r="L155">
        <f xml:space="preserve"> IF(RegistroEntradas[[#This Row],[Data da Competência]] = "", 0, YEAR(RegistroEntradas[[#This Row],[Data da Competência]]))</f>
        <v>2018</v>
      </c>
      <c r="M155">
        <f xml:space="preserve"> IF(RegistroEntradas[[#This Row],[Data do Caixa Previsto]]="",0,MONTH(RegistroEntradas[[#This Row],[Data do Caixa Previsto]]))</f>
        <v>12</v>
      </c>
      <c r="N155">
        <f xml:space="preserve"> IF(RegistroEntradas[[#This Row],[Data do Caixa Previsto]]="",0,YEAR(RegistroEntradas[[#This Row],[Data do Caixa Previsto]]))</f>
        <v>2018</v>
      </c>
      <c r="O155" t="str">
        <f ca="1">IF(AND(RegistroEntradas[[#This Row],[Data do Caixa Previsto]]&lt;TODAY(),RegistroEntradas[[#This Row],[Data do Caixa Realizado]]=""),"Vencida","Paga")</f>
        <v>Paga</v>
      </c>
      <c r="P155" t="str">
        <f xml:space="preserve"> IF(RegistroEntradas[[#This Row],[Data da Competência]]=RegistroEntradas[[#This Row],[Data do Caixa Previsto]],"À Vista","À Prazo")</f>
        <v>À Prazo</v>
      </c>
      <c r="Q155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156" spans="2:17" ht="20.100000000000001" customHeight="1" x14ac:dyDescent="0.25">
      <c r="B156" s="9">
        <v>43416.791420716982</v>
      </c>
      <c r="C156" s="9">
        <v>43403</v>
      </c>
      <c r="D156" s="9">
        <v>43416.791420716982</v>
      </c>
      <c r="E156" t="s">
        <v>24</v>
      </c>
      <c r="F156" t="s">
        <v>32</v>
      </c>
      <c r="G156" t="s">
        <v>206</v>
      </c>
      <c r="H156" s="10">
        <v>3787</v>
      </c>
      <c r="I156">
        <f>IF(RegistroEntradas[[#This Row],[Data do Caixa Realizado]] = "", 0, MONTH(RegistroEntradas[[#This Row],[Data do Caixa Realizado]]))</f>
        <v>11</v>
      </c>
      <c r="J156">
        <f>IF(RegistroEntradas[[#This Row],[Data do Caixa Realizado]] = "",0,YEAR(RegistroEntradas[[#This Row],[Data do Caixa Realizado]]))</f>
        <v>2018</v>
      </c>
      <c r="K156">
        <f xml:space="preserve"> IF(RegistroEntradas[[#This Row],[Data da Competência]] = "", 0, MONTH(RegistroEntradas[[#This Row],[Data da Competência]]))</f>
        <v>10</v>
      </c>
      <c r="L156">
        <f xml:space="preserve"> IF(RegistroEntradas[[#This Row],[Data da Competência]] = "", 0, YEAR(RegistroEntradas[[#This Row],[Data da Competência]]))</f>
        <v>2018</v>
      </c>
      <c r="M156">
        <f xml:space="preserve"> IF(RegistroEntradas[[#This Row],[Data do Caixa Previsto]]="",0,MONTH(RegistroEntradas[[#This Row],[Data do Caixa Previsto]]))</f>
        <v>11</v>
      </c>
      <c r="N156">
        <f xml:space="preserve"> IF(RegistroEntradas[[#This Row],[Data do Caixa Previsto]]="",0,YEAR(RegistroEntradas[[#This Row],[Data do Caixa Previsto]]))</f>
        <v>2018</v>
      </c>
      <c r="O156" t="str">
        <f ca="1">IF(AND(RegistroEntradas[[#This Row],[Data do Caixa Previsto]]&lt;TODAY(),RegistroEntradas[[#This Row],[Data do Caixa Realizado]]=""),"Vencida","Paga")</f>
        <v>Paga</v>
      </c>
      <c r="P156" t="str">
        <f xml:space="preserve"> IF(RegistroEntradas[[#This Row],[Data da Competência]]=RegistroEntradas[[#This Row],[Data do Caixa Previsto]],"À Vista","À Prazo")</f>
        <v>À Prazo</v>
      </c>
      <c r="Q156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157" spans="2:17" ht="20.100000000000001" customHeight="1" x14ac:dyDescent="0.25">
      <c r="B157" s="9">
        <v>43503.017030074843</v>
      </c>
      <c r="C157" s="9">
        <v>43408</v>
      </c>
      <c r="D157" s="9">
        <v>43442.90009272196</v>
      </c>
      <c r="E157" t="s">
        <v>24</v>
      </c>
      <c r="F157" t="s">
        <v>31</v>
      </c>
      <c r="G157" t="s">
        <v>207</v>
      </c>
      <c r="H157" s="10">
        <v>1820</v>
      </c>
      <c r="I157">
        <f>IF(RegistroEntradas[[#This Row],[Data do Caixa Realizado]] = "", 0, MONTH(RegistroEntradas[[#This Row],[Data do Caixa Realizado]]))</f>
        <v>2</v>
      </c>
      <c r="J157">
        <f>IF(RegistroEntradas[[#This Row],[Data do Caixa Realizado]] = "",0,YEAR(RegistroEntradas[[#This Row],[Data do Caixa Realizado]]))</f>
        <v>2019</v>
      </c>
      <c r="K157">
        <f xml:space="preserve"> IF(RegistroEntradas[[#This Row],[Data da Competência]] = "", 0, MONTH(RegistroEntradas[[#This Row],[Data da Competência]]))</f>
        <v>11</v>
      </c>
      <c r="L157">
        <f xml:space="preserve"> IF(RegistroEntradas[[#This Row],[Data da Competência]] = "", 0, YEAR(RegistroEntradas[[#This Row],[Data da Competência]]))</f>
        <v>2018</v>
      </c>
      <c r="M157">
        <f xml:space="preserve"> IF(RegistroEntradas[[#This Row],[Data do Caixa Previsto]]="",0,MONTH(RegistroEntradas[[#This Row],[Data do Caixa Previsto]]))</f>
        <v>12</v>
      </c>
      <c r="N157">
        <f xml:space="preserve"> IF(RegistroEntradas[[#This Row],[Data do Caixa Previsto]]="",0,YEAR(RegistroEntradas[[#This Row],[Data do Caixa Previsto]]))</f>
        <v>2018</v>
      </c>
      <c r="O157" t="str">
        <f ca="1">IF(AND(RegistroEntradas[[#This Row],[Data do Caixa Previsto]]&lt;TODAY(),RegistroEntradas[[#This Row],[Data do Caixa Realizado]]=""),"Vencida","Paga")</f>
        <v>Paga</v>
      </c>
      <c r="P157" t="str">
        <f xml:space="preserve"> IF(RegistroEntradas[[#This Row],[Data da Competência]]=RegistroEntradas[[#This Row],[Data do Caixa Previsto]],"À Vista","À Prazo")</f>
        <v>À Prazo</v>
      </c>
      <c r="Q157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60.116937352882815</v>
      </c>
    </row>
    <row r="158" spans="2:17" ht="20.100000000000001" customHeight="1" x14ac:dyDescent="0.25">
      <c r="B158" s="9">
        <v>43431.589825007759</v>
      </c>
      <c r="C158" s="9">
        <v>43412</v>
      </c>
      <c r="D158" s="9">
        <v>43431.589825007759</v>
      </c>
      <c r="E158" t="s">
        <v>24</v>
      </c>
      <c r="F158" t="s">
        <v>32</v>
      </c>
      <c r="G158" t="s">
        <v>208</v>
      </c>
      <c r="H158" s="10">
        <v>4135</v>
      </c>
      <c r="I158">
        <f>IF(RegistroEntradas[[#This Row],[Data do Caixa Realizado]] = "", 0, MONTH(RegistroEntradas[[#This Row],[Data do Caixa Realizado]]))</f>
        <v>11</v>
      </c>
      <c r="J158">
        <f>IF(RegistroEntradas[[#This Row],[Data do Caixa Realizado]] = "",0,YEAR(RegistroEntradas[[#This Row],[Data do Caixa Realizado]]))</f>
        <v>2018</v>
      </c>
      <c r="K158">
        <f xml:space="preserve"> IF(RegistroEntradas[[#This Row],[Data da Competência]] = "", 0, MONTH(RegistroEntradas[[#This Row],[Data da Competência]]))</f>
        <v>11</v>
      </c>
      <c r="L158">
        <f xml:space="preserve"> IF(RegistroEntradas[[#This Row],[Data da Competência]] = "", 0, YEAR(RegistroEntradas[[#This Row],[Data da Competência]]))</f>
        <v>2018</v>
      </c>
      <c r="M158">
        <f xml:space="preserve"> IF(RegistroEntradas[[#This Row],[Data do Caixa Previsto]]="",0,MONTH(RegistroEntradas[[#This Row],[Data do Caixa Previsto]]))</f>
        <v>11</v>
      </c>
      <c r="N158">
        <f xml:space="preserve"> IF(RegistroEntradas[[#This Row],[Data do Caixa Previsto]]="",0,YEAR(RegistroEntradas[[#This Row],[Data do Caixa Previsto]]))</f>
        <v>2018</v>
      </c>
      <c r="O158" t="str">
        <f ca="1">IF(AND(RegistroEntradas[[#This Row],[Data do Caixa Previsto]]&lt;TODAY(),RegistroEntradas[[#This Row],[Data do Caixa Realizado]]=""),"Vencida","Paga")</f>
        <v>Paga</v>
      </c>
      <c r="P158" t="str">
        <f xml:space="preserve"> IF(RegistroEntradas[[#This Row],[Data da Competência]]=RegistroEntradas[[#This Row],[Data do Caixa Previsto]],"À Vista","À Prazo")</f>
        <v>À Prazo</v>
      </c>
      <c r="Q158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159" spans="2:17" ht="20.100000000000001" customHeight="1" x14ac:dyDescent="0.25">
      <c r="B159" s="9">
        <v>43467.343545956064</v>
      </c>
      <c r="C159" s="9">
        <v>43415</v>
      </c>
      <c r="D159" s="9">
        <v>43421.091967250024</v>
      </c>
      <c r="E159" t="s">
        <v>24</v>
      </c>
      <c r="F159" t="s">
        <v>32</v>
      </c>
      <c r="G159" t="s">
        <v>209</v>
      </c>
      <c r="H159" s="10">
        <v>3902</v>
      </c>
      <c r="I159">
        <f>IF(RegistroEntradas[[#This Row],[Data do Caixa Realizado]] = "", 0, MONTH(RegistroEntradas[[#This Row],[Data do Caixa Realizado]]))</f>
        <v>1</v>
      </c>
      <c r="J159">
        <f>IF(RegistroEntradas[[#This Row],[Data do Caixa Realizado]] = "",0,YEAR(RegistroEntradas[[#This Row],[Data do Caixa Realizado]]))</f>
        <v>2019</v>
      </c>
      <c r="K159">
        <f xml:space="preserve"> IF(RegistroEntradas[[#This Row],[Data da Competência]] = "", 0, MONTH(RegistroEntradas[[#This Row],[Data da Competência]]))</f>
        <v>11</v>
      </c>
      <c r="L159">
        <f xml:space="preserve"> IF(RegistroEntradas[[#This Row],[Data da Competência]] = "", 0, YEAR(RegistroEntradas[[#This Row],[Data da Competência]]))</f>
        <v>2018</v>
      </c>
      <c r="M159">
        <f xml:space="preserve"> IF(RegistroEntradas[[#This Row],[Data do Caixa Previsto]]="",0,MONTH(RegistroEntradas[[#This Row],[Data do Caixa Previsto]]))</f>
        <v>11</v>
      </c>
      <c r="N159">
        <f xml:space="preserve"> IF(RegistroEntradas[[#This Row],[Data do Caixa Previsto]]="",0,YEAR(RegistroEntradas[[#This Row],[Data do Caixa Previsto]]))</f>
        <v>2018</v>
      </c>
      <c r="O159" t="str">
        <f ca="1">IF(AND(RegistroEntradas[[#This Row],[Data do Caixa Previsto]]&lt;TODAY(),RegistroEntradas[[#This Row],[Data do Caixa Realizado]]=""),"Vencida","Paga")</f>
        <v>Paga</v>
      </c>
      <c r="P159" t="str">
        <f xml:space="preserve"> IF(RegistroEntradas[[#This Row],[Data da Competência]]=RegistroEntradas[[#This Row],[Data do Caixa Previsto]],"À Vista","À Prazo")</f>
        <v>À Prazo</v>
      </c>
      <c r="Q159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46.251578706040164</v>
      </c>
    </row>
    <row r="160" spans="2:17" ht="20.100000000000001" customHeight="1" x14ac:dyDescent="0.25">
      <c r="B160" s="9">
        <v>43523.081285354827</v>
      </c>
      <c r="C160" s="9">
        <v>43418</v>
      </c>
      <c r="D160" s="9">
        <v>43441.738773120276</v>
      </c>
      <c r="E160" t="s">
        <v>24</v>
      </c>
      <c r="F160" t="s">
        <v>32</v>
      </c>
      <c r="G160" t="s">
        <v>210</v>
      </c>
      <c r="H160" s="10">
        <v>4319</v>
      </c>
      <c r="I160">
        <f>IF(RegistroEntradas[[#This Row],[Data do Caixa Realizado]] = "", 0, MONTH(RegistroEntradas[[#This Row],[Data do Caixa Realizado]]))</f>
        <v>2</v>
      </c>
      <c r="J160">
        <f>IF(RegistroEntradas[[#This Row],[Data do Caixa Realizado]] = "",0,YEAR(RegistroEntradas[[#This Row],[Data do Caixa Realizado]]))</f>
        <v>2019</v>
      </c>
      <c r="K160">
        <f xml:space="preserve"> IF(RegistroEntradas[[#This Row],[Data da Competência]] = "", 0, MONTH(RegistroEntradas[[#This Row],[Data da Competência]]))</f>
        <v>11</v>
      </c>
      <c r="L160">
        <f xml:space="preserve"> IF(RegistroEntradas[[#This Row],[Data da Competência]] = "", 0, YEAR(RegistroEntradas[[#This Row],[Data da Competência]]))</f>
        <v>2018</v>
      </c>
      <c r="M160">
        <f xml:space="preserve"> IF(RegistroEntradas[[#This Row],[Data do Caixa Previsto]]="",0,MONTH(RegistroEntradas[[#This Row],[Data do Caixa Previsto]]))</f>
        <v>12</v>
      </c>
      <c r="N160">
        <f xml:space="preserve"> IF(RegistroEntradas[[#This Row],[Data do Caixa Previsto]]="",0,YEAR(RegistroEntradas[[#This Row],[Data do Caixa Previsto]]))</f>
        <v>2018</v>
      </c>
      <c r="O160" t="str">
        <f ca="1">IF(AND(RegistroEntradas[[#This Row],[Data do Caixa Previsto]]&lt;TODAY(),RegistroEntradas[[#This Row],[Data do Caixa Realizado]]=""),"Vencida","Paga")</f>
        <v>Paga</v>
      </c>
      <c r="P160" t="str">
        <f xml:space="preserve"> IF(RegistroEntradas[[#This Row],[Data da Competência]]=RegistroEntradas[[#This Row],[Data do Caixa Previsto]],"À Vista","À Prazo")</f>
        <v>À Prazo</v>
      </c>
      <c r="Q160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81.342512234550668</v>
      </c>
    </row>
    <row r="161" spans="2:17" ht="20.100000000000001" customHeight="1" x14ac:dyDescent="0.25">
      <c r="B161" s="9">
        <v>43464.748499618698</v>
      </c>
      <c r="C161" s="9">
        <v>43421</v>
      </c>
      <c r="D161" s="9">
        <v>43464.748499618698</v>
      </c>
      <c r="E161" t="s">
        <v>24</v>
      </c>
      <c r="F161" t="s">
        <v>30</v>
      </c>
      <c r="G161" t="s">
        <v>211</v>
      </c>
      <c r="H161" s="10">
        <v>3068</v>
      </c>
      <c r="I161">
        <f>IF(RegistroEntradas[[#This Row],[Data do Caixa Realizado]] = "", 0, MONTH(RegistroEntradas[[#This Row],[Data do Caixa Realizado]]))</f>
        <v>12</v>
      </c>
      <c r="J161">
        <f>IF(RegistroEntradas[[#This Row],[Data do Caixa Realizado]] = "",0,YEAR(RegistroEntradas[[#This Row],[Data do Caixa Realizado]]))</f>
        <v>2018</v>
      </c>
      <c r="K161">
        <f xml:space="preserve"> IF(RegistroEntradas[[#This Row],[Data da Competência]] = "", 0, MONTH(RegistroEntradas[[#This Row],[Data da Competência]]))</f>
        <v>11</v>
      </c>
      <c r="L161">
        <f xml:space="preserve"> IF(RegistroEntradas[[#This Row],[Data da Competência]] = "", 0, YEAR(RegistroEntradas[[#This Row],[Data da Competência]]))</f>
        <v>2018</v>
      </c>
      <c r="M161">
        <f xml:space="preserve"> IF(RegistroEntradas[[#This Row],[Data do Caixa Previsto]]="",0,MONTH(RegistroEntradas[[#This Row],[Data do Caixa Previsto]]))</f>
        <v>12</v>
      </c>
      <c r="N161">
        <f xml:space="preserve"> IF(RegistroEntradas[[#This Row],[Data do Caixa Previsto]]="",0,YEAR(RegistroEntradas[[#This Row],[Data do Caixa Previsto]]))</f>
        <v>2018</v>
      </c>
      <c r="O161" t="str">
        <f ca="1">IF(AND(RegistroEntradas[[#This Row],[Data do Caixa Previsto]]&lt;TODAY(),RegistroEntradas[[#This Row],[Data do Caixa Realizado]]=""),"Vencida","Paga")</f>
        <v>Paga</v>
      </c>
      <c r="P161" t="str">
        <f xml:space="preserve"> IF(RegistroEntradas[[#This Row],[Data da Competência]]=RegistroEntradas[[#This Row],[Data do Caixa Previsto]],"À Vista","À Prazo")</f>
        <v>À Prazo</v>
      </c>
      <c r="Q161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162" spans="2:17" ht="20.100000000000001" customHeight="1" x14ac:dyDescent="0.25">
      <c r="B162" s="9">
        <v>43455.375597423525</v>
      </c>
      <c r="C162" s="9">
        <v>43425</v>
      </c>
      <c r="D162" s="9">
        <v>43455.375597423525</v>
      </c>
      <c r="E162" t="s">
        <v>24</v>
      </c>
      <c r="F162" t="s">
        <v>32</v>
      </c>
      <c r="G162" t="s">
        <v>212</v>
      </c>
      <c r="H162" s="10">
        <v>1880</v>
      </c>
      <c r="I162">
        <f>IF(RegistroEntradas[[#This Row],[Data do Caixa Realizado]] = "", 0, MONTH(RegistroEntradas[[#This Row],[Data do Caixa Realizado]]))</f>
        <v>12</v>
      </c>
      <c r="J162">
        <f>IF(RegistroEntradas[[#This Row],[Data do Caixa Realizado]] = "",0,YEAR(RegistroEntradas[[#This Row],[Data do Caixa Realizado]]))</f>
        <v>2018</v>
      </c>
      <c r="K162">
        <f xml:space="preserve"> IF(RegistroEntradas[[#This Row],[Data da Competência]] = "", 0, MONTH(RegistroEntradas[[#This Row],[Data da Competência]]))</f>
        <v>11</v>
      </c>
      <c r="L162">
        <f xml:space="preserve"> IF(RegistroEntradas[[#This Row],[Data da Competência]] = "", 0, YEAR(RegistroEntradas[[#This Row],[Data da Competência]]))</f>
        <v>2018</v>
      </c>
      <c r="M162">
        <f xml:space="preserve"> IF(RegistroEntradas[[#This Row],[Data do Caixa Previsto]]="",0,MONTH(RegistroEntradas[[#This Row],[Data do Caixa Previsto]]))</f>
        <v>12</v>
      </c>
      <c r="N162">
        <f xml:space="preserve"> IF(RegistroEntradas[[#This Row],[Data do Caixa Previsto]]="",0,YEAR(RegistroEntradas[[#This Row],[Data do Caixa Previsto]]))</f>
        <v>2018</v>
      </c>
      <c r="O162" t="str">
        <f ca="1">IF(AND(RegistroEntradas[[#This Row],[Data do Caixa Previsto]]&lt;TODAY(),RegistroEntradas[[#This Row],[Data do Caixa Realizado]]=""),"Vencida","Paga")</f>
        <v>Paga</v>
      </c>
      <c r="P162" t="str">
        <f xml:space="preserve"> IF(RegistroEntradas[[#This Row],[Data da Competência]]=RegistroEntradas[[#This Row],[Data do Caixa Previsto]],"À Vista","À Prazo")</f>
        <v>À Prazo</v>
      </c>
      <c r="Q162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163" spans="2:17" ht="20.100000000000001" customHeight="1" x14ac:dyDescent="0.25">
      <c r="B163" s="9" t="s">
        <v>64</v>
      </c>
      <c r="C163" s="9">
        <v>43427</v>
      </c>
      <c r="D163" s="9">
        <v>43465.063381850647</v>
      </c>
      <c r="E163" t="s">
        <v>24</v>
      </c>
      <c r="F163" t="s">
        <v>32</v>
      </c>
      <c r="G163" t="s">
        <v>213</v>
      </c>
      <c r="H163" s="10">
        <v>1414</v>
      </c>
      <c r="I163">
        <f>IF(RegistroEntradas[[#This Row],[Data do Caixa Realizado]] = "", 0, MONTH(RegistroEntradas[[#This Row],[Data do Caixa Realizado]]))</f>
        <v>0</v>
      </c>
      <c r="J163">
        <f>IF(RegistroEntradas[[#This Row],[Data do Caixa Realizado]] = "",0,YEAR(RegistroEntradas[[#This Row],[Data do Caixa Realizado]]))</f>
        <v>0</v>
      </c>
      <c r="K163">
        <f xml:space="preserve"> IF(RegistroEntradas[[#This Row],[Data da Competência]] = "", 0, MONTH(RegistroEntradas[[#This Row],[Data da Competência]]))</f>
        <v>11</v>
      </c>
      <c r="L163">
        <f xml:space="preserve"> IF(RegistroEntradas[[#This Row],[Data da Competência]] = "", 0, YEAR(RegistroEntradas[[#This Row],[Data da Competência]]))</f>
        <v>2018</v>
      </c>
      <c r="M163">
        <f xml:space="preserve"> IF(RegistroEntradas[[#This Row],[Data do Caixa Previsto]]="",0,MONTH(RegistroEntradas[[#This Row],[Data do Caixa Previsto]]))</f>
        <v>12</v>
      </c>
      <c r="N163">
        <f xml:space="preserve"> IF(RegistroEntradas[[#This Row],[Data do Caixa Previsto]]="",0,YEAR(RegistroEntradas[[#This Row],[Data do Caixa Previsto]]))</f>
        <v>2018</v>
      </c>
      <c r="O163" t="str">
        <f ca="1">IF(AND(RegistroEntradas[[#This Row],[Data do Caixa Previsto]]&lt;TODAY(),RegistroEntradas[[#This Row],[Data do Caixa Realizado]]=""),"Vencida","Paga")</f>
        <v>Vencida</v>
      </c>
      <c r="P163" t="str">
        <f xml:space="preserve"> IF(RegistroEntradas[[#This Row],[Data da Competência]]=RegistroEntradas[[#This Row],[Data do Caixa Previsto]],"À Vista","À Prazo")</f>
        <v>À Prazo</v>
      </c>
      <c r="Q163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1750.9366181493533</v>
      </c>
    </row>
    <row r="164" spans="2:17" ht="20.100000000000001" customHeight="1" x14ac:dyDescent="0.25">
      <c r="B164" s="9" t="s">
        <v>64</v>
      </c>
      <c r="C164" s="9">
        <v>43430</v>
      </c>
      <c r="D164" s="9">
        <v>43447.889924144794</v>
      </c>
      <c r="E164" t="s">
        <v>24</v>
      </c>
      <c r="F164" t="s">
        <v>29</v>
      </c>
      <c r="G164" t="s">
        <v>214</v>
      </c>
      <c r="H164" s="10">
        <v>919</v>
      </c>
      <c r="I164">
        <f>IF(RegistroEntradas[[#This Row],[Data do Caixa Realizado]] = "", 0, MONTH(RegistroEntradas[[#This Row],[Data do Caixa Realizado]]))</f>
        <v>0</v>
      </c>
      <c r="J164">
        <f>IF(RegistroEntradas[[#This Row],[Data do Caixa Realizado]] = "",0,YEAR(RegistroEntradas[[#This Row],[Data do Caixa Realizado]]))</f>
        <v>0</v>
      </c>
      <c r="K164">
        <f xml:space="preserve"> IF(RegistroEntradas[[#This Row],[Data da Competência]] = "", 0, MONTH(RegistroEntradas[[#This Row],[Data da Competência]]))</f>
        <v>11</v>
      </c>
      <c r="L164">
        <f xml:space="preserve"> IF(RegistroEntradas[[#This Row],[Data da Competência]] = "", 0, YEAR(RegistroEntradas[[#This Row],[Data da Competência]]))</f>
        <v>2018</v>
      </c>
      <c r="M164">
        <f xml:space="preserve"> IF(RegistroEntradas[[#This Row],[Data do Caixa Previsto]]="",0,MONTH(RegistroEntradas[[#This Row],[Data do Caixa Previsto]]))</f>
        <v>12</v>
      </c>
      <c r="N164">
        <f xml:space="preserve"> IF(RegistroEntradas[[#This Row],[Data do Caixa Previsto]]="",0,YEAR(RegistroEntradas[[#This Row],[Data do Caixa Previsto]]))</f>
        <v>2018</v>
      </c>
      <c r="O164" t="str">
        <f ca="1">IF(AND(RegistroEntradas[[#This Row],[Data do Caixa Previsto]]&lt;TODAY(),RegistroEntradas[[#This Row],[Data do Caixa Realizado]]=""),"Vencida","Paga")</f>
        <v>Vencida</v>
      </c>
      <c r="P164" t="str">
        <f xml:space="preserve"> IF(RegistroEntradas[[#This Row],[Data da Competência]]=RegistroEntradas[[#This Row],[Data do Caixa Previsto]],"À Vista","À Prazo")</f>
        <v>À Prazo</v>
      </c>
      <c r="Q164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1768.1100758552057</v>
      </c>
    </row>
    <row r="165" spans="2:17" ht="20.100000000000001" customHeight="1" x14ac:dyDescent="0.25">
      <c r="B165" s="9">
        <v>43477.965813489587</v>
      </c>
      <c r="C165" s="9">
        <v>43431</v>
      </c>
      <c r="D165" s="9">
        <v>43477.965813489587</v>
      </c>
      <c r="E165" t="s">
        <v>24</v>
      </c>
      <c r="F165" t="s">
        <v>32</v>
      </c>
      <c r="G165" t="s">
        <v>215</v>
      </c>
      <c r="H165" s="10">
        <v>4801</v>
      </c>
      <c r="I165">
        <f>IF(RegistroEntradas[[#This Row],[Data do Caixa Realizado]] = "", 0, MONTH(RegistroEntradas[[#This Row],[Data do Caixa Realizado]]))</f>
        <v>1</v>
      </c>
      <c r="J165">
        <f>IF(RegistroEntradas[[#This Row],[Data do Caixa Realizado]] = "",0,YEAR(RegistroEntradas[[#This Row],[Data do Caixa Realizado]]))</f>
        <v>2019</v>
      </c>
      <c r="K165">
        <f xml:space="preserve"> IF(RegistroEntradas[[#This Row],[Data da Competência]] = "", 0, MONTH(RegistroEntradas[[#This Row],[Data da Competência]]))</f>
        <v>11</v>
      </c>
      <c r="L165">
        <f xml:space="preserve"> IF(RegistroEntradas[[#This Row],[Data da Competência]] = "", 0, YEAR(RegistroEntradas[[#This Row],[Data da Competência]]))</f>
        <v>2018</v>
      </c>
      <c r="M165">
        <f xml:space="preserve"> IF(RegistroEntradas[[#This Row],[Data do Caixa Previsto]]="",0,MONTH(RegistroEntradas[[#This Row],[Data do Caixa Previsto]]))</f>
        <v>1</v>
      </c>
      <c r="N165">
        <f xml:space="preserve"> IF(RegistroEntradas[[#This Row],[Data do Caixa Previsto]]="",0,YEAR(RegistroEntradas[[#This Row],[Data do Caixa Previsto]]))</f>
        <v>2019</v>
      </c>
      <c r="O165" t="str">
        <f ca="1">IF(AND(RegistroEntradas[[#This Row],[Data do Caixa Previsto]]&lt;TODAY(),RegistroEntradas[[#This Row],[Data do Caixa Realizado]]=""),"Vencida","Paga")</f>
        <v>Paga</v>
      </c>
      <c r="P165" t="str">
        <f xml:space="preserve"> IF(RegistroEntradas[[#This Row],[Data da Competência]]=RegistroEntradas[[#This Row],[Data do Caixa Previsto]],"À Vista","À Prazo")</f>
        <v>À Prazo</v>
      </c>
      <c r="Q165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166" spans="2:17" ht="20.100000000000001" customHeight="1" x14ac:dyDescent="0.25">
      <c r="B166" s="9" t="s">
        <v>64</v>
      </c>
      <c r="C166" s="9">
        <v>43434</v>
      </c>
      <c r="D166" s="9">
        <v>43455.267564406917</v>
      </c>
      <c r="E166" t="s">
        <v>24</v>
      </c>
      <c r="F166" t="s">
        <v>33</v>
      </c>
      <c r="G166" t="s">
        <v>216</v>
      </c>
      <c r="H166" s="10">
        <v>4639</v>
      </c>
      <c r="I166">
        <f>IF(RegistroEntradas[[#This Row],[Data do Caixa Realizado]] = "", 0, MONTH(RegistroEntradas[[#This Row],[Data do Caixa Realizado]]))</f>
        <v>0</v>
      </c>
      <c r="J166">
        <f>IF(RegistroEntradas[[#This Row],[Data do Caixa Realizado]] = "",0,YEAR(RegistroEntradas[[#This Row],[Data do Caixa Realizado]]))</f>
        <v>0</v>
      </c>
      <c r="K166">
        <f xml:space="preserve"> IF(RegistroEntradas[[#This Row],[Data da Competência]] = "", 0, MONTH(RegistroEntradas[[#This Row],[Data da Competência]]))</f>
        <v>11</v>
      </c>
      <c r="L166">
        <f xml:space="preserve"> IF(RegistroEntradas[[#This Row],[Data da Competência]] = "", 0, YEAR(RegistroEntradas[[#This Row],[Data da Competência]]))</f>
        <v>2018</v>
      </c>
      <c r="M166">
        <f xml:space="preserve"> IF(RegistroEntradas[[#This Row],[Data do Caixa Previsto]]="",0,MONTH(RegistroEntradas[[#This Row],[Data do Caixa Previsto]]))</f>
        <v>12</v>
      </c>
      <c r="N166">
        <f xml:space="preserve"> IF(RegistroEntradas[[#This Row],[Data do Caixa Previsto]]="",0,YEAR(RegistroEntradas[[#This Row],[Data do Caixa Previsto]]))</f>
        <v>2018</v>
      </c>
      <c r="O166" t="str">
        <f ca="1">IF(AND(RegistroEntradas[[#This Row],[Data do Caixa Previsto]]&lt;TODAY(),RegistroEntradas[[#This Row],[Data do Caixa Realizado]]=""),"Vencida","Paga")</f>
        <v>Vencida</v>
      </c>
      <c r="P166" t="str">
        <f xml:space="preserve"> IF(RegistroEntradas[[#This Row],[Data da Competência]]=RegistroEntradas[[#This Row],[Data do Caixa Previsto]],"À Vista","À Prazo")</f>
        <v>À Prazo</v>
      </c>
      <c r="Q166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1760.7324355930832</v>
      </c>
    </row>
    <row r="167" spans="2:17" ht="20.100000000000001" customHeight="1" x14ac:dyDescent="0.25">
      <c r="B167" s="9">
        <v>43544.142248909535</v>
      </c>
      <c r="C167" s="9">
        <v>43440</v>
      </c>
      <c r="D167" s="9">
        <v>43487.390614414791</v>
      </c>
      <c r="E167" t="s">
        <v>24</v>
      </c>
      <c r="F167" t="s">
        <v>32</v>
      </c>
      <c r="G167" t="s">
        <v>217</v>
      </c>
      <c r="H167" s="10">
        <v>1209</v>
      </c>
      <c r="I167">
        <f>IF(RegistroEntradas[[#This Row],[Data do Caixa Realizado]] = "", 0, MONTH(RegistroEntradas[[#This Row],[Data do Caixa Realizado]]))</f>
        <v>3</v>
      </c>
      <c r="J167">
        <f>IF(RegistroEntradas[[#This Row],[Data do Caixa Realizado]] = "",0,YEAR(RegistroEntradas[[#This Row],[Data do Caixa Realizado]]))</f>
        <v>2019</v>
      </c>
      <c r="K167">
        <f xml:space="preserve"> IF(RegistroEntradas[[#This Row],[Data da Competência]] = "", 0, MONTH(RegistroEntradas[[#This Row],[Data da Competência]]))</f>
        <v>12</v>
      </c>
      <c r="L167">
        <f xml:space="preserve"> IF(RegistroEntradas[[#This Row],[Data da Competência]] = "", 0, YEAR(RegistroEntradas[[#This Row],[Data da Competência]]))</f>
        <v>2018</v>
      </c>
      <c r="M167">
        <f xml:space="preserve"> IF(RegistroEntradas[[#This Row],[Data do Caixa Previsto]]="",0,MONTH(RegistroEntradas[[#This Row],[Data do Caixa Previsto]]))</f>
        <v>1</v>
      </c>
      <c r="N167">
        <f xml:space="preserve"> IF(RegistroEntradas[[#This Row],[Data do Caixa Previsto]]="",0,YEAR(RegistroEntradas[[#This Row],[Data do Caixa Previsto]]))</f>
        <v>2019</v>
      </c>
      <c r="O167" t="str">
        <f ca="1">IF(AND(RegistroEntradas[[#This Row],[Data do Caixa Previsto]]&lt;TODAY(),RegistroEntradas[[#This Row],[Data do Caixa Realizado]]=""),"Vencida","Paga")</f>
        <v>Paga</v>
      </c>
      <c r="P167" t="str">
        <f xml:space="preserve"> IF(RegistroEntradas[[#This Row],[Data da Competência]]=RegistroEntradas[[#This Row],[Data do Caixa Previsto]],"À Vista","À Prazo")</f>
        <v>À Prazo</v>
      </c>
      <c r="Q167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56.751634494743485</v>
      </c>
    </row>
    <row r="168" spans="2:17" ht="20.100000000000001" customHeight="1" x14ac:dyDescent="0.25">
      <c r="B168" s="9" t="s">
        <v>64</v>
      </c>
      <c r="C168" s="9">
        <v>43444</v>
      </c>
      <c r="D168" s="9">
        <v>43477.170204498791</v>
      </c>
      <c r="E168" t="s">
        <v>24</v>
      </c>
      <c r="F168" t="s">
        <v>33</v>
      </c>
      <c r="G168" t="s">
        <v>218</v>
      </c>
      <c r="H168" s="10">
        <v>483</v>
      </c>
      <c r="I168">
        <f>IF(RegistroEntradas[[#This Row],[Data do Caixa Realizado]] = "", 0, MONTH(RegistroEntradas[[#This Row],[Data do Caixa Realizado]]))</f>
        <v>0</v>
      </c>
      <c r="J168">
        <f>IF(RegistroEntradas[[#This Row],[Data do Caixa Realizado]] = "",0,YEAR(RegistroEntradas[[#This Row],[Data do Caixa Realizado]]))</f>
        <v>0</v>
      </c>
      <c r="K168">
        <f xml:space="preserve"> IF(RegistroEntradas[[#This Row],[Data da Competência]] = "", 0, MONTH(RegistroEntradas[[#This Row],[Data da Competência]]))</f>
        <v>12</v>
      </c>
      <c r="L168">
        <f xml:space="preserve"> IF(RegistroEntradas[[#This Row],[Data da Competência]] = "", 0, YEAR(RegistroEntradas[[#This Row],[Data da Competência]]))</f>
        <v>2018</v>
      </c>
      <c r="M168">
        <f xml:space="preserve"> IF(RegistroEntradas[[#This Row],[Data do Caixa Previsto]]="",0,MONTH(RegistroEntradas[[#This Row],[Data do Caixa Previsto]]))</f>
        <v>1</v>
      </c>
      <c r="N168">
        <f xml:space="preserve"> IF(RegistroEntradas[[#This Row],[Data do Caixa Previsto]]="",0,YEAR(RegistroEntradas[[#This Row],[Data do Caixa Previsto]]))</f>
        <v>2019</v>
      </c>
      <c r="O168" t="str">
        <f ca="1">IF(AND(RegistroEntradas[[#This Row],[Data do Caixa Previsto]]&lt;TODAY(),RegistroEntradas[[#This Row],[Data do Caixa Realizado]]=""),"Vencida","Paga")</f>
        <v>Vencida</v>
      </c>
      <c r="P168" t="str">
        <f xml:space="preserve"> IF(RegistroEntradas[[#This Row],[Data da Competência]]=RegistroEntradas[[#This Row],[Data do Caixa Previsto]],"À Vista","À Prazo")</f>
        <v>À Prazo</v>
      </c>
      <c r="Q168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1738.8297955012094</v>
      </c>
    </row>
    <row r="169" spans="2:17" ht="20.100000000000001" customHeight="1" x14ac:dyDescent="0.25">
      <c r="B169" s="9">
        <v>43469.404646888193</v>
      </c>
      <c r="C169" s="9">
        <v>43451</v>
      </c>
      <c r="D169" s="9">
        <v>43469.404646888193</v>
      </c>
      <c r="E169" t="s">
        <v>24</v>
      </c>
      <c r="F169" t="s">
        <v>32</v>
      </c>
      <c r="G169" t="s">
        <v>219</v>
      </c>
      <c r="H169" s="10">
        <v>373</v>
      </c>
      <c r="I169">
        <f>IF(RegistroEntradas[[#This Row],[Data do Caixa Realizado]] = "", 0, MONTH(RegistroEntradas[[#This Row],[Data do Caixa Realizado]]))</f>
        <v>1</v>
      </c>
      <c r="J169">
        <f>IF(RegistroEntradas[[#This Row],[Data do Caixa Realizado]] = "",0,YEAR(RegistroEntradas[[#This Row],[Data do Caixa Realizado]]))</f>
        <v>2019</v>
      </c>
      <c r="K169">
        <f xml:space="preserve"> IF(RegistroEntradas[[#This Row],[Data da Competência]] = "", 0, MONTH(RegistroEntradas[[#This Row],[Data da Competência]]))</f>
        <v>12</v>
      </c>
      <c r="L169">
        <f xml:space="preserve"> IF(RegistroEntradas[[#This Row],[Data da Competência]] = "", 0, YEAR(RegistroEntradas[[#This Row],[Data da Competência]]))</f>
        <v>2018</v>
      </c>
      <c r="M169">
        <f xml:space="preserve"> IF(RegistroEntradas[[#This Row],[Data do Caixa Previsto]]="",0,MONTH(RegistroEntradas[[#This Row],[Data do Caixa Previsto]]))</f>
        <v>1</v>
      </c>
      <c r="N169">
        <f xml:space="preserve"> IF(RegistroEntradas[[#This Row],[Data do Caixa Previsto]]="",0,YEAR(RegistroEntradas[[#This Row],[Data do Caixa Previsto]]))</f>
        <v>2019</v>
      </c>
      <c r="O169" t="str">
        <f ca="1">IF(AND(RegistroEntradas[[#This Row],[Data do Caixa Previsto]]&lt;TODAY(),RegistroEntradas[[#This Row],[Data do Caixa Realizado]]=""),"Vencida","Paga")</f>
        <v>Paga</v>
      </c>
      <c r="P169" t="str">
        <f xml:space="preserve"> IF(RegistroEntradas[[#This Row],[Data da Competência]]=RegistroEntradas[[#This Row],[Data do Caixa Previsto]],"À Vista","À Prazo")</f>
        <v>À Prazo</v>
      </c>
      <c r="Q169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170" spans="2:17" ht="20.100000000000001" customHeight="1" x14ac:dyDescent="0.25">
      <c r="B170" s="9">
        <v>43459.694209767709</v>
      </c>
      <c r="C170" s="9">
        <v>43454</v>
      </c>
      <c r="D170" s="9">
        <v>43459.694209767709</v>
      </c>
      <c r="E170" t="s">
        <v>24</v>
      </c>
      <c r="F170" t="s">
        <v>30</v>
      </c>
      <c r="G170" t="s">
        <v>220</v>
      </c>
      <c r="H170" s="10">
        <v>2088</v>
      </c>
      <c r="I170">
        <f>IF(RegistroEntradas[[#This Row],[Data do Caixa Realizado]] = "", 0, MONTH(RegistroEntradas[[#This Row],[Data do Caixa Realizado]]))</f>
        <v>12</v>
      </c>
      <c r="J170">
        <f>IF(RegistroEntradas[[#This Row],[Data do Caixa Realizado]] = "",0,YEAR(RegistroEntradas[[#This Row],[Data do Caixa Realizado]]))</f>
        <v>2018</v>
      </c>
      <c r="K170">
        <f xml:space="preserve"> IF(RegistroEntradas[[#This Row],[Data da Competência]] = "", 0, MONTH(RegistroEntradas[[#This Row],[Data da Competência]]))</f>
        <v>12</v>
      </c>
      <c r="L170">
        <f xml:space="preserve"> IF(RegistroEntradas[[#This Row],[Data da Competência]] = "", 0, YEAR(RegistroEntradas[[#This Row],[Data da Competência]]))</f>
        <v>2018</v>
      </c>
      <c r="M170">
        <f xml:space="preserve"> IF(RegistroEntradas[[#This Row],[Data do Caixa Previsto]]="",0,MONTH(RegistroEntradas[[#This Row],[Data do Caixa Previsto]]))</f>
        <v>12</v>
      </c>
      <c r="N170">
        <f xml:space="preserve"> IF(RegistroEntradas[[#This Row],[Data do Caixa Previsto]]="",0,YEAR(RegistroEntradas[[#This Row],[Data do Caixa Previsto]]))</f>
        <v>2018</v>
      </c>
      <c r="O170" t="str">
        <f ca="1">IF(AND(RegistroEntradas[[#This Row],[Data do Caixa Previsto]]&lt;TODAY(),RegistroEntradas[[#This Row],[Data do Caixa Realizado]]=""),"Vencida","Paga")</f>
        <v>Paga</v>
      </c>
      <c r="P170" t="str">
        <f xml:space="preserve"> IF(RegistroEntradas[[#This Row],[Data da Competência]]=RegistroEntradas[[#This Row],[Data do Caixa Previsto]],"À Vista","À Prazo")</f>
        <v>À Prazo</v>
      </c>
      <c r="Q170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171" spans="2:17" ht="20.100000000000001" customHeight="1" x14ac:dyDescent="0.25">
      <c r="B171" s="9">
        <v>43497.817197182514</v>
      </c>
      <c r="C171" s="9">
        <v>43455</v>
      </c>
      <c r="D171" s="9">
        <v>43497.817197182514</v>
      </c>
      <c r="E171" t="s">
        <v>24</v>
      </c>
      <c r="F171" t="s">
        <v>33</v>
      </c>
      <c r="G171" t="s">
        <v>221</v>
      </c>
      <c r="H171" s="10">
        <v>1168</v>
      </c>
      <c r="I171">
        <f>IF(RegistroEntradas[[#This Row],[Data do Caixa Realizado]] = "", 0, MONTH(RegistroEntradas[[#This Row],[Data do Caixa Realizado]]))</f>
        <v>2</v>
      </c>
      <c r="J171">
        <f>IF(RegistroEntradas[[#This Row],[Data do Caixa Realizado]] = "",0,YEAR(RegistroEntradas[[#This Row],[Data do Caixa Realizado]]))</f>
        <v>2019</v>
      </c>
      <c r="K171">
        <f xml:space="preserve"> IF(RegistroEntradas[[#This Row],[Data da Competência]] = "", 0, MONTH(RegistroEntradas[[#This Row],[Data da Competência]]))</f>
        <v>12</v>
      </c>
      <c r="L171">
        <f xml:space="preserve"> IF(RegistroEntradas[[#This Row],[Data da Competência]] = "", 0, YEAR(RegistroEntradas[[#This Row],[Data da Competência]]))</f>
        <v>2018</v>
      </c>
      <c r="M171">
        <f xml:space="preserve"> IF(RegistroEntradas[[#This Row],[Data do Caixa Previsto]]="",0,MONTH(RegistroEntradas[[#This Row],[Data do Caixa Previsto]]))</f>
        <v>2</v>
      </c>
      <c r="N171">
        <f xml:space="preserve"> IF(RegistroEntradas[[#This Row],[Data do Caixa Previsto]]="",0,YEAR(RegistroEntradas[[#This Row],[Data do Caixa Previsto]]))</f>
        <v>2019</v>
      </c>
      <c r="O171" t="str">
        <f ca="1">IF(AND(RegistroEntradas[[#This Row],[Data do Caixa Previsto]]&lt;TODAY(),RegistroEntradas[[#This Row],[Data do Caixa Realizado]]=""),"Vencida","Paga")</f>
        <v>Paga</v>
      </c>
      <c r="P171" t="str">
        <f xml:space="preserve"> IF(RegistroEntradas[[#This Row],[Data da Competência]]=RegistroEntradas[[#This Row],[Data do Caixa Previsto]],"À Vista","À Prazo")</f>
        <v>À Prazo</v>
      </c>
      <c r="Q171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172" spans="2:17" ht="20.100000000000001" customHeight="1" x14ac:dyDescent="0.25">
      <c r="B172" s="9">
        <v>43550.908167683869</v>
      </c>
      <c r="C172" s="9">
        <v>43457</v>
      </c>
      <c r="D172" s="9">
        <v>43493.892299226922</v>
      </c>
      <c r="E172" t="s">
        <v>24</v>
      </c>
      <c r="F172" t="s">
        <v>33</v>
      </c>
      <c r="G172" t="s">
        <v>222</v>
      </c>
      <c r="H172" s="10">
        <v>4429</v>
      </c>
      <c r="I172">
        <f>IF(RegistroEntradas[[#This Row],[Data do Caixa Realizado]] = "", 0, MONTH(RegistroEntradas[[#This Row],[Data do Caixa Realizado]]))</f>
        <v>3</v>
      </c>
      <c r="J172">
        <f>IF(RegistroEntradas[[#This Row],[Data do Caixa Realizado]] = "",0,YEAR(RegistroEntradas[[#This Row],[Data do Caixa Realizado]]))</f>
        <v>2019</v>
      </c>
      <c r="K172">
        <f xml:space="preserve"> IF(RegistroEntradas[[#This Row],[Data da Competência]] = "", 0, MONTH(RegistroEntradas[[#This Row],[Data da Competência]]))</f>
        <v>12</v>
      </c>
      <c r="L172">
        <f xml:space="preserve"> IF(RegistroEntradas[[#This Row],[Data da Competência]] = "", 0, YEAR(RegistroEntradas[[#This Row],[Data da Competência]]))</f>
        <v>2018</v>
      </c>
      <c r="M172">
        <f xml:space="preserve"> IF(RegistroEntradas[[#This Row],[Data do Caixa Previsto]]="",0,MONTH(RegistroEntradas[[#This Row],[Data do Caixa Previsto]]))</f>
        <v>1</v>
      </c>
      <c r="N172">
        <f xml:space="preserve"> IF(RegistroEntradas[[#This Row],[Data do Caixa Previsto]]="",0,YEAR(RegistroEntradas[[#This Row],[Data do Caixa Previsto]]))</f>
        <v>2019</v>
      </c>
      <c r="O172" t="str">
        <f ca="1">IF(AND(RegistroEntradas[[#This Row],[Data do Caixa Previsto]]&lt;TODAY(),RegistroEntradas[[#This Row],[Data do Caixa Realizado]]=""),"Vencida","Paga")</f>
        <v>Paga</v>
      </c>
      <c r="P172" t="str">
        <f xml:space="preserve"> IF(RegistroEntradas[[#This Row],[Data da Competência]]=RegistroEntradas[[#This Row],[Data do Caixa Previsto]],"À Vista","À Prazo")</f>
        <v>À Prazo</v>
      </c>
      <c r="Q172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57.015868456946919</v>
      </c>
    </row>
    <row r="173" spans="2:17" ht="20.100000000000001" customHeight="1" x14ac:dyDescent="0.25">
      <c r="B173" s="9">
        <v>43519.692753371986</v>
      </c>
      <c r="C173" s="9">
        <v>43462</v>
      </c>
      <c r="D173" s="9">
        <v>43519.692753371986</v>
      </c>
      <c r="E173" t="s">
        <v>24</v>
      </c>
      <c r="F173" t="s">
        <v>32</v>
      </c>
      <c r="G173" t="s">
        <v>223</v>
      </c>
      <c r="H173" s="10">
        <v>4955</v>
      </c>
      <c r="I173">
        <f>IF(RegistroEntradas[[#This Row],[Data do Caixa Realizado]] = "", 0, MONTH(RegistroEntradas[[#This Row],[Data do Caixa Realizado]]))</f>
        <v>2</v>
      </c>
      <c r="J173">
        <f>IF(RegistroEntradas[[#This Row],[Data do Caixa Realizado]] = "",0,YEAR(RegistroEntradas[[#This Row],[Data do Caixa Realizado]]))</f>
        <v>2019</v>
      </c>
      <c r="K173">
        <f xml:space="preserve"> IF(RegistroEntradas[[#This Row],[Data da Competência]] = "", 0, MONTH(RegistroEntradas[[#This Row],[Data da Competência]]))</f>
        <v>12</v>
      </c>
      <c r="L173">
        <f xml:space="preserve"> IF(RegistroEntradas[[#This Row],[Data da Competência]] = "", 0, YEAR(RegistroEntradas[[#This Row],[Data da Competência]]))</f>
        <v>2018</v>
      </c>
      <c r="M173">
        <f xml:space="preserve"> IF(RegistroEntradas[[#This Row],[Data do Caixa Previsto]]="",0,MONTH(RegistroEntradas[[#This Row],[Data do Caixa Previsto]]))</f>
        <v>2</v>
      </c>
      <c r="N173">
        <f xml:space="preserve"> IF(RegistroEntradas[[#This Row],[Data do Caixa Previsto]]="",0,YEAR(RegistroEntradas[[#This Row],[Data do Caixa Previsto]]))</f>
        <v>2019</v>
      </c>
      <c r="O173" t="str">
        <f ca="1">IF(AND(RegistroEntradas[[#This Row],[Data do Caixa Previsto]]&lt;TODAY(),RegistroEntradas[[#This Row],[Data do Caixa Realizado]]=""),"Vencida","Paga")</f>
        <v>Paga</v>
      </c>
      <c r="P173" t="str">
        <f xml:space="preserve"> IF(RegistroEntradas[[#This Row],[Data da Competência]]=RegistroEntradas[[#This Row],[Data do Caixa Previsto]],"À Vista","À Prazo")</f>
        <v>À Prazo</v>
      </c>
      <c r="Q173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174" spans="2:17" ht="20.100000000000001" customHeight="1" x14ac:dyDescent="0.25">
      <c r="B174" s="9">
        <v>43484.08707667359</v>
      </c>
      <c r="C174" s="9">
        <v>43465</v>
      </c>
      <c r="D174" s="9">
        <v>43483.090606344922</v>
      </c>
      <c r="E174" t="s">
        <v>24</v>
      </c>
      <c r="F174" t="s">
        <v>32</v>
      </c>
      <c r="G174" t="s">
        <v>224</v>
      </c>
      <c r="H174" s="10">
        <v>3201</v>
      </c>
      <c r="I174">
        <f>IF(RegistroEntradas[[#This Row],[Data do Caixa Realizado]] = "", 0, MONTH(RegistroEntradas[[#This Row],[Data do Caixa Realizado]]))</f>
        <v>1</v>
      </c>
      <c r="J174">
        <f>IF(RegistroEntradas[[#This Row],[Data do Caixa Realizado]] = "",0,YEAR(RegistroEntradas[[#This Row],[Data do Caixa Realizado]]))</f>
        <v>2019</v>
      </c>
      <c r="K174">
        <f xml:space="preserve"> IF(RegistroEntradas[[#This Row],[Data da Competência]] = "", 0, MONTH(RegistroEntradas[[#This Row],[Data da Competência]]))</f>
        <v>12</v>
      </c>
      <c r="L174">
        <f xml:space="preserve"> IF(RegistroEntradas[[#This Row],[Data da Competência]] = "", 0, YEAR(RegistroEntradas[[#This Row],[Data da Competência]]))</f>
        <v>2018</v>
      </c>
      <c r="M174">
        <f xml:space="preserve"> IF(RegistroEntradas[[#This Row],[Data do Caixa Previsto]]="",0,MONTH(RegistroEntradas[[#This Row],[Data do Caixa Previsto]]))</f>
        <v>1</v>
      </c>
      <c r="N174">
        <f xml:space="preserve"> IF(RegistroEntradas[[#This Row],[Data do Caixa Previsto]]="",0,YEAR(RegistroEntradas[[#This Row],[Data do Caixa Previsto]]))</f>
        <v>2019</v>
      </c>
      <c r="O174" t="str">
        <f ca="1">IF(AND(RegistroEntradas[[#This Row],[Data do Caixa Previsto]]&lt;TODAY(),RegistroEntradas[[#This Row],[Data do Caixa Realizado]]=""),"Vencida","Paga")</f>
        <v>Paga</v>
      </c>
      <c r="P174" t="str">
        <f xml:space="preserve"> IF(RegistroEntradas[[#This Row],[Data da Competência]]=RegistroEntradas[[#This Row],[Data do Caixa Previsto]],"À Vista","À Prazo")</f>
        <v>À Prazo</v>
      </c>
      <c r="Q174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0.99647032866778318</v>
      </c>
    </row>
    <row r="175" spans="2:17" ht="20.100000000000001" customHeight="1" x14ac:dyDescent="0.25">
      <c r="B175" s="9">
        <v>43511.69240968494</v>
      </c>
      <c r="C175" s="9">
        <v>43469</v>
      </c>
      <c r="D175" s="9">
        <v>43511.69240968494</v>
      </c>
      <c r="E175" t="s">
        <v>24</v>
      </c>
      <c r="F175" t="s">
        <v>31</v>
      </c>
      <c r="G175" t="s">
        <v>225</v>
      </c>
      <c r="H175" s="10">
        <v>3007</v>
      </c>
      <c r="I175">
        <f>IF(RegistroEntradas[[#This Row],[Data do Caixa Realizado]] = "", 0, MONTH(RegistroEntradas[[#This Row],[Data do Caixa Realizado]]))</f>
        <v>2</v>
      </c>
      <c r="J175">
        <f>IF(RegistroEntradas[[#This Row],[Data do Caixa Realizado]] = "",0,YEAR(RegistroEntradas[[#This Row],[Data do Caixa Realizado]]))</f>
        <v>2019</v>
      </c>
      <c r="K175">
        <f xml:space="preserve"> IF(RegistroEntradas[[#This Row],[Data da Competência]] = "", 0, MONTH(RegistroEntradas[[#This Row],[Data da Competência]]))</f>
        <v>1</v>
      </c>
      <c r="L175">
        <f xml:space="preserve"> IF(RegistroEntradas[[#This Row],[Data da Competência]] = "", 0, YEAR(RegistroEntradas[[#This Row],[Data da Competência]]))</f>
        <v>2019</v>
      </c>
      <c r="M175">
        <f xml:space="preserve"> IF(RegistroEntradas[[#This Row],[Data do Caixa Previsto]]="",0,MONTH(RegistroEntradas[[#This Row],[Data do Caixa Previsto]]))</f>
        <v>2</v>
      </c>
      <c r="N175">
        <f xml:space="preserve"> IF(RegistroEntradas[[#This Row],[Data do Caixa Previsto]]="",0,YEAR(RegistroEntradas[[#This Row],[Data do Caixa Previsto]]))</f>
        <v>2019</v>
      </c>
      <c r="O175" t="str">
        <f ca="1">IF(AND(RegistroEntradas[[#This Row],[Data do Caixa Previsto]]&lt;TODAY(),RegistroEntradas[[#This Row],[Data do Caixa Realizado]]=""),"Vencida","Paga")</f>
        <v>Paga</v>
      </c>
      <c r="P175" t="str">
        <f xml:space="preserve"> IF(RegistroEntradas[[#This Row],[Data da Competência]]=RegistroEntradas[[#This Row],[Data do Caixa Previsto]],"À Vista","À Prazo")</f>
        <v>À Prazo</v>
      </c>
      <c r="Q175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176" spans="2:17" ht="20.100000000000001" customHeight="1" x14ac:dyDescent="0.25">
      <c r="B176" s="9">
        <v>43511.114471984198</v>
      </c>
      <c r="C176" s="9">
        <v>43473</v>
      </c>
      <c r="D176" s="9">
        <v>43511.114471984198</v>
      </c>
      <c r="E176" t="s">
        <v>24</v>
      </c>
      <c r="F176" t="s">
        <v>33</v>
      </c>
      <c r="G176" t="s">
        <v>226</v>
      </c>
      <c r="H176" s="10">
        <v>900</v>
      </c>
      <c r="I176">
        <f>IF(RegistroEntradas[[#This Row],[Data do Caixa Realizado]] = "", 0, MONTH(RegistroEntradas[[#This Row],[Data do Caixa Realizado]]))</f>
        <v>2</v>
      </c>
      <c r="J176">
        <f>IF(RegistroEntradas[[#This Row],[Data do Caixa Realizado]] = "",0,YEAR(RegistroEntradas[[#This Row],[Data do Caixa Realizado]]))</f>
        <v>2019</v>
      </c>
      <c r="K176">
        <f xml:space="preserve"> IF(RegistroEntradas[[#This Row],[Data da Competência]] = "", 0, MONTH(RegistroEntradas[[#This Row],[Data da Competência]]))</f>
        <v>1</v>
      </c>
      <c r="L176">
        <f xml:space="preserve"> IF(RegistroEntradas[[#This Row],[Data da Competência]] = "", 0, YEAR(RegistroEntradas[[#This Row],[Data da Competência]]))</f>
        <v>2019</v>
      </c>
      <c r="M176">
        <f xml:space="preserve"> IF(RegistroEntradas[[#This Row],[Data do Caixa Previsto]]="",0,MONTH(RegistroEntradas[[#This Row],[Data do Caixa Previsto]]))</f>
        <v>2</v>
      </c>
      <c r="N176">
        <f xml:space="preserve"> IF(RegistroEntradas[[#This Row],[Data do Caixa Previsto]]="",0,YEAR(RegistroEntradas[[#This Row],[Data do Caixa Previsto]]))</f>
        <v>2019</v>
      </c>
      <c r="O176" t="str">
        <f ca="1">IF(AND(RegistroEntradas[[#This Row],[Data do Caixa Previsto]]&lt;TODAY(),RegistroEntradas[[#This Row],[Data do Caixa Realizado]]=""),"Vencida","Paga")</f>
        <v>Paga</v>
      </c>
      <c r="P176" t="str">
        <f xml:space="preserve"> IF(RegistroEntradas[[#This Row],[Data da Competência]]=RegistroEntradas[[#This Row],[Data do Caixa Previsto]],"À Vista","À Prazo")</f>
        <v>À Prazo</v>
      </c>
      <c r="Q176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177" spans="2:17" ht="20.100000000000001" customHeight="1" x14ac:dyDescent="0.25">
      <c r="B177" s="9">
        <v>43509.221158562403</v>
      </c>
      <c r="C177" s="9">
        <v>43478</v>
      </c>
      <c r="D177" s="9">
        <v>43509.221158562403</v>
      </c>
      <c r="E177" t="s">
        <v>24</v>
      </c>
      <c r="F177" t="s">
        <v>32</v>
      </c>
      <c r="G177" t="s">
        <v>227</v>
      </c>
      <c r="H177" s="10">
        <v>2970</v>
      </c>
      <c r="I177">
        <f>IF(RegistroEntradas[[#This Row],[Data do Caixa Realizado]] = "", 0, MONTH(RegistroEntradas[[#This Row],[Data do Caixa Realizado]]))</f>
        <v>2</v>
      </c>
      <c r="J177">
        <f>IF(RegistroEntradas[[#This Row],[Data do Caixa Realizado]] = "",0,YEAR(RegistroEntradas[[#This Row],[Data do Caixa Realizado]]))</f>
        <v>2019</v>
      </c>
      <c r="K177">
        <f xml:space="preserve"> IF(RegistroEntradas[[#This Row],[Data da Competência]] = "", 0, MONTH(RegistroEntradas[[#This Row],[Data da Competência]]))</f>
        <v>1</v>
      </c>
      <c r="L177">
        <f xml:space="preserve"> IF(RegistroEntradas[[#This Row],[Data da Competência]] = "", 0, YEAR(RegistroEntradas[[#This Row],[Data da Competência]]))</f>
        <v>2019</v>
      </c>
      <c r="M177">
        <f xml:space="preserve"> IF(RegistroEntradas[[#This Row],[Data do Caixa Previsto]]="",0,MONTH(RegistroEntradas[[#This Row],[Data do Caixa Previsto]]))</f>
        <v>2</v>
      </c>
      <c r="N177">
        <f xml:space="preserve"> IF(RegistroEntradas[[#This Row],[Data do Caixa Previsto]]="",0,YEAR(RegistroEntradas[[#This Row],[Data do Caixa Previsto]]))</f>
        <v>2019</v>
      </c>
      <c r="O177" t="str">
        <f ca="1">IF(AND(RegistroEntradas[[#This Row],[Data do Caixa Previsto]]&lt;TODAY(),RegistroEntradas[[#This Row],[Data do Caixa Realizado]]=""),"Vencida","Paga")</f>
        <v>Paga</v>
      </c>
      <c r="P177" t="str">
        <f xml:space="preserve"> IF(RegistroEntradas[[#This Row],[Data da Competência]]=RegistroEntradas[[#This Row],[Data do Caixa Previsto]],"À Vista","À Prazo")</f>
        <v>À Prazo</v>
      </c>
      <c r="Q177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178" spans="2:17" ht="20.100000000000001" customHeight="1" x14ac:dyDescent="0.25">
      <c r="B178" s="9">
        <v>43601.782099050732</v>
      </c>
      <c r="C178" s="9">
        <v>43482</v>
      </c>
      <c r="D178" s="9">
        <v>43538.543475375038</v>
      </c>
      <c r="E178" t="s">
        <v>24</v>
      </c>
      <c r="F178" t="s">
        <v>29</v>
      </c>
      <c r="G178" t="s">
        <v>228</v>
      </c>
      <c r="H178" s="10">
        <v>4993</v>
      </c>
      <c r="I178">
        <f>IF(RegistroEntradas[[#This Row],[Data do Caixa Realizado]] = "", 0, MONTH(RegistroEntradas[[#This Row],[Data do Caixa Realizado]]))</f>
        <v>5</v>
      </c>
      <c r="J178">
        <f>IF(RegistroEntradas[[#This Row],[Data do Caixa Realizado]] = "",0,YEAR(RegistroEntradas[[#This Row],[Data do Caixa Realizado]]))</f>
        <v>2019</v>
      </c>
      <c r="K178">
        <f xml:space="preserve"> IF(RegistroEntradas[[#This Row],[Data da Competência]] = "", 0, MONTH(RegistroEntradas[[#This Row],[Data da Competência]]))</f>
        <v>1</v>
      </c>
      <c r="L178">
        <f xml:space="preserve"> IF(RegistroEntradas[[#This Row],[Data da Competência]] = "", 0, YEAR(RegistroEntradas[[#This Row],[Data da Competência]]))</f>
        <v>2019</v>
      </c>
      <c r="M178">
        <f xml:space="preserve"> IF(RegistroEntradas[[#This Row],[Data do Caixa Previsto]]="",0,MONTH(RegistroEntradas[[#This Row],[Data do Caixa Previsto]]))</f>
        <v>3</v>
      </c>
      <c r="N178">
        <f xml:space="preserve"> IF(RegistroEntradas[[#This Row],[Data do Caixa Previsto]]="",0,YEAR(RegistroEntradas[[#This Row],[Data do Caixa Previsto]]))</f>
        <v>2019</v>
      </c>
      <c r="O178" t="str">
        <f ca="1">IF(AND(RegistroEntradas[[#This Row],[Data do Caixa Previsto]]&lt;TODAY(),RegistroEntradas[[#This Row],[Data do Caixa Realizado]]=""),"Vencida","Paga")</f>
        <v>Paga</v>
      </c>
      <c r="P178" t="str">
        <f xml:space="preserve"> IF(RegistroEntradas[[#This Row],[Data da Competência]]=RegistroEntradas[[#This Row],[Data do Caixa Previsto]],"À Vista","À Prazo")</f>
        <v>À Prazo</v>
      </c>
      <c r="Q178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63.238623675693816</v>
      </c>
    </row>
    <row r="179" spans="2:17" ht="20.100000000000001" customHeight="1" x14ac:dyDescent="0.25">
      <c r="B179" s="9">
        <v>43485.955494346097</v>
      </c>
      <c r="C179" s="9">
        <v>43485</v>
      </c>
      <c r="D179" s="9">
        <v>43485.955494346097</v>
      </c>
      <c r="E179" t="s">
        <v>24</v>
      </c>
      <c r="F179" t="s">
        <v>33</v>
      </c>
      <c r="G179" t="s">
        <v>229</v>
      </c>
      <c r="H179" s="10">
        <v>1664</v>
      </c>
      <c r="I179">
        <f>IF(RegistroEntradas[[#This Row],[Data do Caixa Realizado]] = "", 0, MONTH(RegistroEntradas[[#This Row],[Data do Caixa Realizado]]))</f>
        <v>1</v>
      </c>
      <c r="J179">
        <f>IF(RegistroEntradas[[#This Row],[Data do Caixa Realizado]] = "",0,YEAR(RegistroEntradas[[#This Row],[Data do Caixa Realizado]]))</f>
        <v>2019</v>
      </c>
      <c r="K179">
        <f xml:space="preserve"> IF(RegistroEntradas[[#This Row],[Data da Competência]] = "", 0, MONTH(RegistroEntradas[[#This Row],[Data da Competência]]))</f>
        <v>1</v>
      </c>
      <c r="L179">
        <f xml:space="preserve"> IF(RegistroEntradas[[#This Row],[Data da Competência]] = "", 0, YEAR(RegistroEntradas[[#This Row],[Data da Competência]]))</f>
        <v>2019</v>
      </c>
      <c r="M179">
        <f xml:space="preserve"> IF(RegistroEntradas[[#This Row],[Data do Caixa Previsto]]="",0,MONTH(RegistroEntradas[[#This Row],[Data do Caixa Previsto]]))</f>
        <v>1</v>
      </c>
      <c r="N179">
        <f xml:space="preserve"> IF(RegistroEntradas[[#This Row],[Data do Caixa Previsto]]="",0,YEAR(RegistroEntradas[[#This Row],[Data do Caixa Previsto]]))</f>
        <v>2019</v>
      </c>
      <c r="O179" t="str">
        <f ca="1">IF(AND(RegistroEntradas[[#This Row],[Data do Caixa Previsto]]&lt;TODAY(),RegistroEntradas[[#This Row],[Data do Caixa Realizado]]=""),"Vencida","Paga")</f>
        <v>Paga</v>
      </c>
      <c r="P179" t="str">
        <f xml:space="preserve"> IF(RegistroEntradas[[#This Row],[Data da Competência]]=RegistroEntradas[[#This Row],[Data do Caixa Previsto]],"À Vista","À Prazo")</f>
        <v>À Prazo</v>
      </c>
      <c r="Q179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180" spans="2:17" ht="20.100000000000001" customHeight="1" x14ac:dyDescent="0.25">
      <c r="B180" s="9">
        <v>43522.615238592094</v>
      </c>
      <c r="C180" s="9">
        <v>43486</v>
      </c>
      <c r="D180" s="9">
        <v>43522.615238592094</v>
      </c>
      <c r="E180" t="s">
        <v>24</v>
      </c>
      <c r="F180" t="s">
        <v>32</v>
      </c>
      <c r="G180" t="s">
        <v>230</v>
      </c>
      <c r="H180" s="10">
        <v>1815</v>
      </c>
      <c r="I180">
        <f>IF(RegistroEntradas[[#This Row],[Data do Caixa Realizado]] = "", 0, MONTH(RegistroEntradas[[#This Row],[Data do Caixa Realizado]]))</f>
        <v>2</v>
      </c>
      <c r="J180">
        <f>IF(RegistroEntradas[[#This Row],[Data do Caixa Realizado]] = "",0,YEAR(RegistroEntradas[[#This Row],[Data do Caixa Realizado]]))</f>
        <v>2019</v>
      </c>
      <c r="K180">
        <f xml:space="preserve"> IF(RegistroEntradas[[#This Row],[Data da Competência]] = "", 0, MONTH(RegistroEntradas[[#This Row],[Data da Competência]]))</f>
        <v>1</v>
      </c>
      <c r="L180">
        <f xml:space="preserve"> IF(RegistroEntradas[[#This Row],[Data da Competência]] = "", 0, YEAR(RegistroEntradas[[#This Row],[Data da Competência]]))</f>
        <v>2019</v>
      </c>
      <c r="M180">
        <f xml:space="preserve"> IF(RegistroEntradas[[#This Row],[Data do Caixa Previsto]]="",0,MONTH(RegistroEntradas[[#This Row],[Data do Caixa Previsto]]))</f>
        <v>2</v>
      </c>
      <c r="N180">
        <f xml:space="preserve"> IF(RegistroEntradas[[#This Row],[Data do Caixa Previsto]]="",0,YEAR(RegistroEntradas[[#This Row],[Data do Caixa Previsto]]))</f>
        <v>2019</v>
      </c>
      <c r="O180" t="str">
        <f ca="1">IF(AND(RegistroEntradas[[#This Row],[Data do Caixa Previsto]]&lt;TODAY(),RegistroEntradas[[#This Row],[Data do Caixa Realizado]]=""),"Vencida","Paga")</f>
        <v>Paga</v>
      </c>
      <c r="P180" t="str">
        <f xml:space="preserve"> IF(RegistroEntradas[[#This Row],[Data da Competência]]=RegistroEntradas[[#This Row],[Data do Caixa Previsto]],"À Vista","À Prazo")</f>
        <v>À Prazo</v>
      </c>
      <c r="Q180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181" spans="2:17" ht="20.100000000000001" customHeight="1" x14ac:dyDescent="0.25">
      <c r="B181" s="9">
        <v>43505.043861470636</v>
      </c>
      <c r="C181" s="9">
        <v>43488</v>
      </c>
      <c r="D181" s="9">
        <v>43505.043861470636</v>
      </c>
      <c r="E181" t="s">
        <v>24</v>
      </c>
      <c r="F181" t="s">
        <v>31</v>
      </c>
      <c r="G181" t="s">
        <v>231</v>
      </c>
      <c r="H181" s="10">
        <v>3752</v>
      </c>
      <c r="I181">
        <f>IF(RegistroEntradas[[#This Row],[Data do Caixa Realizado]] = "", 0, MONTH(RegistroEntradas[[#This Row],[Data do Caixa Realizado]]))</f>
        <v>2</v>
      </c>
      <c r="J181">
        <f>IF(RegistroEntradas[[#This Row],[Data do Caixa Realizado]] = "",0,YEAR(RegistroEntradas[[#This Row],[Data do Caixa Realizado]]))</f>
        <v>2019</v>
      </c>
      <c r="K181">
        <f xml:space="preserve"> IF(RegistroEntradas[[#This Row],[Data da Competência]] = "", 0, MONTH(RegistroEntradas[[#This Row],[Data da Competência]]))</f>
        <v>1</v>
      </c>
      <c r="L181">
        <f xml:space="preserve"> IF(RegistroEntradas[[#This Row],[Data da Competência]] = "", 0, YEAR(RegistroEntradas[[#This Row],[Data da Competência]]))</f>
        <v>2019</v>
      </c>
      <c r="M181">
        <f xml:space="preserve"> IF(RegistroEntradas[[#This Row],[Data do Caixa Previsto]]="",0,MONTH(RegistroEntradas[[#This Row],[Data do Caixa Previsto]]))</f>
        <v>2</v>
      </c>
      <c r="N181">
        <f xml:space="preserve"> IF(RegistroEntradas[[#This Row],[Data do Caixa Previsto]]="",0,YEAR(RegistroEntradas[[#This Row],[Data do Caixa Previsto]]))</f>
        <v>2019</v>
      </c>
      <c r="O181" t="str">
        <f ca="1">IF(AND(RegistroEntradas[[#This Row],[Data do Caixa Previsto]]&lt;TODAY(),RegistroEntradas[[#This Row],[Data do Caixa Realizado]]=""),"Vencida","Paga")</f>
        <v>Paga</v>
      </c>
      <c r="P181" t="str">
        <f xml:space="preserve"> IF(RegistroEntradas[[#This Row],[Data da Competência]]=RegistroEntradas[[#This Row],[Data do Caixa Previsto]],"À Vista","À Prazo")</f>
        <v>À Prazo</v>
      </c>
      <c r="Q181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182" spans="2:17" ht="20.100000000000001" customHeight="1" x14ac:dyDescent="0.25">
      <c r="B182" s="9">
        <v>43513.423178401492</v>
      </c>
      <c r="C182" s="9">
        <v>43492</v>
      </c>
      <c r="D182" s="9">
        <v>43513.423178401492</v>
      </c>
      <c r="E182" t="s">
        <v>24</v>
      </c>
      <c r="F182" t="s">
        <v>32</v>
      </c>
      <c r="G182" t="s">
        <v>232</v>
      </c>
      <c r="H182" s="10">
        <v>177</v>
      </c>
      <c r="I182">
        <f>IF(RegistroEntradas[[#This Row],[Data do Caixa Realizado]] = "", 0, MONTH(RegistroEntradas[[#This Row],[Data do Caixa Realizado]]))</f>
        <v>2</v>
      </c>
      <c r="J182">
        <f>IF(RegistroEntradas[[#This Row],[Data do Caixa Realizado]] = "",0,YEAR(RegistroEntradas[[#This Row],[Data do Caixa Realizado]]))</f>
        <v>2019</v>
      </c>
      <c r="K182">
        <f xml:space="preserve"> IF(RegistroEntradas[[#This Row],[Data da Competência]] = "", 0, MONTH(RegistroEntradas[[#This Row],[Data da Competência]]))</f>
        <v>1</v>
      </c>
      <c r="L182">
        <f xml:space="preserve"> IF(RegistroEntradas[[#This Row],[Data da Competência]] = "", 0, YEAR(RegistroEntradas[[#This Row],[Data da Competência]]))</f>
        <v>2019</v>
      </c>
      <c r="M182">
        <f xml:space="preserve"> IF(RegistroEntradas[[#This Row],[Data do Caixa Previsto]]="",0,MONTH(RegistroEntradas[[#This Row],[Data do Caixa Previsto]]))</f>
        <v>2</v>
      </c>
      <c r="N182">
        <f xml:space="preserve"> IF(RegistroEntradas[[#This Row],[Data do Caixa Previsto]]="",0,YEAR(RegistroEntradas[[#This Row],[Data do Caixa Previsto]]))</f>
        <v>2019</v>
      </c>
      <c r="O182" t="str">
        <f ca="1">IF(AND(RegistroEntradas[[#This Row],[Data do Caixa Previsto]]&lt;TODAY(),RegistroEntradas[[#This Row],[Data do Caixa Realizado]]=""),"Vencida","Paga")</f>
        <v>Paga</v>
      </c>
      <c r="P182" t="str">
        <f xml:space="preserve"> IF(RegistroEntradas[[#This Row],[Data da Competência]]=RegistroEntradas[[#This Row],[Data do Caixa Previsto]],"À Vista","À Prazo")</f>
        <v>À Prazo</v>
      </c>
      <c r="Q182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183" spans="2:17" ht="20.100000000000001" customHeight="1" x14ac:dyDescent="0.25">
      <c r="B183" s="9">
        <v>43513.404065853094</v>
      </c>
      <c r="C183" s="9">
        <v>43494</v>
      </c>
      <c r="D183" s="9">
        <v>43513.404065853094</v>
      </c>
      <c r="E183" t="s">
        <v>24</v>
      </c>
      <c r="F183" t="s">
        <v>32</v>
      </c>
      <c r="G183" t="s">
        <v>233</v>
      </c>
      <c r="H183" s="10">
        <v>3619</v>
      </c>
      <c r="I183">
        <f>IF(RegistroEntradas[[#This Row],[Data do Caixa Realizado]] = "", 0, MONTH(RegistroEntradas[[#This Row],[Data do Caixa Realizado]]))</f>
        <v>2</v>
      </c>
      <c r="J183">
        <f>IF(RegistroEntradas[[#This Row],[Data do Caixa Realizado]] = "",0,YEAR(RegistroEntradas[[#This Row],[Data do Caixa Realizado]]))</f>
        <v>2019</v>
      </c>
      <c r="K183">
        <f xml:space="preserve"> IF(RegistroEntradas[[#This Row],[Data da Competência]] = "", 0, MONTH(RegistroEntradas[[#This Row],[Data da Competência]]))</f>
        <v>1</v>
      </c>
      <c r="L183">
        <f xml:space="preserve"> IF(RegistroEntradas[[#This Row],[Data da Competência]] = "", 0, YEAR(RegistroEntradas[[#This Row],[Data da Competência]]))</f>
        <v>2019</v>
      </c>
      <c r="M183">
        <f xml:space="preserve"> IF(RegistroEntradas[[#This Row],[Data do Caixa Previsto]]="",0,MONTH(RegistroEntradas[[#This Row],[Data do Caixa Previsto]]))</f>
        <v>2</v>
      </c>
      <c r="N183">
        <f xml:space="preserve"> IF(RegistroEntradas[[#This Row],[Data do Caixa Previsto]]="",0,YEAR(RegistroEntradas[[#This Row],[Data do Caixa Previsto]]))</f>
        <v>2019</v>
      </c>
      <c r="O183" t="str">
        <f ca="1">IF(AND(RegistroEntradas[[#This Row],[Data do Caixa Previsto]]&lt;TODAY(),RegistroEntradas[[#This Row],[Data do Caixa Realizado]]=""),"Vencida","Paga")</f>
        <v>Paga</v>
      </c>
      <c r="P183" t="str">
        <f xml:space="preserve"> IF(RegistroEntradas[[#This Row],[Data da Competência]]=RegistroEntradas[[#This Row],[Data do Caixa Previsto]],"À Vista","À Prazo")</f>
        <v>À Prazo</v>
      </c>
      <c r="Q183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184" spans="2:17" ht="20.100000000000001" customHeight="1" x14ac:dyDescent="0.25">
      <c r="B184" s="9">
        <v>43534.989762344601</v>
      </c>
      <c r="C184" s="9">
        <v>43498</v>
      </c>
      <c r="D184" s="9">
        <v>43534.989762344601</v>
      </c>
      <c r="E184" t="s">
        <v>24</v>
      </c>
      <c r="F184" t="s">
        <v>31</v>
      </c>
      <c r="G184" t="s">
        <v>234</v>
      </c>
      <c r="H184" s="10">
        <v>4030</v>
      </c>
      <c r="I184">
        <f>IF(RegistroEntradas[[#This Row],[Data do Caixa Realizado]] = "", 0, MONTH(RegistroEntradas[[#This Row],[Data do Caixa Realizado]]))</f>
        <v>3</v>
      </c>
      <c r="J184">
        <f>IF(RegistroEntradas[[#This Row],[Data do Caixa Realizado]] = "",0,YEAR(RegistroEntradas[[#This Row],[Data do Caixa Realizado]]))</f>
        <v>2019</v>
      </c>
      <c r="K184">
        <f xml:space="preserve"> IF(RegistroEntradas[[#This Row],[Data da Competência]] = "", 0, MONTH(RegistroEntradas[[#This Row],[Data da Competência]]))</f>
        <v>2</v>
      </c>
      <c r="L184">
        <f xml:space="preserve"> IF(RegistroEntradas[[#This Row],[Data da Competência]] = "", 0, YEAR(RegistroEntradas[[#This Row],[Data da Competência]]))</f>
        <v>2019</v>
      </c>
      <c r="M184">
        <f xml:space="preserve"> IF(RegistroEntradas[[#This Row],[Data do Caixa Previsto]]="",0,MONTH(RegistroEntradas[[#This Row],[Data do Caixa Previsto]]))</f>
        <v>3</v>
      </c>
      <c r="N184">
        <f xml:space="preserve"> IF(RegistroEntradas[[#This Row],[Data do Caixa Previsto]]="",0,YEAR(RegistroEntradas[[#This Row],[Data do Caixa Previsto]]))</f>
        <v>2019</v>
      </c>
      <c r="O184" t="str">
        <f ca="1">IF(AND(RegistroEntradas[[#This Row],[Data do Caixa Previsto]]&lt;TODAY(),RegistroEntradas[[#This Row],[Data do Caixa Realizado]]=""),"Vencida","Paga")</f>
        <v>Paga</v>
      </c>
      <c r="P184" t="str">
        <f xml:space="preserve"> IF(RegistroEntradas[[#This Row],[Data da Competência]]=RegistroEntradas[[#This Row],[Data do Caixa Previsto]],"À Vista","À Prazo")</f>
        <v>À Prazo</v>
      </c>
      <c r="Q184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185" spans="2:17" ht="20.100000000000001" customHeight="1" x14ac:dyDescent="0.25">
      <c r="B185" s="9">
        <v>43512.886043755854</v>
      </c>
      <c r="C185" s="9">
        <v>43501</v>
      </c>
      <c r="D185" s="9">
        <v>43512.886043755854</v>
      </c>
      <c r="E185" t="s">
        <v>24</v>
      </c>
      <c r="F185" t="s">
        <v>31</v>
      </c>
      <c r="G185" t="s">
        <v>235</v>
      </c>
      <c r="H185" s="10">
        <v>4157</v>
      </c>
      <c r="I185">
        <f>IF(RegistroEntradas[[#This Row],[Data do Caixa Realizado]] = "", 0, MONTH(RegistroEntradas[[#This Row],[Data do Caixa Realizado]]))</f>
        <v>2</v>
      </c>
      <c r="J185">
        <f>IF(RegistroEntradas[[#This Row],[Data do Caixa Realizado]] = "",0,YEAR(RegistroEntradas[[#This Row],[Data do Caixa Realizado]]))</f>
        <v>2019</v>
      </c>
      <c r="K185">
        <f xml:space="preserve"> IF(RegistroEntradas[[#This Row],[Data da Competência]] = "", 0, MONTH(RegistroEntradas[[#This Row],[Data da Competência]]))</f>
        <v>2</v>
      </c>
      <c r="L185">
        <f xml:space="preserve"> IF(RegistroEntradas[[#This Row],[Data da Competência]] = "", 0, YEAR(RegistroEntradas[[#This Row],[Data da Competência]]))</f>
        <v>2019</v>
      </c>
      <c r="M185">
        <f xml:space="preserve"> IF(RegistroEntradas[[#This Row],[Data do Caixa Previsto]]="",0,MONTH(RegistroEntradas[[#This Row],[Data do Caixa Previsto]]))</f>
        <v>2</v>
      </c>
      <c r="N185">
        <f xml:space="preserve"> IF(RegistroEntradas[[#This Row],[Data do Caixa Previsto]]="",0,YEAR(RegistroEntradas[[#This Row],[Data do Caixa Previsto]]))</f>
        <v>2019</v>
      </c>
      <c r="O185" t="str">
        <f ca="1">IF(AND(RegistroEntradas[[#This Row],[Data do Caixa Previsto]]&lt;TODAY(),RegistroEntradas[[#This Row],[Data do Caixa Realizado]]=""),"Vencida","Paga")</f>
        <v>Paga</v>
      </c>
      <c r="P185" t="str">
        <f xml:space="preserve"> IF(RegistroEntradas[[#This Row],[Data da Competência]]=RegistroEntradas[[#This Row],[Data do Caixa Previsto]],"À Vista","À Prazo")</f>
        <v>À Prazo</v>
      </c>
      <c r="Q185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186" spans="2:17" ht="20.100000000000001" customHeight="1" x14ac:dyDescent="0.25">
      <c r="B186" s="9">
        <v>43532.824988934779</v>
      </c>
      <c r="C186" s="9">
        <v>43502</v>
      </c>
      <c r="D186" s="9">
        <v>43532.824988934779</v>
      </c>
      <c r="E186" t="s">
        <v>24</v>
      </c>
      <c r="F186" t="s">
        <v>30</v>
      </c>
      <c r="G186" t="s">
        <v>236</v>
      </c>
      <c r="H186" s="10">
        <v>1417</v>
      </c>
      <c r="I186">
        <f>IF(RegistroEntradas[[#This Row],[Data do Caixa Realizado]] = "", 0, MONTH(RegistroEntradas[[#This Row],[Data do Caixa Realizado]]))</f>
        <v>3</v>
      </c>
      <c r="J186">
        <f>IF(RegistroEntradas[[#This Row],[Data do Caixa Realizado]] = "",0,YEAR(RegistroEntradas[[#This Row],[Data do Caixa Realizado]]))</f>
        <v>2019</v>
      </c>
      <c r="K186">
        <f xml:space="preserve"> IF(RegistroEntradas[[#This Row],[Data da Competência]] = "", 0, MONTH(RegistroEntradas[[#This Row],[Data da Competência]]))</f>
        <v>2</v>
      </c>
      <c r="L186">
        <f xml:space="preserve"> IF(RegistroEntradas[[#This Row],[Data da Competência]] = "", 0, YEAR(RegistroEntradas[[#This Row],[Data da Competência]]))</f>
        <v>2019</v>
      </c>
      <c r="M186">
        <f xml:space="preserve"> IF(RegistroEntradas[[#This Row],[Data do Caixa Previsto]]="",0,MONTH(RegistroEntradas[[#This Row],[Data do Caixa Previsto]]))</f>
        <v>3</v>
      </c>
      <c r="N186">
        <f xml:space="preserve"> IF(RegistroEntradas[[#This Row],[Data do Caixa Previsto]]="",0,YEAR(RegistroEntradas[[#This Row],[Data do Caixa Previsto]]))</f>
        <v>2019</v>
      </c>
      <c r="O186" t="str">
        <f ca="1">IF(AND(RegistroEntradas[[#This Row],[Data do Caixa Previsto]]&lt;TODAY(),RegistroEntradas[[#This Row],[Data do Caixa Realizado]]=""),"Vencida","Paga")</f>
        <v>Paga</v>
      </c>
      <c r="P186" t="str">
        <f xml:space="preserve"> IF(RegistroEntradas[[#This Row],[Data da Competência]]=RegistroEntradas[[#This Row],[Data do Caixa Previsto]],"À Vista","À Prazo")</f>
        <v>À Prazo</v>
      </c>
      <c r="Q186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187" spans="2:17" ht="20.100000000000001" customHeight="1" x14ac:dyDescent="0.25">
      <c r="B187" s="9">
        <v>43540.311131757786</v>
      </c>
      <c r="C187" s="9">
        <v>43505</v>
      </c>
      <c r="D187" s="9">
        <v>43540.311131757786</v>
      </c>
      <c r="E187" t="s">
        <v>24</v>
      </c>
      <c r="F187" t="s">
        <v>33</v>
      </c>
      <c r="G187" t="s">
        <v>237</v>
      </c>
      <c r="H187" s="10">
        <v>1117</v>
      </c>
      <c r="I187">
        <f>IF(RegistroEntradas[[#This Row],[Data do Caixa Realizado]] = "", 0, MONTH(RegistroEntradas[[#This Row],[Data do Caixa Realizado]]))</f>
        <v>3</v>
      </c>
      <c r="J187">
        <f>IF(RegistroEntradas[[#This Row],[Data do Caixa Realizado]] = "",0,YEAR(RegistroEntradas[[#This Row],[Data do Caixa Realizado]]))</f>
        <v>2019</v>
      </c>
      <c r="K187">
        <f xml:space="preserve"> IF(RegistroEntradas[[#This Row],[Data da Competência]] = "", 0, MONTH(RegistroEntradas[[#This Row],[Data da Competência]]))</f>
        <v>2</v>
      </c>
      <c r="L187">
        <f xml:space="preserve"> IF(RegistroEntradas[[#This Row],[Data da Competência]] = "", 0, YEAR(RegistroEntradas[[#This Row],[Data da Competência]]))</f>
        <v>2019</v>
      </c>
      <c r="M187">
        <f xml:space="preserve"> IF(RegistroEntradas[[#This Row],[Data do Caixa Previsto]]="",0,MONTH(RegistroEntradas[[#This Row],[Data do Caixa Previsto]]))</f>
        <v>3</v>
      </c>
      <c r="N187">
        <f xml:space="preserve"> IF(RegistroEntradas[[#This Row],[Data do Caixa Previsto]]="",0,YEAR(RegistroEntradas[[#This Row],[Data do Caixa Previsto]]))</f>
        <v>2019</v>
      </c>
      <c r="O187" t="str">
        <f ca="1">IF(AND(RegistroEntradas[[#This Row],[Data do Caixa Previsto]]&lt;TODAY(),RegistroEntradas[[#This Row],[Data do Caixa Realizado]]=""),"Vencida","Paga")</f>
        <v>Paga</v>
      </c>
      <c r="P187" t="str">
        <f xml:space="preserve"> IF(RegistroEntradas[[#This Row],[Data da Competência]]=RegistroEntradas[[#This Row],[Data do Caixa Previsto]],"À Vista","À Prazo")</f>
        <v>À Prazo</v>
      </c>
      <c r="Q187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188" spans="2:17" ht="20.100000000000001" customHeight="1" x14ac:dyDescent="0.25">
      <c r="B188" s="9">
        <v>43541.652544038297</v>
      </c>
      <c r="C188" s="9">
        <v>43506</v>
      </c>
      <c r="D188" s="9">
        <v>43541.652544038297</v>
      </c>
      <c r="E188" t="s">
        <v>24</v>
      </c>
      <c r="F188" t="s">
        <v>29</v>
      </c>
      <c r="G188" t="s">
        <v>238</v>
      </c>
      <c r="H188" s="10">
        <v>4461</v>
      </c>
      <c r="I188">
        <f>IF(RegistroEntradas[[#This Row],[Data do Caixa Realizado]] = "", 0, MONTH(RegistroEntradas[[#This Row],[Data do Caixa Realizado]]))</f>
        <v>3</v>
      </c>
      <c r="J188">
        <f>IF(RegistroEntradas[[#This Row],[Data do Caixa Realizado]] = "",0,YEAR(RegistroEntradas[[#This Row],[Data do Caixa Realizado]]))</f>
        <v>2019</v>
      </c>
      <c r="K188">
        <f xml:space="preserve"> IF(RegistroEntradas[[#This Row],[Data da Competência]] = "", 0, MONTH(RegistroEntradas[[#This Row],[Data da Competência]]))</f>
        <v>2</v>
      </c>
      <c r="L188">
        <f xml:space="preserve"> IF(RegistroEntradas[[#This Row],[Data da Competência]] = "", 0, YEAR(RegistroEntradas[[#This Row],[Data da Competência]]))</f>
        <v>2019</v>
      </c>
      <c r="M188">
        <f xml:space="preserve"> IF(RegistroEntradas[[#This Row],[Data do Caixa Previsto]]="",0,MONTH(RegistroEntradas[[#This Row],[Data do Caixa Previsto]]))</f>
        <v>3</v>
      </c>
      <c r="N188">
        <f xml:space="preserve"> IF(RegistroEntradas[[#This Row],[Data do Caixa Previsto]]="",0,YEAR(RegistroEntradas[[#This Row],[Data do Caixa Previsto]]))</f>
        <v>2019</v>
      </c>
      <c r="O188" t="str">
        <f ca="1">IF(AND(RegistroEntradas[[#This Row],[Data do Caixa Previsto]]&lt;TODAY(),RegistroEntradas[[#This Row],[Data do Caixa Realizado]]=""),"Vencida","Paga")</f>
        <v>Paga</v>
      </c>
      <c r="P188" t="str">
        <f xml:space="preserve"> IF(RegistroEntradas[[#This Row],[Data da Competência]]=RegistroEntradas[[#This Row],[Data do Caixa Previsto]],"À Vista","À Prazo")</f>
        <v>À Prazo</v>
      </c>
      <c r="Q188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189" spans="2:17" ht="20.100000000000001" customHeight="1" x14ac:dyDescent="0.25">
      <c r="B189" s="9">
        <v>43560.051672837129</v>
      </c>
      <c r="C189" s="9">
        <v>43508</v>
      </c>
      <c r="D189" s="9">
        <v>43554.09538121894</v>
      </c>
      <c r="E189" t="s">
        <v>24</v>
      </c>
      <c r="F189" t="s">
        <v>32</v>
      </c>
      <c r="G189" t="s">
        <v>239</v>
      </c>
      <c r="H189" s="10">
        <v>3732</v>
      </c>
      <c r="I189">
        <f>IF(RegistroEntradas[[#This Row],[Data do Caixa Realizado]] = "", 0, MONTH(RegistroEntradas[[#This Row],[Data do Caixa Realizado]]))</f>
        <v>4</v>
      </c>
      <c r="J189">
        <f>IF(RegistroEntradas[[#This Row],[Data do Caixa Realizado]] = "",0,YEAR(RegistroEntradas[[#This Row],[Data do Caixa Realizado]]))</f>
        <v>2019</v>
      </c>
      <c r="K189">
        <f xml:space="preserve"> IF(RegistroEntradas[[#This Row],[Data da Competência]] = "", 0, MONTH(RegistroEntradas[[#This Row],[Data da Competência]]))</f>
        <v>2</v>
      </c>
      <c r="L189">
        <f xml:space="preserve"> IF(RegistroEntradas[[#This Row],[Data da Competência]] = "", 0, YEAR(RegistroEntradas[[#This Row],[Data da Competência]]))</f>
        <v>2019</v>
      </c>
      <c r="M189">
        <f xml:space="preserve"> IF(RegistroEntradas[[#This Row],[Data do Caixa Previsto]]="",0,MONTH(RegistroEntradas[[#This Row],[Data do Caixa Previsto]]))</f>
        <v>3</v>
      </c>
      <c r="N189">
        <f xml:space="preserve"> IF(RegistroEntradas[[#This Row],[Data do Caixa Previsto]]="",0,YEAR(RegistroEntradas[[#This Row],[Data do Caixa Previsto]]))</f>
        <v>2019</v>
      </c>
      <c r="O189" t="str">
        <f ca="1">IF(AND(RegistroEntradas[[#This Row],[Data do Caixa Previsto]]&lt;TODAY(),RegistroEntradas[[#This Row],[Data do Caixa Realizado]]=""),"Vencida","Paga")</f>
        <v>Paga</v>
      </c>
      <c r="P189" t="str">
        <f xml:space="preserve"> IF(RegistroEntradas[[#This Row],[Data da Competência]]=RegistroEntradas[[#This Row],[Data do Caixa Previsto]],"À Vista","À Prazo")</f>
        <v>À Prazo</v>
      </c>
      <c r="Q189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5.9562916181894252</v>
      </c>
    </row>
    <row r="190" spans="2:17" ht="20.100000000000001" customHeight="1" x14ac:dyDescent="0.25">
      <c r="B190" s="9">
        <v>43512.426649972214</v>
      </c>
      <c r="C190" s="9">
        <v>43509</v>
      </c>
      <c r="D190" s="9">
        <v>43512.426649972214</v>
      </c>
      <c r="E190" t="s">
        <v>24</v>
      </c>
      <c r="F190" t="s">
        <v>33</v>
      </c>
      <c r="G190" t="s">
        <v>240</v>
      </c>
      <c r="H190" s="10">
        <v>2024</v>
      </c>
      <c r="I190">
        <f>IF(RegistroEntradas[[#This Row],[Data do Caixa Realizado]] = "", 0, MONTH(RegistroEntradas[[#This Row],[Data do Caixa Realizado]]))</f>
        <v>2</v>
      </c>
      <c r="J190">
        <f>IF(RegistroEntradas[[#This Row],[Data do Caixa Realizado]] = "",0,YEAR(RegistroEntradas[[#This Row],[Data do Caixa Realizado]]))</f>
        <v>2019</v>
      </c>
      <c r="K190">
        <f xml:space="preserve"> IF(RegistroEntradas[[#This Row],[Data da Competência]] = "", 0, MONTH(RegistroEntradas[[#This Row],[Data da Competência]]))</f>
        <v>2</v>
      </c>
      <c r="L190">
        <f xml:space="preserve"> IF(RegistroEntradas[[#This Row],[Data da Competência]] = "", 0, YEAR(RegistroEntradas[[#This Row],[Data da Competência]]))</f>
        <v>2019</v>
      </c>
      <c r="M190">
        <f xml:space="preserve"> IF(RegistroEntradas[[#This Row],[Data do Caixa Previsto]]="",0,MONTH(RegistroEntradas[[#This Row],[Data do Caixa Previsto]]))</f>
        <v>2</v>
      </c>
      <c r="N190">
        <f xml:space="preserve"> IF(RegistroEntradas[[#This Row],[Data do Caixa Previsto]]="",0,YEAR(RegistroEntradas[[#This Row],[Data do Caixa Previsto]]))</f>
        <v>2019</v>
      </c>
      <c r="O190" t="str">
        <f ca="1">IF(AND(RegistroEntradas[[#This Row],[Data do Caixa Previsto]]&lt;TODAY(),RegistroEntradas[[#This Row],[Data do Caixa Realizado]]=""),"Vencida","Paga")</f>
        <v>Paga</v>
      </c>
      <c r="P190" t="str">
        <f xml:space="preserve"> IF(RegistroEntradas[[#This Row],[Data da Competência]]=RegistroEntradas[[#This Row],[Data do Caixa Previsto]],"À Vista","À Prazo")</f>
        <v>À Prazo</v>
      </c>
      <c r="Q190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191" spans="2:17" ht="20.100000000000001" customHeight="1" x14ac:dyDescent="0.25">
      <c r="B191" s="9" t="s">
        <v>64</v>
      </c>
      <c r="C191" s="9">
        <v>43512</v>
      </c>
      <c r="D191" s="9">
        <v>43570.205876707638</v>
      </c>
      <c r="E191" t="s">
        <v>24</v>
      </c>
      <c r="F191" t="s">
        <v>32</v>
      </c>
      <c r="G191" t="s">
        <v>241</v>
      </c>
      <c r="H191" s="10">
        <v>928</v>
      </c>
      <c r="I191">
        <f>IF(RegistroEntradas[[#This Row],[Data do Caixa Realizado]] = "", 0, MONTH(RegistroEntradas[[#This Row],[Data do Caixa Realizado]]))</f>
        <v>0</v>
      </c>
      <c r="J191">
        <f>IF(RegistroEntradas[[#This Row],[Data do Caixa Realizado]] = "",0,YEAR(RegistroEntradas[[#This Row],[Data do Caixa Realizado]]))</f>
        <v>0</v>
      </c>
      <c r="K191">
        <f xml:space="preserve"> IF(RegistroEntradas[[#This Row],[Data da Competência]] = "", 0, MONTH(RegistroEntradas[[#This Row],[Data da Competência]]))</f>
        <v>2</v>
      </c>
      <c r="L191">
        <f xml:space="preserve"> IF(RegistroEntradas[[#This Row],[Data da Competência]] = "", 0, YEAR(RegistroEntradas[[#This Row],[Data da Competência]]))</f>
        <v>2019</v>
      </c>
      <c r="M191">
        <f xml:space="preserve"> IF(RegistroEntradas[[#This Row],[Data do Caixa Previsto]]="",0,MONTH(RegistroEntradas[[#This Row],[Data do Caixa Previsto]]))</f>
        <v>4</v>
      </c>
      <c r="N191">
        <f xml:space="preserve"> IF(RegistroEntradas[[#This Row],[Data do Caixa Previsto]]="",0,YEAR(RegistroEntradas[[#This Row],[Data do Caixa Previsto]]))</f>
        <v>2019</v>
      </c>
      <c r="O191" t="str">
        <f ca="1">IF(AND(RegistroEntradas[[#This Row],[Data do Caixa Previsto]]&lt;TODAY(),RegistroEntradas[[#This Row],[Data do Caixa Realizado]]=""),"Vencida","Paga")</f>
        <v>Vencida</v>
      </c>
      <c r="P191" t="str">
        <f xml:space="preserve"> IF(RegistroEntradas[[#This Row],[Data da Competência]]=RegistroEntradas[[#This Row],[Data do Caixa Previsto]],"À Vista","À Prazo")</f>
        <v>À Prazo</v>
      </c>
      <c r="Q191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1645.7941232923622</v>
      </c>
    </row>
    <row r="192" spans="2:17" ht="20.100000000000001" customHeight="1" x14ac:dyDescent="0.25">
      <c r="B192" s="9">
        <v>43560.066685649028</v>
      </c>
      <c r="C192" s="9">
        <v>43513</v>
      </c>
      <c r="D192" s="9">
        <v>43560.066685649028</v>
      </c>
      <c r="E192" t="s">
        <v>24</v>
      </c>
      <c r="F192" t="s">
        <v>32</v>
      </c>
      <c r="G192" t="s">
        <v>242</v>
      </c>
      <c r="H192" s="10">
        <v>3557</v>
      </c>
      <c r="I192">
        <f>IF(RegistroEntradas[[#This Row],[Data do Caixa Realizado]] = "", 0, MONTH(RegistroEntradas[[#This Row],[Data do Caixa Realizado]]))</f>
        <v>4</v>
      </c>
      <c r="J192">
        <f>IF(RegistroEntradas[[#This Row],[Data do Caixa Realizado]] = "",0,YEAR(RegistroEntradas[[#This Row],[Data do Caixa Realizado]]))</f>
        <v>2019</v>
      </c>
      <c r="K192">
        <f xml:space="preserve"> IF(RegistroEntradas[[#This Row],[Data da Competência]] = "", 0, MONTH(RegistroEntradas[[#This Row],[Data da Competência]]))</f>
        <v>2</v>
      </c>
      <c r="L192">
        <f xml:space="preserve"> IF(RegistroEntradas[[#This Row],[Data da Competência]] = "", 0, YEAR(RegistroEntradas[[#This Row],[Data da Competência]]))</f>
        <v>2019</v>
      </c>
      <c r="M192">
        <f xml:space="preserve"> IF(RegistroEntradas[[#This Row],[Data do Caixa Previsto]]="",0,MONTH(RegistroEntradas[[#This Row],[Data do Caixa Previsto]]))</f>
        <v>4</v>
      </c>
      <c r="N192">
        <f xml:space="preserve"> IF(RegistroEntradas[[#This Row],[Data do Caixa Previsto]]="",0,YEAR(RegistroEntradas[[#This Row],[Data do Caixa Previsto]]))</f>
        <v>2019</v>
      </c>
      <c r="O192" t="str">
        <f ca="1">IF(AND(RegistroEntradas[[#This Row],[Data do Caixa Previsto]]&lt;TODAY(),RegistroEntradas[[#This Row],[Data do Caixa Realizado]]=""),"Vencida","Paga")</f>
        <v>Paga</v>
      </c>
      <c r="P192" t="str">
        <f xml:space="preserve"> IF(RegistroEntradas[[#This Row],[Data da Competência]]=RegistroEntradas[[#This Row],[Data do Caixa Previsto]],"À Vista","À Prazo")</f>
        <v>À Prazo</v>
      </c>
      <c r="Q192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193" spans="2:17" ht="20.100000000000001" customHeight="1" x14ac:dyDescent="0.25">
      <c r="B193" s="9">
        <v>43540.820705056554</v>
      </c>
      <c r="C193" s="9">
        <v>43514</v>
      </c>
      <c r="D193" s="9">
        <v>43540.820705056554</v>
      </c>
      <c r="E193" t="s">
        <v>24</v>
      </c>
      <c r="F193" t="s">
        <v>33</v>
      </c>
      <c r="G193" t="s">
        <v>243</v>
      </c>
      <c r="H193" s="10">
        <v>741</v>
      </c>
      <c r="I193">
        <f>IF(RegistroEntradas[[#This Row],[Data do Caixa Realizado]] = "", 0, MONTH(RegistroEntradas[[#This Row],[Data do Caixa Realizado]]))</f>
        <v>3</v>
      </c>
      <c r="J193">
        <f>IF(RegistroEntradas[[#This Row],[Data do Caixa Realizado]] = "",0,YEAR(RegistroEntradas[[#This Row],[Data do Caixa Realizado]]))</f>
        <v>2019</v>
      </c>
      <c r="K193">
        <f xml:space="preserve"> IF(RegistroEntradas[[#This Row],[Data da Competência]] = "", 0, MONTH(RegistroEntradas[[#This Row],[Data da Competência]]))</f>
        <v>2</v>
      </c>
      <c r="L193">
        <f xml:space="preserve"> IF(RegistroEntradas[[#This Row],[Data da Competência]] = "", 0, YEAR(RegistroEntradas[[#This Row],[Data da Competência]]))</f>
        <v>2019</v>
      </c>
      <c r="M193">
        <f xml:space="preserve"> IF(RegistroEntradas[[#This Row],[Data do Caixa Previsto]]="",0,MONTH(RegistroEntradas[[#This Row],[Data do Caixa Previsto]]))</f>
        <v>3</v>
      </c>
      <c r="N193">
        <f xml:space="preserve"> IF(RegistroEntradas[[#This Row],[Data do Caixa Previsto]]="",0,YEAR(RegistroEntradas[[#This Row],[Data do Caixa Previsto]]))</f>
        <v>2019</v>
      </c>
      <c r="O193" t="str">
        <f ca="1">IF(AND(RegistroEntradas[[#This Row],[Data do Caixa Previsto]]&lt;TODAY(),RegistroEntradas[[#This Row],[Data do Caixa Realizado]]=""),"Vencida","Paga")</f>
        <v>Paga</v>
      </c>
      <c r="P193" t="str">
        <f xml:space="preserve"> IF(RegistroEntradas[[#This Row],[Data da Competência]]=RegistroEntradas[[#This Row],[Data do Caixa Previsto]],"À Vista","À Prazo")</f>
        <v>À Prazo</v>
      </c>
      <c r="Q193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194" spans="2:17" ht="20.100000000000001" customHeight="1" x14ac:dyDescent="0.25">
      <c r="B194" s="9">
        <v>43548.222942782464</v>
      </c>
      <c r="C194" s="9">
        <v>43517</v>
      </c>
      <c r="D194" s="9">
        <v>43548.222942782464</v>
      </c>
      <c r="E194" t="s">
        <v>24</v>
      </c>
      <c r="F194" t="s">
        <v>33</v>
      </c>
      <c r="G194" t="s">
        <v>244</v>
      </c>
      <c r="H194" s="10">
        <v>850</v>
      </c>
      <c r="I194">
        <f>IF(RegistroEntradas[[#This Row],[Data do Caixa Realizado]] = "", 0, MONTH(RegistroEntradas[[#This Row],[Data do Caixa Realizado]]))</f>
        <v>3</v>
      </c>
      <c r="J194">
        <f>IF(RegistroEntradas[[#This Row],[Data do Caixa Realizado]] = "",0,YEAR(RegistroEntradas[[#This Row],[Data do Caixa Realizado]]))</f>
        <v>2019</v>
      </c>
      <c r="K194">
        <f xml:space="preserve"> IF(RegistroEntradas[[#This Row],[Data da Competência]] = "", 0, MONTH(RegistroEntradas[[#This Row],[Data da Competência]]))</f>
        <v>2</v>
      </c>
      <c r="L194">
        <f xml:space="preserve"> IF(RegistroEntradas[[#This Row],[Data da Competência]] = "", 0, YEAR(RegistroEntradas[[#This Row],[Data da Competência]]))</f>
        <v>2019</v>
      </c>
      <c r="M194">
        <f xml:space="preserve"> IF(RegistroEntradas[[#This Row],[Data do Caixa Previsto]]="",0,MONTH(RegistroEntradas[[#This Row],[Data do Caixa Previsto]]))</f>
        <v>3</v>
      </c>
      <c r="N194">
        <f xml:space="preserve"> IF(RegistroEntradas[[#This Row],[Data do Caixa Previsto]]="",0,YEAR(RegistroEntradas[[#This Row],[Data do Caixa Previsto]]))</f>
        <v>2019</v>
      </c>
      <c r="O194" t="str">
        <f ca="1">IF(AND(RegistroEntradas[[#This Row],[Data do Caixa Previsto]]&lt;TODAY(),RegistroEntradas[[#This Row],[Data do Caixa Realizado]]=""),"Vencida","Paga")</f>
        <v>Paga</v>
      </c>
      <c r="P194" t="str">
        <f xml:space="preserve"> IF(RegistroEntradas[[#This Row],[Data da Competência]]=RegistroEntradas[[#This Row],[Data do Caixa Previsto]],"À Vista","À Prazo")</f>
        <v>À Prazo</v>
      </c>
      <c r="Q194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195" spans="2:17" ht="20.100000000000001" customHeight="1" x14ac:dyDescent="0.25">
      <c r="B195" s="9">
        <v>43625.080024605937</v>
      </c>
      <c r="C195" s="9">
        <v>43522</v>
      </c>
      <c r="D195" s="9">
        <v>43563.814201596448</v>
      </c>
      <c r="E195" t="s">
        <v>24</v>
      </c>
      <c r="F195" t="s">
        <v>32</v>
      </c>
      <c r="G195" t="s">
        <v>245</v>
      </c>
      <c r="H195" s="10">
        <v>4741</v>
      </c>
      <c r="I195">
        <f>IF(RegistroEntradas[[#This Row],[Data do Caixa Realizado]] = "", 0, MONTH(RegistroEntradas[[#This Row],[Data do Caixa Realizado]]))</f>
        <v>6</v>
      </c>
      <c r="J195">
        <f>IF(RegistroEntradas[[#This Row],[Data do Caixa Realizado]] = "",0,YEAR(RegistroEntradas[[#This Row],[Data do Caixa Realizado]]))</f>
        <v>2019</v>
      </c>
      <c r="K195">
        <f xml:space="preserve"> IF(RegistroEntradas[[#This Row],[Data da Competência]] = "", 0, MONTH(RegistroEntradas[[#This Row],[Data da Competência]]))</f>
        <v>2</v>
      </c>
      <c r="L195">
        <f xml:space="preserve"> IF(RegistroEntradas[[#This Row],[Data da Competência]] = "", 0, YEAR(RegistroEntradas[[#This Row],[Data da Competência]]))</f>
        <v>2019</v>
      </c>
      <c r="M195">
        <f xml:space="preserve"> IF(RegistroEntradas[[#This Row],[Data do Caixa Previsto]]="",0,MONTH(RegistroEntradas[[#This Row],[Data do Caixa Previsto]]))</f>
        <v>4</v>
      </c>
      <c r="N195">
        <f xml:space="preserve"> IF(RegistroEntradas[[#This Row],[Data do Caixa Previsto]]="",0,YEAR(RegistroEntradas[[#This Row],[Data do Caixa Previsto]]))</f>
        <v>2019</v>
      </c>
      <c r="O195" t="str">
        <f ca="1">IF(AND(RegistroEntradas[[#This Row],[Data do Caixa Previsto]]&lt;TODAY(),RegistroEntradas[[#This Row],[Data do Caixa Realizado]]=""),"Vencida","Paga")</f>
        <v>Paga</v>
      </c>
      <c r="P195" t="str">
        <f xml:space="preserve"> IF(RegistroEntradas[[#This Row],[Data da Competência]]=RegistroEntradas[[#This Row],[Data do Caixa Previsto]],"À Vista","À Prazo")</f>
        <v>À Prazo</v>
      </c>
      <c r="Q195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61.265823009489395</v>
      </c>
    </row>
    <row r="196" spans="2:17" ht="20.100000000000001" customHeight="1" x14ac:dyDescent="0.25">
      <c r="B196" s="9">
        <v>43571.459066587013</v>
      </c>
      <c r="C196" s="9">
        <v>43525</v>
      </c>
      <c r="D196" s="9">
        <v>43571.459066587013</v>
      </c>
      <c r="E196" t="s">
        <v>24</v>
      </c>
      <c r="F196" t="s">
        <v>30</v>
      </c>
      <c r="G196" t="s">
        <v>246</v>
      </c>
      <c r="H196" s="10">
        <v>471</v>
      </c>
      <c r="I196">
        <f>IF(RegistroEntradas[[#This Row],[Data do Caixa Realizado]] = "", 0, MONTH(RegistroEntradas[[#This Row],[Data do Caixa Realizado]]))</f>
        <v>4</v>
      </c>
      <c r="J196">
        <f>IF(RegistroEntradas[[#This Row],[Data do Caixa Realizado]] = "",0,YEAR(RegistroEntradas[[#This Row],[Data do Caixa Realizado]]))</f>
        <v>2019</v>
      </c>
      <c r="K196">
        <f xml:space="preserve"> IF(RegistroEntradas[[#This Row],[Data da Competência]] = "", 0, MONTH(RegistroEntradas[[#This Row],[Data da Competência]]))</f>
        <v>3</v>
      </c>
      <c r="L196">
        <f xml:space="preserve"> IF(RegistroEntradas[[#This Row],[Data da Competência]] = "", 0, YEAR(RegistroEntradas[[#This Row],[Data da Competência]]))</f>
        <v>2019</v>
      </c>
      <c r="M196">
        <f xml:space="preserve"> IF(RegistroEntradas[[#This Row],[Data do Caixa Previsto]]="",0,MONTH(RegistroEntradas[[#This Row],[Data do Caixa Previsto]]))</f>
        <v>4</v>
      </c>
      <c r="N196">
        <f xml:space="preserve"> IF(RegistroEntradas[[#This Row],[Data do Caixa Previsto]]="",0,YEAR(RegistroEntradas[[#This Row],[Data do Caixa Previsto]]))</f>
        <v>2019</v>
      </c>
      <c r="O196" t="str">
        <f ca="1">IF(AND(RegistroEntradas[[#This Row],[Data do Caixa Previsto]]&lt;TODAY(),RegistroEntradas[[#This Row],[Data do Caixa Realizado]]=""),"Vencida","Paga")</f>
        <v>Paga</v>
      </c>
      <c r="P196" t="str">
        <f xml:space="preserve"> IF(RegistroEntradas[[#This Row],[Data da Competência]]=RegistroEntradas[[#This Row],[Data do Caixa Previsto]],"À Vista","À Prazo")</f>
        <v>À Prazo</v>
      </c>
      <c r="Q196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197" spans="2:17" ht="20.100000000000001" customHeight="1" x14ac:dyDescent="0.25">
      <c r="B197" s="9">
        <v>43590.006789576961</v>
      </c>
      <c r="C197" s="9">
        <v>43527</v>
      </c>
      <c r="D197" s="9">
        <v>43568.716482543525</v>
      </c>
      <c r="E197" t="s">
        <v>24</v>
      </c>
      <c r="F197" t="s">
        <v>30</v>
      </c>
      <c r="G197" t="s">
        <v>247</v>
      </c>
      <c r="H197" s="10">
        <v>517</v>
      </c>
      <c r="I197">
        <f>IF(RegistroEntradas[[#This Row],[Data do Caixa Realizado]] = "", 0, MONTH(RegistroEntradas[[#This Row],[Data do Caixa Realizado]]))</f>
        <v>5</v>
      </c>
      <c r="J197">
        <f>IF(RegistroEntradas[[#This Row],[Data do Caixa Realizado]] = "",0,YEAR(RegistroEntradas[[#This Row],[Data do Caixa Realizado]]))</f>
        <v>2019</v>
      </c>
      <c r="K197">
        <f xml:space="preserve"> IF(RegistroEntradas[[#This Row],[Data da Competência]] = "", 0, MONTH(RegistroEntradas[[#This Row],[Data da Competência]]))</f>
        <v>3</v>
      </c>
      <c r="L197">
        <f xml:space="preserve"> IF(RegistroEntradas[[#This Row],[Data da Competência]] = "", 0, YEAR(RegistroEntradas[[#This Row],[Data da Competência]]))</f>
        <v>2019</v>
      </c>
      <c r="M197">
        <f xml:space="preserve"> IF(RegistroEntradas[[#This Row],[Data do Caixa Previsto]]="",0,MONTH(RegistroEntradas[[#This Row],[Data do Caixa Previsto]]))</f>
        <v>4</v>
      </c>
      <c r="N197">
        <f xml:space="preserve"> IF(RegistroEntradas[[#This Row],[Data do Caixa Previsto]]="",0,YEAR(RegistroEntradas[[#This Row],[Data do Caixa Previsto]]))</f>
        <v>2019</v>
      </c>
      <c r="O197" t="str">
        <f ca="1">IF(AND(RegistroEntradas[[#This Row],[Data do Caixa Previsto]]&lt;TODAY(),RegistroEntradas[[#This Row],[Data do Caixa Realizado]]=""),"Vencida","Paga")</f>
        <v>Paga</v>
      </c>
      <c r="P197" t="str">
        <f xml:space="preserve"> IF(RegistroEntradas[[#This Row],[Data da Competência]]=RegistroEntradas[[#This Row],[Data do Caixa Previsto]],"À Vista","À Prazo")</f>
        <v>À Prazo</v>
      </c>
      <c r="Q197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21.290307033435965</v>
      </c>
    </row>
    <row r="198" spans="2:17" ht="20.100000000000001" customHeight="1" x14ac:dyDescent="0.25">
      <c r="B198" s="9">
        <v>43563.221434488092</v>
      </c>
      <c r="C198" s="9">
        <v>43534</v>
      </c>
      <c r="D198" s="9">
        <v>43563.221434488092</v>
      </c>
      <c r="E198" t="s">
        <v>24</v>
      </c>
      <c r="F198" t="s">
        <v>30</v>
      </c>
      <c r="G198" t="s">
        <v>248</v>
      </c>
      <c r="H198" s="10">
        <v>3034</v>
      </c>
      <c r="I198">
        <f>IF(RegistroEntradas[[#This Row],[Data do Caixa Realizado]] = "", 0, MONTH(RegistroEntradas[[#This Row],[Data do Caixa Realizado]]))</f>
        <v>4</v>
      </c>
      <c r="J198">
        <f>IF(RegistroEntradas[[#This Row],[Data do Caixa Realizado]] = "",0,YEAR(RegistroEntradas[[#This Row],[Data do Caixa Realizado]]))</f>
        <v>2019</v>
      </c>
      <c r="K198">
        <f xml:space="preserve"> IF(RegistroEntradas[[#This Row],[Data da Competência]] = "", 0, MONTH(RegistroEntradas[[#This Row],[Data da Competência]]))</f>
        <v>3</v>
      </c>
      <c r="L198">
        <f xml:space="preserve"> IF(RegistroEntradas[[#This Row],[Data da Competência]] = "", 0, YEAR(RegistroEntradas[[#This Row],[Data da Competência]]))</f>
        <v>2019</v>
      </c>
      <c r="M198">
        <f xml:space="preserve"> IF(RegistroEntradas[[#This Row],[Data do Caixa Previsto]]="",0,MONTH(RegistroEntradas[[#This Row],[Data do Caixa Previsto]]))</f>
        <v>4</v>
      </c>
      <c r="N198">
        <f xml:space="preserve"> IF(RegistroEntradas[[#This Row],[Data do Caixa Previsto]]="",0,YEAR(RegistroEntradas[[#This Row],[Data do Caixa Previsto]]))</f>
        <v>2019</v>
      </c>
      <c r="O198" t="str">
        <f ca="1">IF(AND(RegistroEntradas[[#This Row],[Data do Caixa Previsto]]&lt;TODAY(),RegistroEntradas[[#This Row],[Data do Caixa Realizado]]=""),"Vencida","Paga")</f>
        <v>Paga</v>
      </c>
      <c r="P198" t="str">
        <f xml:space="preserve"> IF(RegistroEntradas[[#This Row],[Data da Competência]]=RegistroEntradas[[#This Row],[Data do Caixa Previsto]],"À Vista","À Prazo")</f>
        <v>À Prazo</v>
      </c>
      <c r="Q198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199" spans="2:17" ht="20.100000000000001" customHeight="1" x14ac:dyDescent="0.25">
      <c r="B199" s="9">
        <v>43578.576921560554</v>
      </c>
      <c r="C199" s="9">
        <v>43537</v>
      </c>
      <c r="D199" s="9">
        <v>43578.576921560554</v>
      </c>
      <c r="E199" t="s">
        <v>24</v>
      </c>
      <c r="F199" t="s">
        <v>32</v>
      </c>
      <c r="G199" t="s">
        <v>249</v>
      </c>
      <c r="H199" s="10">
        <v>3172</v>
      </c>
      <c r="I199">
        <f>IF(RegistroEntradas[[#This Row],[Data do Caixa Realizado]] = "", 0, MONTH(RegistroEntradas[[#This Row],[Data do Caixa Realizado]]))</f>
        <v>4</v>
      </c>
      <c r="J199">
        <f>IF(RegistroEntradas[[#This Row],[Data do Caixa Realizado]] = "",0,YEAR(RegistroEntradas[[#This Row],[Data do Caixa Realizado]]))</f>
        <v>2019</v>
      </c>
      <c r="K199">
        <f xml:space="preserve"> IF(RegistroEntradas[[#This Row],[Data da Competência]] = "", 0, MONTH(RegistroEntradas[[#This Row],[Data da Competência]]))</f>
        <v>3</v>
      </c>
      <c r="L199">
        <f xml:space="preserve"> IF(RegistroEntradas[[#This Row],[Data da Competência]] = "", 0, YEAR(RegistroEntradas[[#This Row],[Data da Competência]]))</f>
        <v>2019</v>
      </c>
      <c r="M199">
        <f xml:space="preserve"> IF(RegistroEntradas[[#This Row],[Data do Caixa Previsto]]="",0,MONTH(RegistroEntradas[[#This Row],[Data do Caixa Previsto]]))</f>
        <v>4</v>
      </c>
      <c r="N199">
        <f xml:space="preserve"> IF(RegistroEntradas[[#This Row],[Data do Caixa Previsto]]="",0,YEAR(RegistroEntradas[[#This Row],[Data do Caixa Previsto]]))</f>
        <v>2019</v>
      </c>
      <c r="O199" t="str">
        <f ca="1">IF(AND(RegistroEntradas[[#This Row],[Data do Caixa Previsto]]&lt;TODAY(),RegistroEntradas[[#This Row],[Data do Caixa Realizado]]=""),"Vencida","Paga")</f>
        <v>Paga</v>
      </c>
      <c r="P199" t="str">
        <f xml:space="preserve"> IF(RegistroEntradas[[#This Row],[Data da Competência]]=RegistroEntradas[[#This Row],[Data do Caixa Previsto]],"À Vista","À Prazo")</f>
        <v>À Prazo</v>
      </c>
      <c r="Q199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200" spans="2:17" ht="20.100000000000001" customHeight="1" x14ac:dyDescent="0.25">
      <c r="B200" s="9">
        <v>43555.68421267363</v>
      </c>
      <c r="C200" s="9">
        <v>43543</v>
      </c>
      <c r="D200" s="9">
        <v>43555.68421267363</v>
      </c>
      <c r="E200" t="s">
        <v>24</v>
      </c>
      <c r="F200" t="s">
        <v>31</v>
      </c>
      <c r="G200" t="s">
        <v>250</v>
      </c>
      <c r="H200" s="10">
        <v>2069</v>
      </c>
      <c r="I200">
        <f>IF(RegistroEntradas[[#This Row],[Data do Caixa Realizado]] = "", 0, MONTH(RegistroEntradas[[#This Row],[Data do Caixa Realizado]]))</f>
        <v>3</v>
      </c>
      <c r="J200">
        <f>IF(RegistroEntradas[[#This Row],[Data do Caixa Realizado]] = "",0,YEAR(RegistroEntradas[[#This Row],[Data do Caixa Realizado]]))</f>
        <v>2019</v>
      </c>
      <c r="K200">
        <f xml:space="preserve"> IF(RegistroEntradas[[#This Row],[Data da Competência]] = "", 0, MONTH(RegistroEntradas[[#This Row],[Data da Competência]]))</f>
        <v>3</v>
      </c>
      <c r="L200">
        <f xml:space="preserve"> IF(RegistroEntradas[[#This Row],[Data da Competência]] = "", 0, YEAR(RegistroEntradas[[#This Row],[Data da Competência]]))</f>
        <v>2019</v>
      </c>
      <c r="M200">
        <f xml:space="preserve"> IF(RegistroEntradas[[#This Row],[Data do Caixa Previsto]]="",0,MONTH(RegistroEntradas[[#This Row],[Data do Caixa Previsto]]))</f>
        <v>3</v>
      </c>
      <c r="N200">
        <f xml:space="preserve"> IF(RegistroEntradas[[#This Row],[Data do Caixa Previsto]]="",0,YEAR(RegistroEntradas[[#This Row],[Data do Caixa Previsto]]))</f>
        <v>2019</v>
      </c>
      <c r="O200" t="str">
        <f ca="1">IF(AND(RegistroEntradas[[#This Row],[Data do Caixa Previsto]]&lt;TODAY(),RegistroEntradas[[#This Row],[Data do Caixa Realizado]]=""),"Vencida","Paga")</f>
        <v>Paga</v>
      </c>
      <c r="P200" t="str">
        <f xml:space="preserve"> IF(RegistroEntradas[[#This Row],[Data da Competência]]=RegistroEntradas[[#This Row],[Data do Caixa Previsto]],"À Vista","À Prazo")</f>
        <v>À Prazo</v>
      </c>
      <c r="Q200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201" spans="2:17" ht="20.100000000000001" customHeight="1" x14ac:dyDescent="0.25">
      <c r="B201" s="9">
        <v>43614.347330751698</v>
      </c>
      <c r="C201" s="9">
        <v>43545</v>
      </c>
      <c r="D201" s="9">
        <v>43559.473956858106</v>
      </c>
      <c r="E201" t="s">
        <v>24</v>
      </c>
      <c r="F201" t="s">
        <v>31</v>
      </c>
      <c r="G201" t="s">
        <v>251</v>
      </c>
      <c r="H201" s="10">
        <v>3849</v>
      </c>
      <c r="I201">
        <f>IF(RegistroEntradas[[#This Row],[Data do Caixa Realizado]] = "", 0, MONTH(RegistroEntradas[[#This Row],[Data do Caixa Realizado]]))</f>
        <v>5</v>
      </c>
      <c r="J201">
        <f>IF(RegistroEntradas[[#This Row],[Data do Caixa Realizado]] = "",0,YEAR(RegistroEntradas[[#This Row],[Data do Caixa Realizado]]))</f>
        <v>2019</v>
      </c>
      <c r="K201">
        <f xml:space="preserve"> IF(RegistroEntradas[[#This Row],[Data da Competência]] = "", 0, MONTH(RegistroEntradas[[#This Row],[Data da Competência]]))</f>
        <v>3</v>
      </c>
      <c r="L201">
        <f xml:space="preserve"> IF(RegistroEntradas[[#This Row],[Data da Competência]] = "", 0, YEAR(RegistroEntradas[[#This Row],[Data da Competência]]))</f>
        <v>2019</v>
      </c>
      <c r="M201">
        <f xml:space="preserve"> IF(RegistroEntradas[[#This Row],[Data do Caixa Previsto]]="",0,MONTH(RegistroEntradas[[#This Row],[Data do Caixa Previsto]]))</f>
        <v>4</v>
      </c>
      <c r="N201">
        <f xml:space="preserve"> IF(RegistroEntradas[[#This Row],[Data do Caixa Previsto]]="",0,YEAR(RegistroEntradas[[#This Row],[Data do Caixa Previsto]]))</f>
        <v>2019</v>
      </c>
      <c r="O201" t="str">
        <f ca="1">IF(AND(RegistroEntradas[[#This Row],[Data do Caixa Previsto]]&lt;TODAY(),RegistroEntradas[[#This Row],[Data do Caixa Realizado]]=""),"Vencida","Paga")</f>
        <v>Paga</v>
      </c>
      <c r="P201" t="str">
        <f xml:space="preserve"> IF(RegistroEntradas[[#This Row],[Data da Competência]]=RegistroEntradas[[#This Row],[Data do Caixa Previsto]],"À Vista","À Prazo")</f>
        <v>À Prazo</v>
      </c>
      <c r="Q201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54.873373893591634</v>
      </c>
    </row>
    <row r="202" spans="2:17" ht="20.100000000000001" customHeight="1" x14ac:dyDescent="0.25">
      <c r="B202" s="9">
        <v>43622.661194715285</v>
      </c>
      <c r="C202" s="9">
        <v>43551</v>
      </c>
      <c r="D202" s="9">
        <v>43586.046958916726</v>
      </c>
      <c r="E202" t="s">
        <v>24</v>
      </c>
      <c r="F202" t="s">
        <v>33</v>
      </c>
      <c r="G202" t="s">
        <v>252</v>
      </c>
      <c r="H202" s="10">
        <v>4141</v>
      </c>
      <c r="I202">
        <f>IF(RegistroEntradas[[#This Row],[Data do Caixa Realizado]] = "", 0, MONTH(RegistroEntradas[[#This Row],[Data do Caixa Realizado]]))</f>
        <v>6</v>
      </c>
      <c r="J202">
        <f>IF(RegistroEntradas[[#This Row],[Data do Caixa Realizado]] = "",0,YEAR(RegistroEntradas[[#This Row],[Data do Caixa Realizado]]))</f>
        <v>2019</v>
      </c>
      <c r="K202">
        <f xml:space="preserve"> IF(RegistroEntradas[[#This Row],[Data da Competência]] = "", 0, MONTH(RegistroEntradas[[#This Row],[Data da Competência]]))</f>
        <v>3</v>
      </c>
      <c r="L202">
        <f xml:space="preserve"> IF(RegistroEntradas[[#This Row],[Data da Competência]] = "", 0, YEAR(RegistroEntradas[[#This Row],[Data da Competência]]))</f>
        <v>2019</v>
      </c>
      <c r="M202">
        <f xml:space="preserve"> IF(RegistroEntradas[[#This Row],[Data do Caixa Previsto]]="",0,MONTH(RegistroEntradas[[#This Row],[Data do Caixa Previsto]]))</f>
        <v>5</v>
      </c>
      <c r="N202">
        <f xml:space="preserve"> IF(RegistroEntradas[[#This Row],[Data do Caixa Previsto]]="",0,YEAR(RegistroEntradas[[#This Row],[Data do Caixa Previsto]]))</f>
        <v>2019</v>
      </c>
      <c r="O202" t="str">
        <f ca="1">IF(AND(RegistroEntradas[[#This Row],[Data do Caixa Previsto]]&lt;TODAY(),RegistroEntradas[[#This Row],[Data do Caixa Realizado]]=""),"Vencida","Paga")</f>
        <v>Paga</v>
      </c>
      <c r="P202" t="str">
        <f xml:space="preserve"> IF(RegistroEntradas[[#This Row],[Data da Competência]]=RegistroEntradas[[#This Row],[Data do Caixa Previsto]],"À Vista","À Prazo")</f>
        <v>À Prazo</v>
      </c>
      <c r="Q202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36.614235798559093</v>
      </c>
    </row>
    <row r="203" spans="2:17" ht="20.100000000000001" customHeight="1" x14ac:dyDescent="0.25">
      <c r="B203" s="9" t="s">
        <v>64</v>
      </c>
      <c r="C203" s="9">
        <v>43552</v>
      </c>
      <c r="D203" s="9">
        <v>43586.891175257784</v>
      </c>
      <c r="E203" t="s">
        <v>24</v>
      </c>
      <c r="F203" t="s">
        <v>33</v>
      </c>
      <c r="G203" t="s">
        <v>253</v>
      </c>
      <c r="H203" s="10">
        <v>1348</v>
      </c>
      <c r="I203">
        <f>IF(RegistroEntradas[[#This Row],[Data do Caixa Realizado]] = "", 0, MONTH(RegistroEntradas[[#This Row],[Data do Caixa Realizado]]))</f>
        <v>0</v>
      </c>
      <c r="J203">
        <f>IF(RegistroEntradas[[#This Row],[Data do Caixa Realizado]] = "",0,YEAR(RegistroEntradas[[#This Row],[Data do Caixa Realizado]]))</f>
        <v>0</v>
      </c>
      <c r="K203">
        <f xml:space="preserve"> IF(RegistroEntradas[[#This Row],[Data da Competência]] = "", 0, MONTH(RegistroEntradas[[#This Row],[Data da Competência]]))</f>
        <v>3</v>
      </c>
      <c r="L203">
        <f xml:space="preserve"> IF(RegistroEntradas[[#This Row],[Data da Competência]] = "", 0, YEAR(RegistroEntradas[[#This Row],[Data da Competência]]))</f>
        <v>2019</v>
      </c>
      <c r="M203">
        <f xml:space="preserve"> IF(RegistroEntradas[[#This Row],[Data do Caixa Previsto]]="",0,MONTH(RegistroEntradas[[#This Row],[Data do Caixa Previsto]]))</f>
        <v>5</v>
      </c>
      <c r="N203">
        <f xml:space="preserve"> IF(RegistroEntradas[[#This Row],[Data do Caixa Previsto]]="",0,YEAR(RegistroEntradas[[#This Row],[Data do Caixa Previsto]]))</f>
        <v>2019</v>
      </c>
      <c r="O203" t="str">
        <f ca="1">IF(AND(RegistroEntradas[[#This Row],[Data do Caixa Previsto]]&lt;TODAY(),RegistroEntradas[[#This Row],[Data do Caixa Realizado]]=""),"Vencida","Paga")</f>
        <v>Vencida</v>
      </c>
      <c r="P203" t="str">
        <f xml:space="preserve"> IF(RegistroEntradas[[#This Row],[Data da Competência]]=RegistroEntradas[[#This Row],[Data do Caixa Previsto]],"À Vista","À Prazo")</f>
        <v>À Prazo</v>
      </c>
      <c r="Q203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1629.1088247422158</v>
      </c>
    </row>
    <row r="204" spans="2:17" ht="20.100000000000001" customHeight="1" x14ac:dyDescent="0.25">
      <c r="B204" s="9">
        <v>43579.560843489548</v>
      </c>
      <c r="C204" s="9">
        <v>43558</v>
      </c>
      <c r="D204" s="9">
        <v>43579.560843489548</v>
      </c>
      <c r="E204" t="s">
        <v>24</v>
      </c>
      <c r="F204" t="s">
        <v>32</v>
      </c>
      <c r="G204" t="s">
        <v>254</v>
      </c>
      <c r="H204" s="10">
        <v>1738</v>
      </c>
      <c r="I204">
        <f>IF(RegistroEntradas[[#This Row],[Data do Caixa Realizado]] = "", 0, MONTH(RegistroEntradas[[#This Row],[Data do Caixa Realizado]]))</f>
        <v>4</v>
      </c>
      <c r="J204">
        <f>IF(RegistroEntradas[[#This Row],[Data do Caixa Realizado]] = "",0,YEAR(RegistroEntradas[[#This Row],[Data do Caixa Realizado]]))</f>
        <v>2019</v>
      </c>
      <c r="K204">
        <f xml:space="preserve"> IF(RegistroEntradas[[#This Row],[Data da Competência]] = "", 0, MONTH(RegistroEntradas[[#This Row],[Data da Competência]]))</f>
        <v>4</v>
      </c>
      <c r="L204">
        <f xml:space="preserve"> IF(RegistroEntradas[[#This Row],[Data da Competência]] = "", 0, YEAR(RegistroEntradas[[#This Row],[Data da Competência]]))</f>
        <v>2019</v>
      </c>
      <c r="M204">
        <f xml:space="preserve"> IF(RegistroEntradas[[#This Row],[Data do Caixa Previsto]]="",0,MONTH(RegistroEntradas[[#This Row],[Data do Caixa Previsto]]))</f>
        <v>4</v>
      </c>
      <c r="N204">
        <f xml:space="preserve"> IF(RegistroEntradas[[#This Row],[Data do Caixa Previsto]]="",0,YEAR(RegistroEntradas[[#This Row],[Data do Caixa Previsto]]))</f>
        <v>2019</v>
      </c>
      <c r="O204" t="str">
        <f ca="1">IF(AND(RegistroEntradas[[#This Row],[Data do Caixa Previsto]]&lt;TODAY(),RegistroEntradas[[#This Row],[Data do Caixa Realizado]]=""),"Vencida","Paga")</f>
        <v>Paga</v>
      </c>
      <c r="P204" t="str">
        <f xml:space="preserve"> IF(RegistroEntradas[[#This Row],[Data da Competência]]=RegistroEntradas[[#This Row],[Data do Caixa Previsto]],"À Vista","À Prazo")</f>
        <v>À Prazo</v>
      </c>
      <c r="Q204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205" spans="2:17" ht="20.100000000000001" customHeight="1" x14ac:dyDescent="0.25">
      <c r="B205" s="9">
        <v>43616.927767605004</v>
      </c>
      <c r="C205" s="9">
        <v>43561</v>
      </c>
      <c r="D205" s="9">
        <v>43616.927767605004</v>
      </c>
      <c r="E205" t="s">
        <v>24</v>
      </c>
      <c r="F205" t="s">
        <v>32</v>
      </c>
      <c r="G205" t="s">
        <v>255</v>
      </c>
      <c r="H205" s="10">
        <v>732</v>
      </c>
      <c r="I205">
        <f>IF(RegistroEntradas[[#This Row],[Data do Caixa Realizado]] = "", 0, MONTH(RegistroEntradas[[#This Row],[Data do Caixa Realizado]]))</f>
        <v>5</v>
      </c>
      <c r="J205">
        <f>IF(RegistroEntradas[[#This Row],[Data do Caixa Realizado]] = "",0,YEAR(RegistroEntradas[[#This Row],[Data do Caixa Realizado]]))</f>
        <v>2019</v>
      </c>
      <c r="K205">
        <f xml:space="preserve"> IF(RegistroEntradas[[#This Row],[Data da Competência]] = "", 0, MONTH(RegistroEntradas[[#This Row],[Data da Competência]]))</f>
        <v>4</v>
      </c>
      <c r="L205">
        <f xml:space="preserve"> IF(RegistroEntradas[[#This Row],[Data da Competência]] = "", 0, YEAR(RegistroEntradas[[#This Row],[Data da Competência]]))</f>
        <v>2019</v>
      </c>
      <c r="M205">
        <f xml:space="preserve"> IF(RegistroEntradas[[#This Row],[Data do Caixa Previsto]]="",0,MONTH(RegistroEntradas[[#This Row],[Data do Caixa Previsto]]))</f>
        <v>5</v>
      </c>
      <c r="N205">
        <f xml:space="preserve"> IF(RegistroEntradas[[#This Row],[Data do Caixa Previsto]]="",0,YEAR(RegistroEntradas[[#This Row],[Data do Caixa Previsto]]))</f>
        <v>2019</v>
      </c>
      <c r="O205" t="str">
        <f ca="1">IF(AND(RegistroEntradas[[#This Row],[Data do Caixa Previsto]]&lt;TODAY(),RegistroEntradas[[#This Row],[Data do Caixa Realizado]]=""),"Vencida","Paga")</f>
        <v>Paga</v>
      </c>
      <c r="P205" t="str">
        <f xml:space="preserve"> IF(RegistroEntradas[[#This Row],[Data da Competência]]=RegistroEntradas[[#This Row],[Data do Caixa Previsto]],"À Vista","À Prazo")</f>
        <v>À Prazo</v>
      </c>
      <c r="Q205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206" spans="2:17" ht="20.100000000000001" customHeight="1" x14ac:dyDescent="0.25">
      <c r="B206" s="9">
        <v>43625.82552449884</v>
      </c>
      <c r="C206" s="9">
        <v>43562</v>
      </c>
      <c r="D206" s="9">
        <v>43586.693447907084</v>
      </c>
      <c r="E206" t="s">
        <v>24</v>
      </c>
      <c r="F206" t="s">
        <v>33</v>
      </c>
      <c r="G206" t="s">
        <v>256</v>
      </c>
      <c r="H206" s="10">
        <v>373</v>
      </c>
      <c r="I206">
        <f>IF(RegistroEntradas[[#This Row],[Data do Caixa Realizado]] = "", 0, MONTH(RegistroEntradas[[#This Row],[Data do Caixa Realizado]]))</f>
        <v>6</v>
      </c>
      <c r="J206">
        <f>IF(RegistroEntradas[[#This Row],[Data do Caixa Realizado]] = "",0,YEAR(RegistroEntradas[[#This Row],[Data do Caixa Realizado]]))</f>
        <v>2019</v>
      </c>
      <c r="K206">
        <f xml:space="preserve"> IF(RegistroEntradas[[#This Row],[Data da Competência]] = "", 0, MONTH(RegistroEntradas[[#This Row],[Data da Competência]]))</f>
        <v>4</v>
      </c>
      <c r="L206">
        <f xml:space="preserve"> IF(RegistroEntradas[[#This Row],[Data da Competência]] = "", 0, YEAR(RegistroEntradas[[#This Row],[Data da Competência]]))</f>
        <v>2019</v>
      </c>
      <c r="M206">
        <f xml:space="preserve"> IF(RegistroEntradas[[#This Row],[Data do Caixa Previsto]]="",0,MONTH(RegistroEntradas[[#This Row],[Data do Caixa Previsto]]))</f>
        <v>5</v>
      </c>
      <c r="N206">
        <f xml:space="preserve"> IF(RegistroEntradas[[#This Row],[Data do Caixa Previsto]]="",0,YEAR(RegistroEntradas[[#This Row],[Data do Caixa Previsto]]))</f>
        <v>2019</v>
      </c>
      <c r="O206" t="str">
        <f ca="1">IF(AND(RegistroEntradas[[#This Row],[Data do Caixa Previsto]]&lt;TODAY(),RegistroEntradas[[#This Row],[Data do Caixa Realizado]]=""),"Vencida","Paga")</f>
        <v>Paga</v>
      </c>
      <c r="P206" t="str">
        <f xml:space="preserve"> IF(RegistroEntradas[[#This Row],[Data da Competência]]=RegistroEntradas[[#This Row],[Data do Caixa Previsto]],"À Vista","À Prazo")</f>
        <v>À Prazo</v>
      </c>
      <c r="Q206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39.132076591755322</v>
      </c>
    </row>
    <row r="207" spans="2:17" ht="20.100000000000001" customHeight="1" x14ac:dyDescent="0.25">
      <c r="B207" s="9">
        <v>43680.092544285042</v>
      </c>
      <c r="C207" s="9">
        <v>43564</v>
      </c>
      <c r="D207" s="9">
        <v>43609.201502582175</v>
      </c>
      <c r="E207" t="s">
        <v>24</v>
      </c>
      <c r="F207" t="s">
        <v>30</v>
      </c>
      <c r="G207" t="s">
        <v>257</v>
      </c>
      <c r="H207" s="10">
        <v>609</v>
      </c>
      <c r="I207">
        <f>IF(RegistroEntradas[[#This Row],[Data do Caixa Realizado]] = "", 0, MONTH(RegistroEntradas[[#This Row],[Data do Caixa Realizado]]))</f>
        <v>8</v>
      </c>
      <c r="J207">
        <f>IF(RegistroEntradas[[#This Row],[Data do Caixa Realizado]] = "",0,YEAR(RegistroEntradas[[#This Row],[Data do Caixa Realizado]]))</f>
        <v>2019</v>
      </c>
      <c r="K207">
        <f xml:space="preserve"> IF(RegistroEntradas[[#This Row],[Data da Competência]] = "", 0, MONTH(RegistroEntradas[[#This Row],[Data da Competência]]))</f>
        <v>4</v>
      </c>
      <c r="L207">
        <f xml:space="preserve"> IF(RegistroEntradas[[#This Row],[Data da Competência]] = "", 0, YEAR(RegistroEntradas[[#This Row],[Data da Competência]]))</f>
        <v>2019</v>
      </c>
      <c r="M207">
        <f xml:space="preserve"> IF(RegistroEntradas[[#This Row],[Data do Caixa Previsto]]="",0,MONTH(RegistroEntradas[[#This Row],[Data do Caixa Previsto]]))</f>
        <v>5</v>
      </c>
      <c r="N207">
        <f xml:space="preserve"> IF(RegistroEntradas[[#This Row],[Data do Caixa Previsto]]="",0,YEAR(RegistroEntradas[[#This Row],[Data do Caixa Previsto]]))</f>
        <v>2019</v>
      </c>
      <c r="O207" t="str">
        <f ca="1">IF(AND(RegistroEntradas[[#This Row],[Data do Caixa Previsto]]&lt;TODAY(),RegistroEntradas[[#This Row],[Data do Caixa Realizado]]=""),"Vencida","Paga")</f>
        <v>Paga</v>
      </c>
      <c r="P207" t="str">
        <f xml:space="preserve"> IF(RegistroEntradas[[#This Row],[Data da Competência]]=RegistroEntradas[[#This Row],[Data do Caixa Previsto]],"À Vista","À Prazo")</f>
        <v>À Prazo</v>
      </c>
      <c r="Q207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70.891041702867369</v>
      </c>
    </row>
    <row r="208" spans="2:17" ht="20.100000000000001" customHeight="1" x14ac:dyDescent="0.25">
      <c r="B208" s="9">
        <v>43615.075827004257</v>
      </c>
      <c r="C208" s="9">
        <v>43567</v>
      </c>
      <c r="D208" s="9">
        <v>43615.075827004257</v>
      </c>
      <c r="E208" t="s">
        <v>24</v>
      </c>
      <c r="F208" t="s">
        <v>32</v>
      </c>
      <c r="G208" t="s">
        <v>258</v>
      </c>
      <c r="H208" s="10">
        <v>2883</v>
      </c>
      <c r="I208">
        <f>IF(RegistroEntradas[[#This Row],[Data do Caixa Realizado]] = "", 0, MONTH(RegistroEntradas[[#This Row],[Data do Caixa Realizado]]))</f>
        <v>5</v>
      </c>
      <c r="J208">
        <f>IF(RegistroEntradas[[#This Row],[Data do Caixa Realizado]] = "",0,YEAR(RegistroEntradas[[#This Row],[Data do Caixa Realizado]]))</f>
        <v>2019</v>
      </c>
      <c r="K208">
        <f xml:space="preserve"> IF(RegistroEntradas[[#This Row],[Data da Competência]] = "", 0, MONTH(RegistroEntradas[[#This Row],[Data da Competência]]))</f>
        <v>4</v>
      </c>
      <c r="L208">
        <f xml:space="preserve"> IF(RegistroEntradas[[#This Row],[Data da Competência]] = "", 0, YEAR(RegistroEntradas[[#This Row],[Data da Competência]]))</f>
        <v>2019</v>
      </c>
      <c r="M208">
        <f xml:space="preserve"> IF(RegistroEntradas[[#This Row],[Data do Caixa Previsto]]="",0,MONTH(RegistroEntradas[[#This Row],[Data do Caixa Previsto]]))</f>
        <v>5</v>
      </c>
      <c r="N208">
        <f xml:space="preserve"> IF(RegistroEntradas[[#This Row],[Data do Caixa Previsto]]="",0,YEAR(RegistroEntradas[[#This Row],[Data do Caixa Previsto]]))</f>
        <v>2019</v>
      </c>
      <c r="O208" t="str">
        <f ca="1">IF(AND(RegistroEntradas[[#This Row],[Data do Caixa Previsto]]&lt;TODAY(),RegistroEntradas[[#This Row],[Data do Caixa Realizado]]=""),"Vencida","Paga")</f>
        <v>Paga</v>
      </c>
      <c r="P208" t="str">
        <f xml:space="preserve"> IF(RegistroEntradas[[#This Row],[Data da Competência]]=RegistroEntradas[[#This Row],[Data do Caixa Previsto]],"À Vista","À Prazo")</f>
        <v>À Prazo</v>
      </c>
      <c r="Q208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209" spans="2:17" ht="20.100000000000001" customHeight="1" x14ac:dyDescent="0.25">
      <c r="B209" s="9">
        <v>43570.769485626974</v>
      </c>
      <c r="C209" s="9">
        <v>43569</v>
      </c>
      <c r="D209" s="9">
        <v>43570.769485626974</v>
      </c>
      <c r="E209" t="s">
        <v>24</v>
      </c>
      <c r="F209" t="s">
        <v>30</v>
      </c>
      <c r="G209" t="s">
        <v>259</v>
      </c>
      <c r="H209" s="10">
        <v>4651</v>
      </c>
      <c r="I209">
        <f>IF(RegistroEntradas[[#This Row],[Data do Caixa Realizado]] = "", 0, MONTH(RegistroEntradas[[#This Row],[Data do Caixa Realizado]]))</f>
        <v>4</v>
      </c>
      <c r="J209">
        <f>IF(RegistroEntradas[[#This Row],[Data do Caixa Realizado]] = "",0,YEAR(RegistroEntradas[[#This Row],[Data do Caixa Realizado]]))</f>
        <v>2019</v>
      </c>
      <c r="K209">
        <f xml:space="preserve"> IF(RegistroEntradas[[#This Row],[Data da Competência]] = "", 0, MONTH(RegistroEntradas[[#This Row],[Data da Competência]]))</f>
        <v>4</v>
      </c>
      <c r="L209">
        <f xml:space="preserve"> IF(RegistroEntradas[[#This Row],[Data da Competência]] = "", 0, YEAR(RegistroEntradas[[#This Row],[Data da Competência]]))</f>
        <v>2019</v>
      </c>
      <c r="M209">
        <f xml:space="preserve"> IF(RegistroEntradas[[#This Row],[Data do Caixa Previsto]]="",0,MONTH(RegistroEntradas[[#This Row],[Data do Caixa Previsto]]))</f>
        <v>4</v>
      </c>
      <c r="N209">
        <f xml:space="preserve"> IF(RegistroEntradas[[#This Row],[Data do Caixa Previsto]]="",0,YEAR(RegistroEntradas[[#This Row],[Data do Caixa Previsto]]))</f>
        <v>2019</v>
      </c>
      <c r="O209" t="str">
        <f ca="1">IF(AND(RegistroEntradas[[#This Row],[Data do Caixa Previsto]]&lt;TODAY(),RegistroEntradas[[#This Row],[Data do Caixa Realizado]]=""),"Vencida","Paga")</f>
        <v>Paga</v>
      </c>
      <c r="P209" t="str">
        <f xml:space="preserve"> IF(RegistroEntradas[[#This Row],[Data da Competência]]=RegistroEntradas[[#This Row],[Data do Caixa Previsto]],"À Vista","À Prazo")</f>
        <v>À Prazo</v>
      </c>
      <c r="Q209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210" spans="2:17" ht="20.100000000000001" customHeight="1" x14ac:dyDescent="0.25">
      <c r="B210" s="9">
        <v>43579.931861207129</v>
      </c>
      <c r="C210" s="9">
        <v>43573</v>
      </c>
      <c r="D210" s="9">
        <v>43579.931861207129</v>
      </c>
      <c r="E210" t="s">
        <v>24</v>
      </c>
      <c r="F210" t="s">
        <v>30</v>
      </c>
      <c r="G210" t="s">
        <v>260</v>
      </c>
      <c r="H210" s="10">
        <v>4797</v>
      </c>
      <c r="I210">
        <f>IF(RegistroEntradas[[#This Row],[Data do Caixa Realizado]] = "", 0, MONTH(RegistroEntradas[[#This Row],[Data do Caixa Realizado]]))</f>
        <v>4</v>
      </c>
      <c r="J210">
        <f>IF(RegistroEntradas[[#This Row],[Data do Caixa Realizado]] = "",0,YEAR(RegistroEntradas[[#This Row],[Data do Caixa Realizado]]))</f>
        <v>2019</v>
      </c>
      <c r="K210">
        <f xml:space="preserve"> IF(RegistroEntradas[[#This Row],[Data da Competência]] = "", 0, MONTH(RegistroEntradas[[#This Row],[Data da Competência]]))</f>
        <v>4</v>
      </c>
      <c r="L210">
        <f xml:space="preserve"> IF(RegistroEntradas[[#This Row],[Data da Competência]] = "", 0, YEAR(RegistroEntradas[[#This Row],[Data da Competência]]))</f>
        <v>2019</v>
      </c>
      <c r="M210">
        <f xml:space="preserve"> IF(RegistroEntradas[[#This Row],[Data do Caixa Previsto]]="",0,MONTH(RegistroEntradas[[#This Row],[Data do Caixa Previsto]]))</f>
        <v>4</v>
      </c>
      <c r="N210">
        <f xml:space="preserve"> IF(RegistroEntradas[[#This Row],[Data do Caixa Previsto]]="",0,YEAR(RegistroEntradas[[#This Row],[Data do Caixa Previsto]]))</f>
        <v>2019</v>
      </c>
      <c r="O210" t="str">
        <f ca="1">IF(AND(RegistroEntradas[[#This Row],[Data do Caixa Previsto]]&lt;TODAY(),RegistroEntradas[[#This Row],[Data do Caixa Realizado]]=""),"Vencida","Paga")</f>
        <v>Paga</v>
      </c>
      <c r="P210" t="str">
        <f xml:space="preserve"> IF(RegistroEntradas[[#This Row],[Data da Competência]]=RegistroEntradas[[#This Row],[Data do Caixa Previsto]],"À Vista","À Prazo")</f>
        <v>À Prazo</v>
      </c>
      <c r="Q210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211" spans="2:17" ht="20.100000000000001" customHeight="1" x14ac:dyDescent="0.25">
      <c r="B211" s="9">
        <v>43598.937055888804</v>
      </c>
      <c r="C211" s="9">
        <v>43575</v>
      </c>
      <c r="D211" s="9">
        <v>43598.937055888804</v>
      </c>
      <c r="E211" t="s">
        <v>24</v>
      </c>
      <c r="F211" t="s">
        <v>31</v>
      </c>
      <c r="G211" t="s">
        <v>261</v>
      </c>
      <c r="H211" s="10">
        <v>1620</v>
      </c>
      <c r="I211">
        <f>IF(RegistroEntradas[[#This Row],[Data do Caixa Realizado]] = "", 0, MONTH(RegistroEntradas[[#This Row],[Data do Caixa Realizado]]))</f>
        <v>5</v>
      </c>
      <c r="J211">
        <f>IF(RegistroEntradas[[#This Row],[Data do Caixa Realizado]] = "",0,YEAR(RegistroEntradas[[#This Row],[Data do Caixa Realizado]]))</f>
        <v>2019</v>
      </c>
      <c r="K211">
        <f xml:space="preserve"> IF(RegistroEntradas[[#This Row],[Data da Competência]] = "", 0, MONTH(RegistroEntradas[[#This Row],[Data da Competência]]))</f>
        <v>4</v>
      </c>
      <c r="L211">
        <f xml:space="preserve"> IF(RegistroEntradas[[#This Row],[Data da Competência]] = "", 0, YEAR(RegistroEntradas[[#This Row],[Data da Competência]]))</f>
        <v>2019</v>
      </c>
      <c r="M211">
        <f xml:space="preserve"> IF(RegistroEntradas[[#This Row],[Data do Caixa Previsto]]="",0,MONTH(RegistroEntradas[[#This Row],[Data do Caixa Previsto]]))</f>
        <v>5</v>
      </c>
      <c r="N211">
        <f xml:space="preserve"> IF(RegistroEntradas[[#This Row],[Data do Caixa Previsto]]="",0,YEAR(RegistroEntradas[[#This Row],[Data do Caixa Previsto]]))</f>
        <v>2019</v>
      </c>
      <c r="O211" t="str">
        <f ca="1">IF(AND(RegistroEntradas[[#This Row],[Data do Caixa Previsto]]&lt;TODAY(),RegistroEntradas[[#This Row],[Data do Caixa Realizado]]=""),"Vencida","Paga")</f>
        <v>Paga</v>
      </c>
      <c r="P211" t="str">
        <f xml:space="preserve"> IF(RegistroEntradas[[#This Row],[Data da Competência]]=RegistroEntradas[[#This Row],[Data do Caixa Previsto]],"À Vista","À Prazo")</f>
        <v>À Prazo</v>
      </c>
      <c r="Q211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212" spans="2:17" ht="20.100000000000001" customHeight="1" x14ac:dyDescent="0.25">
      <c r="B212" s="9">
        <v>43625.868579479997</v>
      </c>
      <c r="C212" s="9">
        <v>43582</v>
      </c>
      <c r="D212" s="9">
        <v>43625.868579479997</v>
      </c>
      <c r="E212" t="s">
        <v>24</v>
      </c>
      <c r="F212" t="s">
        <v>33</v>
      </c>
      <c r="G212" t="s">
        <v>262</v>
      </c>
      <c r="H212" s="10">
        <v>245</v>
      </c>
      <c r="I212">
        <f>IF(RegistroEntradas[[#This Row],[Data do Caixa Realizado]] = "", 0, MONTH(RegistroEntradas[[#This Row],[Data do Caixa Realizado]]))</f>
        <v>6</v>
      </c>
      <c r="J212">
        <f>IF(RegistroEntradas[[#This Row],[Data do Caixa Realizado]] = "",0,YEAR(RegistroEntradas[[#This Row],[Data do Caixa Realizado]]))</f>
        <v>2019</v>
      </c>
      <c r="K212">
        <f xml:space="preserve"> IF(RegistroEntradas[[#This Row],[Data da Competência]] = "", 0, MONTH(RegistroEntradas[[#This Row],[Data da Competência]]))</f>
        <v>4</v>
      </c>
      <c r="L212">
        <f xml:space="preserve"> IF(RegistroEntradas[[#This Row],[Data da Competência]] = "", 0, YEAR(RegistroEntradas[[#This Row],[Data da Competência]]))</f>
        <v>2019</v>
      </c>
      <c r="M212">
        <f xml:space="preserve"> IF(RegistroEntradas[[#This Row],[Data do Caixa Previsto]]="",0,MONTH(RegistroEntradas[[#This Row],[Data do Caixa Previsto]]))</f>
        <v>6</v>
      </c>
      <c r="N212">
        <f xml:space="preserve"> IF(RegistroEntradas[[#This Row],[Data do Caixa Previsto]]="",0,YEAR(RegistroEntradas[[#This Row],[Data do Caixa Previsto]]))</f>
        <v>2019</v>
      </c>
      <c r="O212" t="str">
        <f ca="1">IF(AND(RegistroEntradas[[#This Row],[Data do Caixa Previsto]]&lt;TODAY(),RegistroEntradas[[#This Row],[Data do Caixa Realizado]]=""),"Vencida","Paga")</f>
        <v>Paga</v>
      </c>
      <c r="P212" t="str">
        <f xml:space="preserve"> IF(RegistroEntradas[[#This Row],[Data da Competência]]=RegistroEntradas[[#This Row],[Data do Caixa Previsto]],"À Vista","À Prazo")</f>
        <v>À Prazo</v>
      </c>
      <c r="Q212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213" spans="2:17" ht="20.100000000000001" customHeight="1" x14ac:dyDescent="0.25">
      <c r="B213" s="9">
        <v>43595.986786318994</v>
      </c>
      <c r="C213" s="9">
        <v>43584</v>
      </c>
      <c r="D213" s="9">
        <v>43595.986786318994</v>
      </c>
      <c r="E213" t="s">
        <v>24</v>
      </c>
      <c r="F213" t="s">
        <v>32</v>
      </c>
      <c r="G213" t="s">
        <v>263</v>
      </c>
      <c r="H213" s="10">
        <v>2091</v>
      </c>
      <c r="I213">
        <f>IF(RegistroEntradas[[#This Row],[Data do Caixa Realizado]] = "", 0, MONTH(RegistroEntradas[[#This Row],[Data do Caixa Realizado]]))</f>
        <v>5</v>
      </c>
      <c r="J213">
        <f>IF(RegistroEntradas[[#This Row],[Data do Caixa Realizado]] = "",0,YEAR(RegistroEntradas[[#This Row],[Data do Caixa Realizado]]))</f>
        <v>2019</v>
      </c>
      <c r="K213">
        <f xml:space="preserve"> IF(RegistroEntradas[[#This Row],[Data da Competência]] = "", 0, MONTH(RegistroEntradas[[#This Row],[Data da Competência]]))</f>
        <v>4</v>
      </c>
      <c r="L213">
        <f xml:space="preserve"> IF(RegistroEntradas[[#This Row],[Data da Competência]] = "", 0, YEAR(RegistroEntradas[[#This Row],[Data da Competência]]))</f>
        <v>2019</v>
      </c>
      <c r="M213">
        <f xml:space="preserve"> IF(RegistroEntradas[[#This Row],[Data do Caixa Previsto]]="",0,MONTH(RegistroEntradas[[#This Row],[Data do Caixa Previsto]]))</f>
        <v>5</v>
      </c>
      <c r="N213">
        <f xml:space="preserve"> IF(RegistroEntradas[[#This Row],[Data do Caixa Previsto]]="",0,YEAR(RegistroEntradas[[#This Row],[Data do Caixa Previsto]]))</f>
        <v>2019</v>
      </c>
      <c r="O213" t="str">
        <f ca="1">IF(AND(RegistroEntradas[[#This Row],[Data do Caixa Previsto]]&lt;TODAY(),RegistroEntradas[[#This Row],[Data do Caixa Realizado]]=""),"Vencida","Paga")</f>
        <v>Paga</v>
      </c>
      <c r="P213" t="str">
        <f xml:space="preserve"> IF(RegistroEntradas[[#This Row],[Data da Competência]]=RegistroEntradas[[#This Row],[Data do Caixa Previsto]],"À Vista","À Prazo")</f>
        <v>À Prazo</v>
      </c>
      <c r="Q213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214" spans="2:17" ht="20.100000000000001" customHeight="1" x14ac:dyDescent="0.25">
      <c r="B214" s="9">
        <v>43594.434933470475</v>
      </c>
      <c r="C214" s="9">
        <v>43585</v>
      </c>
      <c r="D214" s="9">
        <v>43594.434933470475</v>
      </c>
      <c r="E214" t="s">
        <v>24</v>
      </c>
      <c r="F214" t="s">
        <v>32</v>
      </c>
      <c r="G214" t="s">
        <v>264</v>
      </c>
      <c r="H214" s="10">
        <v>3200</v>
      </c>
      <c r="I214">
        <f>IF(RegistroEntradas[[#This Row],[Data do Caixa Realizado]] = "", 0, MONTH(RegistroEntradas[[#This Row],[Data do Caixa Realizado]]))</f>
        <v>5</v>
      </c>
      <c r="J214">
        <f>IF(RegistroEntradas[[#This Row],[Data do Caixa Realizado]] = "",0,YEAR(RegistroEntradas[[#This Row],[Data do Caixa Realizado]]))</f>
        <v>2019</v>
      </c>
      <c r="K214">
        <f xml:space="preserve"> IF(RegistroEntradas[[#This Row],[Data da Competência]] = "", 0, MONTH(RegistroEntradas[[#This Row],[Data da Competência]]))</f>
        <v>4</v>
      </c>
      <c r="L214">
        <f xml:space="preserve"> IF(RegistroEntradas[[#This Row],[Data da Competência]] = "", 0, YEAR(RegistroEntradas[[#This Row],[Data da Competência]]))</f>
        <v>2019</v>
      </c>
      <c r="M214">
        <f xml:space="preserve"> IF(RegistroEntradas[[#This Row],[Data do Caixa Previsto]]="",0,MONTH(RegistroEntradas[[#This Row],[Data do Caixa Previsto]]))</f>
        <v>5</v>
      </c>
      <c r="N214">
        <f xml:space="preserve"> IF(RegistroEntradas[[#This Row],[Data do Caixa Previsto]]="",0,YEAR(RegistroEntradas[[#This Row],[Data do Caixa Previsto]]))</f>
        <v>2019</v>
      </c>
      <c r="O214" t="str">
        <f ca="1">IF(AND(RegistroEntradas[[#This Row],[Data do Caixa Previsto]]&lt;TODAY(),RegistroEntradas[[#This Row],[Data do Caixa Realizado]]=""),"Vencida","Paga")</f>
        <v>Paga</v>
      </c>
      <c r="P214" t="str">
        <f xml:space="preserve"> IF(RegistroEntradas[[#This Row],[Data da Competência]]=RegistroEntradas[[#This Row],[Data do Caixa Previsto]],"À Vista","À Prazo")</f>
        <v>À Prazo</v>
      </c>
      <c r="Q214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215" spans="2:17" ht="20.100000000000001" customHeight="1" x14ac:dyDescent="0.25">
      <c r="B215" s="9">
        <v>43604.067998386839</v>
      </c>
      <c r="C215" s="9">
        <v>43587</v>
      </c>
      <c r="D215" s="9">
        <v>43604.067998386839</v>
      </c>
      <c r="E215" t="s">
        <v>24</v>
      </c>
      <c r="F215" t="s">
        <v>33</v>
      </c>
      <c r="G215" t="s">
        <v>265</v>
      </c>
      <c r="H215" s="10">
        <v>583</v>
      </c>
      <c r="I215">
        <f>IF(RegistroEntradas[[#This Row],[Data do Caixa Realizado]] = "", 0, MONTH(RegistroEntradas[[#This Row],[Data do Caixa Realizado]]))</f>
        <v>5</v>
      </c>
      <c r="J215">
        <f>IF(RegistroEntradas[[#This Row],[Data do Caixa Realizado]] = "",0,YEAR(RegistroEntradas[[#This Row],[Data do Caixa Realizado]]))</f>
        <v>2019</v>
      </c>
      <c r="K215">
        <f xml:space="preserve"> IF(RegistroEntradas[[#This Row],[Data da Competência]] = "", 0, MONTH(RegistroEntradas[[#This Row],[Data da Competência]]))</f>
        <v>5</v>
      </c>
      <c r="L215">
        <f xml:space="preserve"> IF(RegistroEntradas[[#This Row],[Data da Competência]] = "", 0, YEAR(RegistroEntradas[[#This Row],[Data da Competência]]))</f>
        <v>2019</v>
      </c>
      <c r="M215">
        <f xml:space="preserve"> IF(RegistroEntradas[[#This Row],[Data do Caixa Previsto]]="",0,MONTH(RegistroEntradas[[#This Row],[Data do Caixa Previsto]]))</f>
        <v>5</v>
      </c>
      <c r="N215">
        <f xml:space="preserve"> IF(RegistroEntradas[[#This Row],[Data do Caixa Previsto]]="",0,YEAR(RegistroEntradas[[#This Row],[Data do Caixa Previsto]]))</f>
        <v>2019</v>
      </c>
      <c r="O215" t="str">
        <f ca="1">IF(AND(RegistroEntradas[[#This Row],[Data do Caixa Previsto]]&lt;TODAY(),RegistroEntradas[[#This Row],[Data do Caixa Realizado]]=""),"Vencida","Paga")</f>
        <v>Paga</v>
      </c>
      <c r="P215" t="str">
        <f xml:space="preserve"> IF(RegistroEntradas[[#This Row],[Data da Competência]]=RegistroEntradas[[#This Row],[Data do Caixa Previsto]],"À Vista","À Prazo")</f>
        <v>À Prazo</v>
      </c>
      <c r="Q215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216" spans="2:17" ht="20.100000000000001" customHeight="1" x14ac:dyDescent="0.25">
      <c r="B216" s="9">
        <v>43626.576857263979</v>
      </c>
      <c r="C216" s="9">
        <v>43590</v>
      </c>
      <c r="D216" s="9">
        <v>43626.576857263979</v>
      </c>
      <c r="E216" t="s">
        <v>24</v>
      </c>
      <c r="F216" t="s">
        <v>32</v>
      </c>
      <c r="G216" t="s">
        <v>266</v>
      </c>
      <c r="H216" s="10">
        <v>4505</v>
      </c>
      <c r="I216">
        <f>IF(RegistroEntradas[[#This Row],[Data do Caixa Realizado]] = "", 0, MONTH(RegistroEntradas[[#This Row],[Data do Caixa Realizado]]))</f>
        <v>6</v>
      </c>
      <c r="J216">
        <f>IF(RegistroEntradas[[#This Row],[Data do Caixa Realizado]] = "",0,YEAR(RegistroEntradas[[#This Row],[Data do Caixa Realizado]]))</f>
        <v>2019</v>
      </c>
      <c r="K216">
        <f xml:space="preserve"> IF(RegistroEntradas[[#This Row],[Data da Competência]] = "", 0, MONTH(RegistroEntradas[[#This Row],[Data da Competência]]))</f>
        <v>5</v>
      </c>
      <c r="L216">
        <f xml:space="preserve"> IF(RegistroEntradas[[#This Row],[Data da Competência]] = "", 0, YEAR(RegistroEntradas[[#This Row],[Data da Competência]]))</f>
        <v>2019</v>
      </c>
      <c r="M216">
        <f xml:space="preserve"> IF(RegistroEntradas[[#This Row],[Data do Caixa Previsto]]="",0,MONTH(RegistroEntradas[[#This Row],[Data do Caixa Previsto]]))</f>
        <v>6</v>
      </c>
      <c r="N216">
        <f xml:space="preserve"> IF(RegistroEntradas[[#This Row],[Data do Caixa Previsto]]="",0,YEAR(RegistroEntradas[[#This Row],[Data do Caixa Previsto]]))</f>
        <v>2019</v>
      </c>
      <c r="O216" t="str">
        <f ca="1">IF(AND(RegistroEntradas[[#This Row],[Data do Caixa Previsto]]&lt;TODAY(),RegistroEntradas[[#This Row],[Data do Caixa Realizado]]=""),"Vencida","Paga")</f>
        <v>Paga</v>
      </c>
      <c r="P216" t="str">
        <f xml:space="preserve"> IF(RegistroEntradas[[#This Row],[Data da Competência]]=RegistroEntradas[[#This Row],[Data do Caixa Previsto]],"À Vista","À Prazo")</f>
        <v>À Prazo</v>
      </c>
      <c r="Q216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217" spans="2:17" ht="20.100000000000001" customHeight="1" x14ac:dyDescent="0.25">
      <c r="B217" s="9">
        <v>43624.539951944804</v>
      </c>
      <c r="C217" s="9">
        <v>43592</v>
      </c>
      <c r="D217" s="9">
        <v>43609.115059144882</v>
      </c>
      <c r="E217" t="s">
        <v>24</v>
      </c>
      <c r="F217" t="s">
        <v>32</v>
      </c>
      <c r="G217" t="s">
        <v>267</v>
      </c>
      <c r="H217" s="10">
        <v>343</v>
      </c>
      <c r="I217">
        <f>IF(RegistroEntradas[[#This Row],[Data do Caixa Realizado]] = "", 0, MONTH(RegistroEntradas[[#This Row],[Data do Caixa Realizado]]))</f>
        <v>6</v>
      </c>
      <c r="J217">
        <f>IF(RegistroEntradas[[#This Row],[Data do Caixa Realizado]] = "",0,YEAR(RegistroEntradas[[#This Row],[Data do Caixa Realizado]]))</f>
        <v>2019</v>
      </c>
      <c r="K217">
        <f xml:space="preserve"> IF(RegistroEntradas[[#This Row],[Data da Competência]] = "", 0, MONTH(RegistroEntradas[[#This Row],[Data da Competência]]))</f>
        <v>5</v>
      </c>
      <c r="L217">
        <f xml:space="preserve"> IF(RegistroEntradas[[#This Row],[Data da Competência]] = "", 0, YEAR(RegistroEntradas[[#This Row],[Data da Competência]]))</f>
        <v>2019</v>
      </c>
      <c r="M217">
        <f xml:space="preserve"> IF(RegistroEntradas[[#This Row],[Data do Caixa Previsto]]="",0,MONTH(RegistroEntradas[[#This Row],[Data do Caixa Previsto]]))</f>
        <v>5</v>
      </c>
      <c r="N217">
        <f xml:space="preserve"> IF(RegistroEntradas[[#This Row],[Data do Caixa Previsto]]="",0,YEAR(RegistroEntradas[[#This Row],[Data do Caixa Previsto]]))</f>
        <v>2019</v>
      </c>
      <c r="O217" t="str">
        <f ca="1">IF(AND(RegistroEntradas[[#This Row],[Data do Caixa Previsto]]&lt;TODAY(),RegistroEntradas[[#This Row],[Data do Caixa Realizado]]=""),"Vencida","Paga")</f>
        <v>Paga</v>
      </c>
      <c r="P217" t="str">
        <f xml:space="preserve"> IF(RegistroEntradas[[#This Row],[Data da Competência]]=RegistroEntradas[[#This Row],[Data do Caixa Previsto]],"À Vista","À Prazo")</f>
        <v>À Prazo</v>
      </c>
      <c r="Q217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15.424892799921508</v>
      </c>
    </row>
    <row r="218" spans="2:17" ht="20.100000000000001" customHeight="1" x14ac:dyDescent="0.25">
      <c r="B218" s="9">
        <v>43603.679990785502</v>
      </c>
      <c r="C218" s="9">
        <v>43593</v>
      </c>
      <c r="D218" s="9">
        <v>43603.679990785502</v>
      </c>
      <c r="E218" t="s">
        <v>24</v>
      </c>
      <c r="F218" t="s">
        <v>30</v>
      </c>
      <c r="G218" t="s">
        <v>268</v>
      </c>
      <c r="H218" s="10">
        <v>4510</v>
      </c>
      <c r="I218">
        <f>IF(RegistroEntradas[[#This Row],[Data do Caixa Realizado]] = "", 0, MONTH(RegistroEntradas[[#This Row],[Data do Caixa Realizado]]))</f>
        <v>5</v>
      </c>
      <c r="J218">
        <f>IF(RegistroEntradas[[#This Row],[Data do Caixa Realizado]] = "",0,YEAR(RegistroEntradas[[#This Row],[Data do Caixa Realizado]]))</f>
        <v>2019</v>
      </c>
      <c r="K218">
        <f xml:space="preserve"> IF(RegistroEntradas[[#This Row],[Data da Competência]] = "", 0, MONTH(RegistroEntradas[[#This Row],[Data da Competência]]))</f>
        <v>5</v>
      </c>
      <c r="L218">
        <f xml:space="preserve"> IF(RegistroEntradas[[#This Row],[Data da Competência]] = "", 0, YEAR(RegistroEntradas[[#This Row],[Data da Competência]]))</f>
        <v>2019</v>
      </c>
      <c r="M218">
        <f xml:space="preserve"> IF(RegistroEntradas[[#This Row],[Data do Caixa Previsto]]="",0,MONTH(RegistroEntradas[[#This Row],[Data do Caixa Previsto]]))</f>
        <v>5</v>
      </c>
      <c r="N218">
        <f xml:space="preserve"> IF(RegistroEntradas[[#This Row],[Data do Caixa Previsto]]="",0,YEAR(RegistroEntradas[[#This Row],[Data do Caixa Previsto]]))</f>
        <v>2019</v>
      </c>
      <c r="O218" t="str">
        <f ca="1">IF(AND(RegistroEntradas[[#This Row],[Data do Caixa Previsto]]&lt;TODAY(),RegistroEntradas[[#This Row],[Data do Caixa Realizado]]=""),"Vencida","Paga")</f>
        <v>Paga</v>
      </c>
      <c r="P218" t="str">
        <f xml:space="preserve"> IF(RegistroEntradas[[#This Row],[Data da Competência]]=RegistroEntradas[[#This Row],[Data do Caixa Previsto]],"À Vista","À Prazo")</f>
        <v>À Prazo</v>
      </c>
      <c r="Q218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219" spans="2:17" ht="20.100000000000001" customHeight="1" x14ac:dyDescent="0.25">
      <c r="B219" s="9" t="s">
        <v>64</v>
      </c>
      <c r="C219" s="9">
        <v>43597</v>
      </c>
      <c r="D219" s="9">
        <v>43605.396059977378</v>
      </c>
      <c r="E219" t="s">
        <v>24</v>
      </c>
      <c r="F219" t="s">
        <v>32</v>
      </c>
      <c r="G219" t="s">
        <v>269</v>
      </c>
      <c r="H219" s="10">
        <v>667</v>
      </c>
      <c r="I219">
        <f>IF(RegistroEntradas[[#This Row],[Data do Caixa Realizado]] = "", 0, MONTH(RegistroEntradas[[#This Row],[Data do Caixa Realizado]]))</f>
        <v>0</v>
      </c>
      <c r="J219">
        <f>IF(RegistroEntradas[[#This Row],[Data do Caixa Realizado]] = "",0,YEAR(RegistroEntradas[[#This Row],[Data do Caixa Realizado]]))</f>
        <v>0</v>
      </c>
      <c r="K219">
        <f xml:space="preserve"> IF(RegistroEntradas[[#This Row],[Data da Competência]] = "", 0, MONTH(RegistroEntradas[[#This Row],[Data da Competência]]))</f>
        <v>5</v>
      </c>
      <c r="L219">
        <f xml:space="preserve"> IF(RegistroEntradas[[#This Row],[Data da Competência]] = "", 0, YEAR(RegistroEntradas[[#This Row],[Data da Competência]]))</f>
        <v>2019</v>
      </c>
      <c r="M219">
        <f xml:space="preserve"> IF(RegistroEntradas[[#This Row],[Data do Caixa Previsto]]="",0,MONTH(RegistroEntradas[[#This Row],[Data do Caixa Previsto]]))</f>
        <v>5</v>
      </c>
      <c r="N219">
        <f xml:space="preserve"> IF(RegistroEntradas[[#This Row],[Data do Caixa Previsto]]="",0,YEAR(RegistroEntradas[[#This Row],[Data do Caixa Previsto]]))</f>
        <v>2019</v>
      </c>
      <c r="O219" t="str">
        <f ca="1">IF(AND(RegistroEntradas[[#This Row],[Data do Caixa Previsto]]&lt;TODAY(),RegistroEntradas[[#This Row],[Data do Caixa Realizado]]=""),"Vencida","Paga")</f>
        <v>Vencida</v>
      </c>
      <c r="P219" t="str">
        <f xml:space="preserve"> IF(RegistroEntradas[[#This Row],[Data da Competência]]=RegistroEntradas[[#This Row],[Data do Caixa Previsto]],"À Vista","À Prazo")</f>
        <v>À Prazo</v>
      </c>
      <c r="Q219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1610.6039400226218</v>
      </c>
    </row>
    <row r="220" spans="2:17" ht="20.100000000000001" customHeight="1" x14ac:dyDescent="0.25">
      <c r="B220" s="9">
        <v>43631.169319753048</v>
      </c>
      <c r="C220" s="9">
        <v>43600</v>
      </c>
      <c r="D220" s="9">
        <v>43631.169319753048</v>
      </c>
      <c r="E220" t="s">
        <v>24</v>
      </c>
      <c r="F220" t="s">
        <v>32</v>
      </c>
      <c r="G220" t="s">
        <v>270</v>
      </c>
      <c r="H220" s="10">
        <v>1006</v>
      </c>
      <c r="I220">
        <f>IF(RegistroEntradas[[#This Row],[Data do Caixa Realizado]] = "", 0, MONTH(RegistroEntradas[[#This Row],[Data do Caixa Realizado]]))</f>
        <v>6</v>
      </c>
      <c r="J220">
        <f>IF(RegistroEntradas[[#This Row],[Data do Caixa Realizado]] = "",0,YEAR(RegistroEntradas[[#This Row],[Data do Caixa Realizado]]))</f>
        <v>2019</v>
      </c>
      <c r="K220">
        <f xml:space="preserve"> IF(RegistroEntradas[[#This Row],[Data da Competência]] = "", 0, MONTH(RegistroEntradas[[#This Row],[Data da Competência]]))</f>
        <v>5</v>
      </c>
      <c r="L220">
        <f xml:space="preserve"> IF(RegistroEntradas[[#This Row],[Data da Competência]] = "", 0, YEAR(RegistroEntradas[[#This Row],[Data da Competência]]))</f>
        <v>2019</v>
      </c>
      <c r="M220">
        <f xml:space="preserve"> IF(RegistroEntradas[[#This Row],[Data do Caixa Previsto]]="",0,MONTH(RegistroEntradas[[#This Row],[Data do Caixa Previsto]]))</f>
        <v>6</v>
      </c>
      <c r="N220">
        <f xml:space="preserve"> IF(RegistroEntradas[[#This Row],[Data do Caixa Previsto]]="",0,YEAR(RegistroEntradas[[#This Row],[Data do Caixa Previsto]]))</f>
        <v>2019</v>
      </c>
      <c r="O220" t="str">
        <f ca="1">IF(AND(RegistroEntradas[[#This Row],[Data do Caixa Previsto]]&lt;TODAY(),RegistroEntradas[[#This Row],[Data do Caixa Realizado]]=""),"Vencida","Paga")</f>
        <v>Paga</v>
      </c>
      <c r="P220" t="str">
        <f xml:space="preserve"> IF(RegistroEntradas[[#This Row],[Data da Competência]]=RegistroEntradas[[#This Row],[Data do Caixa Previsto]],"À Vista","À Prazo")</f>
        <v>À Prazo</v>
      </c>
      <c r="Q220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221" spans="2:17" ht="20.100000000000001" customHeight="1" x14ac:dyDescent="0.25">
      <c r="B221" s="9">
        <v>43686.642670066765</v>
      </c>
      <c r="C221" s="9">
        <v>43604</v>
      </c>
      <c r="D221" s="9">
        <v>43635.878098777197</v>
      </c>
      <c r="E221" t="s">
        <v>24</v>
      </c>
      <c r="F221" t="s">
        <v>33</v>
      </c>
      <c r="G221" t="s">
        <v>271</v>
      </c>
      <c r="H221" s="10">
        <v>1071</v>
      </c>
      <c r="I221">
        <f>IF(RegistroEntradas[[#This Row],[Data do Caixa Realizado]] = "", 0, MONTH(RegistroEntradas[[#This Row],[Data do Caixa Realizado]]))</f>
        <v>8</v>
      </c>
      <c r="J221">
        <f>IF(RegistroEntradas[[#This Row],[Data do Caixa Realizado]] = "",0,YEAR(RegistroEntradas[[#This Row],[Data do Caixa Realizado]]))</f>
        <v>2019</v>
      </c>
      <c r="K221">
        <f xml:space="preserve"> IF(RegistroEntradas[[#This Row],[Data da Competência]] = "", 0, MONTH(RegistroEntradas[[#This Row],[Data da Competência]]))</f>
        <v>5</v>
      </c>
      <c r="L221">
        <f xml:space="preserve"> IF(RegistroEntradas[[#This Row],[Data da Competência]] = "", 0, YEAR(RegistroEntradas[[#This Row],[Data da Competência]]))</f>
        <v>2019</v>
      </c>
      <c r="M221">
        <f xml:space="preserve"> IF(RegistroEntradas[[#This Row],[Data do Caixa Previsto]]="",0,MONTH(RegistroEntradas[[#This Row],[Data do Caixa Previsto]]))</f>
        <v>6</v>
      </c>
      <c r="N221">
        <f xml:space="preserve"> IF(RegistroEntradas[[#This Row],[Data do Caixa Previsto]]="",0,YEAR(RegistroEntradas[[#This Row],[Data do Caixa Previsto]]))</f>
        <v>2019</v>
      </c>
      <c r="O221" t="str">
        <f ca="1">IF(AND(RegistroEntradas[[#This Row],[Data do Caixa Previsto]]&lt;TODAY(),RegistroEntradas[[#This Row],[Data do Caixa Realizado]]=""),"Vencida","Paga")</f>
        <v>Paga</v>
      </c>
      <c r="P221" t="str">
        <f xml:space="preserve"> IF(RegistroEntradas[[#This Row],[Data da Competência]]=RegistroEntradas[[#This Row],[Data do Caixa Previsto]],"À Vista","À Prazo")</f>
        <v>À Prazo</v>
      </c>
      <c r="Q221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50.764571289568266</v>
      </c>
    </row>
    <row r="222" spans="2:17" ht="20.100000000000001" customHeight="1" x14ac:dyDescent="0.25">
      <c r="B222" s="9">
        <v>43630.288414733965</v>
      </c>
      <c r="C222" s="9">
        <v>43609</v>
      </c>
      <c r="D222" s="9">
        <v>43609</v>
      </c>
      <c r="E222" t="s">
        <v>24</v>
      </c>
      <c r="F222" t="s">
        <v>31</v>
      </c>
      <c r="G222" t="s">
        <v>272</v>
      </c>
      <c r="H222" s="10">
        <v>2194</v>
      </c>
      <c r="I222">
        <f>IF(RegistroEntradas[[#This Row],[Data do Caixa Realizado]] = "", 0, MONTH(RegistroEntradas[[#This Row],[Data do Caixa Realizado]]))</f>
        <v>6</v>
      </c>
      <c r="J222">
        <f>IF(RegistroEntradas[[#This Row],[Data do Caixa Realizado]] = "",0,YEAR(RegistroEntradas[[#This Row],[Data do Caixa Realizado]]))</f>
        <v>2019</v>
      </c>
      <c r="K222">
        <f xml:space="preserve"> IF(RegistroEntradas[[#This Row],[Data da Competência]] = "", 0, MONTH(RegistroEntradas[[#This Row],[Data da Competência]]))</f>
        <v>5</v>
      </c>
      <c r="L222">
        <f xml:space="preserve"> IF(RegistroEntradas[[#This Row],[Data da Competência]] = "", 0, YEAR(RegistroEntradas[[#This Row],[Data da Competência]]))</f>
        <v>2019</v>
      </c>
      <c r="M222">
        <f xml:space="preserve"> IF(RegistroEntradas[[#This Row],[Data do Caixa Previsto]]="",0,MONTH(RegistroEntradas[[#This Row],[Data do Caixa Previsto]]))</f>
        <v>5</v>
      </c>
      <c r="N222">
        <f xml:space="preserve"> IF(RegistroEntradas[[#This Row],[Data do Caixa Previsto]]="",0,YEAR(RegistroEntradas[[#This Row],[Data do Caixa Previsto]]))</f>
        <v>2019</v>
      </c>
      <c r="O222" t="str">
        <f ca="1">IF(AND(RegistroEntradas[[#This Row],[Data do Caixa Previsto]]&lt;TODAY(),RegistroEntradas[[#This Row],[Data do Caixa Realizado]]=""),"Vencida","Paga")</f>
        <v>Paga</v>
      </c>
      <c r="P222" t="str">
        <f xml:space="preserve"> IF(RegistroEntradas[[#This Row],[Data da Competência]]=RegistroEntradas[[#This Row],[Data do Caixa Previsto]],"À Vista","À Prazo")</f>
        <v>À Vista</v>
      </c>
      <c r="Q222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21.288414733964601</v>
      </c>
    </row>
    <row r="223" spans="2:17" ht="20.100000000000001" customHeight="1" x14ac:dyDescent="0.25">
      <c r="B223" s="9">
        <v>43611.846709635254</v>
      </c>
      <c r="C223" s="9">
        <v>43611</v>
      </c>
      <c r="D223" s="9">
        <v>43611</v>
      </c>
      <c r="E223" t="s">
        <v>24</v>
      </c>
      <c r="F223" t="s">
        <v>32</v>
      </c>
      <c r="G223" t="s">
        <v>273</v>
      </c>
      <c r="H223" s="10">
        <v>2531</v>
      </c>
      <c r="I223">
        <f>IF(RegistroEntradas[[#This Row],[Data do Caixa Realizado]] = "", 0, MONTH(RegistroEntradas[[#This Row],[Data do Caixa Realizado]]))</f>
        <v>5</v>
      </c>
      <c r="J223">
        <f>IF(RegistroEntradas[[#This Row],[Data do Caixa Realizado]] = "",0,YEAR(RegistroEntradas[[#This Row],[Data do Caixa Realizado]]))</f>
        <v>2019</v>
      </c>
      <c r="K223">
        <f xml:space="preserve"> IF(RegistroEntradas[[#This Row],[Data da Competência]] = "", 0, MONTH(RegistroEntradas[[#This Row],[Data da Competência]]))</f>
        <v>5</v>
      </c>
      <c r="L223">
        <f xml:space="preserve"> IF(RegistroEntradas[[#This Row],[Data da Competência]] = "", 0, YEAR(RegistroEntradas[[#This Row],[Data da Competência]]))</f>
        <v>2019</v>
      </c>
      <c r="M223">
        <f xml:space="preserve"> IF(RegistroEntradas[[#This Row],[Data do Caixa Previsto]]="",0,MONTH(RegistroEntradas[[#This Row],[Data do Caixa Previsto]]))</f>
        <v>5</v>
      </c>
      <c r="N223">
        <f xml:space="preserve"> IF(RegistroEntradas[[#This Row],[Data do Caixa Previsto]]="",0,YEAR(RegistroEntradas[[#This Row],[Data do Caixa Previsto]]))</f>
        <v>2019</v>
      </c>
      <c r="O223" t="str">
        <f ca="1">IF(AND(RegistroEntradas[[#This Row],[Data do Caixa Previsto]]&lt;TODAY(),RegistroEntradas[[#This Row],[Data do Caixa Realizado]]=""),"Vencida","Paga")</f>
        <v>Paga</v>
      </c>
      <c r="P223" t="str">
        <f xml:space="preserve"> IF(RegistroEntradas[[#This Row],[Data da Competência]]=RegistroEntradas[[#This Row],[Data do Caixa Previsto]],"À Vista","À Prazo")</f>
        <v>À Vista</v>
      </c>
      <c r="Q223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0.84670963525422849</v>
      </c>
    </row>
    <row r="224" spans="2:17" ht="20.100000000000001" customHeight="1" x14ac:dyDescent="0.25">
      <c r="B224" s="9">
        <v>43708.684678024969</v>
      </c>
      <c r="C224" s="9">
        <v>43614</v>
      </c>
      <c r="D224" s="9">
        <v>43614</v>
      </c>
      <c r="E224" t="s">
        <v>24</v>
      </c>
      <c r="F224" t="s">
        <v>30</v>
      </c>
      <c r="G224" t="s">
        <v>274</v>
      </c>
      <c r="H224" s="10">
        <v>657</v>
      </c>
      <c r="I224">
        <f>IF(RegistroEntradas[[#This Row],[Data do Caixa Realizado]] = "", 0, MONTH(RegistroEntradas[[#This Row],[Data do Caixa Realizado]]))</f>
        <v>8</v>
      </c>
      <c r="J224">
        <f>IF(RegistroEntradas[[#This Row],[Data do Caixa Realizado]] = "",0,YEAR(RegistroEntradas[[#This Row],[Data do Caixa Realizado]]))</f>
        <v>2019</v>
      </c>
      <c r="K224">
        <f xml:space="preserve"> IF(RegistroEntradas[[#This Row],[Data da Competência]] = "", 0, MONTH(RegistroEntradas[[#This Row],[Data da Competência]]))</f>
        <v>5</v>
      </c>
      <c r="L224">
        <f xml:space="preserve"> IF(RegistroEntradas[[#This Row],[Data da Competência]] = "", 0, YEAR(RegistroEntradas[[#This Row],[Data da Competência]]))</f>
        <v>2019</v>
      </c>
      <c r="M224">
        <f xml:space="preserve"> IF(RegistroEntradas[[#This Row],[Data do Caixa Previsto]]="",0,MONTH(RegistroEntradas[[#This Row],[Data do Caixa Previsto]]))</f>
        <v>5</v>
      </c>
      <c r="N224">
        <f xml:space="preserve"> IF(RegistroEntradas[[#This Row],[Data do Caixa Previsto]]="",0,YEAR(RegistroEntradas[[#This Row],[Data do Caixa Previsto]]))</f>
        <v>2019</v>
      </c>
      <c r="O224" t="str">
        <f ca="1">IF(AND(RegistroEntradas[[#This Row],[Data do Caixa Previsto]]&lt;TODAY(),RegistroEntradas[[#This Row],[Data do Caixa Realizado]]=""),"Vencida","Paga")</f>
        <v>Paga</v>
      </c>
      <c r="P224" t="str">
        <f xml:space="preserve"> IF(RegistroEntradas[[#This Row],[Data da Competência]]=RegistroEntradas[[#This Row],[Data do Caixa Previsto]],"À Vista","À Prazo")</f>
        <v>À Vista</v>
      </c>
      <c r="Q224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94.684678024968889</v>
      </c>
    </row>
    <row r="225" spans="2:17" ht="20.100000000000001" customHeight="1" x14ac:dyDescent="0.25">
      <c r="B225" s="9">
        <v>43648.175451286195</v>
      </c>
      <c r="C225" s="9">
        <v>43615</v>
      </c>
      <c r="D225" s="9">
        <v>43648.175451286195</v>
      </c>
      <c r="E225" t="s">
        <v>24</v>
      </c>
      <c r="F225" t="s">
        <v>29</v>
      </c>
      <c r="G225" t="s">
        <v>275</v>
      </c>
      <c r="H225" s="10">
        <v>4535</v>
      </c>
      <c r="I225">
        <f>IF(RegistroEntradas[[#This Row],[Data do Caixa Realizado]] = "", 0, MONTH(RegistroEntradas[[#This Row],[Data do Caixa Realizado]]))</f>
        <v>7</v>
      </c>
      <c r="J225">
        <f>IF(RegistroEntradas[[#This Row],[Data do Caixa Realizado]] = "",0,YEAR(RegistroEntradas[[#This Row],[Data do Caixa Realizado]]))</f>
        <v>2019</v>
      </c>
      <c r="K225">
        <f xml:space="preserve"> IF(RegistroEntradas[[#This Row],[Data da Competência]] = "", 0, MONTH(RegistroEntradas[[#This Row],[Data da Competência]]))</f>
        <v>5</v>
      </c>
      <c r="L225">
        <f xml:space="preserve"> IF(RegistroEntradas[[#This Row],[Data da Competência]] = "", 0, YEAR(RegistroEntradas[[#This Row],[Data da Competência]]))</f>
        <v>2019</v>
      </c>
      <c r="M225">
        <f xml:space="preserve"> IF(RegistroEntradas[[#This Row],[Data do Caixa Previsto]]="",0,MONTH(RegistroEntradas[[#This Row],[Data do Caixa Previsto]]))</f>
        <v>7</v>
      </c>
      <c r="N225">
        <f xml:space="preserve"> IF(RegistroEntradas[[#This Row],[Data do Caixa Previsto]]="",0,YEAR(RegistroEntradas[[#This Row],[Data do Caixa Previsto]]))</f>
        <v>2019</v>
      </c>
      <c r="O225" t="str">
        <f ca="1">IF(AND(RegistroEntradas[[#This Row],[Data do Caixa Previsto]]&lt;TODAY(),RegistroEntradas[[#This Row],[Data do Caixa Realizado]]=""),"Vencida","Paga")</f>
        <v>Paga</v>
      </c>
      <c r="P225" t="str">
        <f xml:space="preserve"> IF(RegistroEntradas[[#This Row],[Data da Competência]]=RegistroEntradas[[#This Row],[Data do Caixa Previsto]],"À Vista","À Prazo")</f>
        <v>À Prazo</v>
      </c>
      <c r="Q225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226" spans="2:17" ht="20.100000000000001" customHeight="1" x14ac:dyDescent="0.25">
      <c r="B226" s="9">
        <v>43667.504857748412</v>
      </c>
      <c r="C226" s="9">
        <v>43620</v>
      </c>
      <c r="D226" s="9">
        <v>43641.616865332398</v>
      </c>
      <c r="E226" t="s">
        <v>24</v>
      </c>
      <c r="F226" t="s">
        <v>32</v>
      </c>
      <c r="G226" t="s">
        <v>276</v>
      </c>
      <c r="H226" s="10">
        <v>1848</v>
      </c>
      <c r="I226">
        <f>IF(RegistroEntradas[[#This Row],[Data do Caixa Realizado]] = "", 0, MONTH(RegistroEntradas[[#This Row],[Data do Caixa Realizado]]))</f>
        <v>7</v>
      </c>
      <c r="J226">
        <f>IF(RegistroEntradas[[#This Row],[Data do Caixa Realizado]] = "",0,YEAR(RegistroEntradas[[#This Row],[Data do Caixa Realizado]]))</f>
        <v>2019</v>
      </c>
      <c r="K226">
        <f xml:space="preserve"> IF(RegistroEntradas[[#This Row],[Data da Competência]] = "", 0, MONTH(RegistroEntradas[[#This Row],[Data da Competência]]))</f>
        <v>6</v>
      </c>
      <c r="L226">
        <f xml:space="preserve"> IF(RegistroEntradas[[#This Row],[Data da Competência]] = "", 0, YEAR(RegistroEntradas[[#This Row],[Data da Competência]]))</f>
        <v>2019</v>
      </c>
      <c r="M226">
        <f xml:space="preserve"> IF(RegistroEntradas[[#This Row],[Data do Caixa Previsto]]="",0,MONTH(RegistroEntradas[[#This Row],[Data do Caixa Previsto]]))</f>
        <v>6</v>
      </c>
      <c r="N226">
        <f xml:space="preserve"> IF(RegistroEntradas[[#This Row],[Data do Caixa Previsto]]="",0,YEAR(RegistroEntradas[[#This Row],[Data do Caixa Previsto]]))</f>
        <v>2019</v>
      </c>
      <c r="O226" t="str">
        <f ca="1">IF(AND(RegistroEntradas[[#This Row],[Data do Caixa Previsto]]&lt;TODAY(),RegistroEntradas[[#This Row],[Data do Caixa Realizado]]=""),"Vencida","Paga")</f>
        <v>Paga</v>
      </c>
      <c r="P226" t="str">
        <f xml:space="preserve"> IF(RegistroEntradas[[#This Row],[Data da Competência]]=RegistroEntradas[[#This Row],[Data do Caixa Previsto]],"À Vista","À Prazo")</f>
        <v>À Prazo</v>
      </c>
      <c r="Q226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25.887992416013731</v>
      </c>
    </row>
    <row r="227" spans="2:17" ht="20.100000000000001" customHeight="1" x14ac:dyDescent="0.25">
      <c r="B227" s="9">
        <v>43633.202763509209</v>
      </c>
      <c r="C227" s="9">
        <v>43625</v>
      </c>
      <c r="D227" s="9">
        <v>43632.847420047961</v>
      </c>
      <c r="E227" t="s">
        <v>24</v>
      </c>
      <c r="F227" t="s">
        <v>32</v>
      </c>
      <c r="G227" t="s">
        <v>277</v>
      </c>
      <c r="H227" s="10">
        <v>191</v>
      </c>
      <c r="I227">
        <f>IF(RegistroEntradas[[#This Row],[Data do Caixa Realizado]] = "", 0, MONTH(RegistroEntradas[[#This Row],[Data do Caixa Realizado]]))</f>
        <v>6</v>
      </c>
      <c r="J227">
        <f>IF(RegistroEntradas[[#This Row],[Data do Caixa Realizado]] = "",0,YEAR(RegistroEntradas[[#This Row],[Data do Caixa Realizado]]))</f>
        <v>2019</v>
      </c>
      <c r="K227">
        <f xml:space="preserve"> IF(RegistroEntradas[[#This Row],[Data da Competência]] = "", 0, MONTH(RegistroEntradas[[#This Row],[Data da Competência]]))</f>
        <v>6</v>
      </c>
      <c r="L227">
        <f xml:space="preserve"> IF(RegistroEntradas[[#This Row],[Data da Competência]] = "", 0, YEAR(RegistroEntradas[[#This Row],[Data da Competência]]))</f>
        <v>2019</v>
      </c>
      <c r="M227">
        <f xml:space="preserve"> IF(RegistroEntradas[[#This Row],[Data do Caixa Previsto]]="",0,MONTH(RegistroEntradas[[#This Row],[Data do Caixa Previsto]]))</f>
        <v>6</v>
      </c>
      <c r="N227">
        <f xml:space="preserve"> IF(RegistroEntradas[[#This Row],[Data do Caixa Previsto]]="",0,YEAR(RegistroEntradas[[#This Row],[Data do Caixa Previsto]]))</f>
        <v>2019</v>
      </c>
      <c r="O227" t="str">
        <f ca="1">IF(AND(RegistroEntradas[[#This Row],[Data do Caixa Previsto]]&lt;TODAY(),RegistroEntradas[[#This Row],[Data do Caixa Realizado]]=""),"Vencida","Paga")</f>
        <v>Paga</v>
      </c>
      <c r="P227" t="str">
        <f xml:space="preserve"> IF(RegistroEntradas[[#This Row],[Data da Competência]]=RegistroEntradas[[#This Row],[Data do Caixa Previsto]],"À Vista","À Prazo")</f>
        <v>À Prazo</v>
      </c>
      <c r="Q227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0.3553434612476849</v>
      </c>
    </row>
    <row r="228" spans="2:17" ht="20.100000000000001" customHeight="1" x14ac:dyDescent="0.25">
      <c r="B228" s="9" t="s">
        <v>64</v>
      </c>
      <c r="C228" s="9">
        <v>43629</v>
      </c>
      <c r="D228" s="9">
        <v>43668.924870501287</v>
      </c>
      <c r="E228" t="s">
        <v>24</v>
      </c>
      <c r="F228" t="s">
        <v>29</v>
      </c>
      <c r="G228" t="s">
        <v>278</v>
      </c>
      <c r="H228" s="10">
        <v>508</v>
      </c>
      <c r="I228">
        <f>IF(RegistroEntradas[[#This Row],[Data do Caixa Realizado]] = "", 0, MONTH(RegistroEntradas[[#This Row],[Data do Caixa Realizado]]))</f>
        <v>0</v>
      </c>
      <c r="J228">
        <f>IF(RegistroEntradas[[#This Row],[Data do Caixa Realizado]] = "",0,YEAR(RegistroEntradas[[#This Row],[Data do Caixa Realizado]]))</f>
        <v>0</v>
      </c>
      <c r="K228">
        <f xml:space="preserve"> IF(RegistroEntradas[[#This Row],[Data da Competência]] = "", 0, MONTH(RegistroEntradas[[#This Row],[Data da Competência]]))</f>
        <v>6</v>
      </c>
      <c r="L228">
        <f xml:space="preserve"> IF(RegistroEntradas[[#This Row],[Data da Competência]] = "", 0, YEAR(RegistroEntradas[[#This Row],[Data da Competência]]))</f>
        <v>2019</v>
      </c>
      <c r="M228">
        <f xml:space="preserve"> IF(RegistroEntradas[[#This Row],[Data do Caixa Previsto]]="",0,MONTH(RegistroEntradas[[#This Row],[Data do Caixa Previsto]]))</f>
        <v>7</v>
      </c>
      <c r="N228">
        <f xml:space="preserve"> IF(RegistroEntradas[[#This Row],[Data do Caixa Previsto]]="",0,YEAR(RegistroEntradas[[#This Row],[Data do Caixa Previsto]]))</f>
        <v>2019</v>
      </c>
      <c r="O228" t="str">
        <f ca="1">IF(AND(RegistroEntradas[[#This Row],[Data do Caixa Previsto]]&lt;TODAY(),RegistroEntradas[[#This Row],[Data do Caixa Realizado]]=""),"Vencida","Paga")</f>
        <v>Vencida</v>
      </c>
      <c r="P228" t="str">
        <f xml:space="preserve"> IF(RegistroEntradas[[#This Row],[Data da Competência]]=RegistroEntradas[[#This Row],[Data do Caixa Previsto]],"À Vista","À Prazo")</f>
        <v>À Prazo</v>
      </c>
      <c r="Q228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1547.0751294987131</v>
      </c>
    </row>
    <row r="229" spans="2:17" ht="20.100000000000001" customHeight="1" x14ac:dyDescent="0.25">
      <c r="B229" s="9">
        <v>43663.604642253973</v>
      </c>
      <c r="C229" s="9">
        <v>43631</v>
      </c>
      <c r="D229" s="9">
        <v>43663.604642253973</v>
      </c>
      <c r="E229" t="s">
        <v>24</v>
      </c>
      <c r="F229" t="s">
        <v>31</v>
      </c>
      <c r="G229" t="s">
        <v>279</v>
      </c>
      <c r="H229" s="10">
        <v>1482</v>
      </c>
      <c r="I229">
        <f>IF(RegistroEntradas[[#This Row],[Data do Caixa Realizado]] = "", 0, MONTH(RegistroEntradas[[#This Row],[Data do Caixa Realizado]]))</f>
        <v>7</v>
      </c>
      <c r="J229">
        <f>IF(RegistroEntradas[[#This Row],[Data do Caixa Realizado]] = "",0,YEAR(RegistroEntradas[[#This Row],[Data do Caixa Realizado]]))</f>
        <v>2019</v>
      </c>
      <c r="K229">
        <f xml:space="preserve"> IF(RegistroEntradas[[#This Row],[Data da Competência]] = "", 0, MONTH(RegistroEntradas[[#This Row],[Data da Competência]]))</f>
        <v>6</v>
      </c>
      <c r="L229">
        <f xml:space="preserve"> IF(RegistroEntradas[[#This Row],[Data da Competência]] = "", 0, YEAR(RegistroEntradas[[#This Row],[Data da Competência]]))</f>
        <v>2019</v>
      </c>
      <c r="M229">
        <f xml:space="preserve"> IF(RegistroEntradas[[#This Row],[Data do Caixa Previsto]]="",0,MONTH(RegistroEntradas[[#This Row],[Data do Caixa Previsto]]))</f>
        <v>7</v>
      </c>
      <c r="N229">
        <f xml:space="preserve"> IF(RegistroEntradas[[#This Row],[Data do Caixa Previsto]]="",0,YEAR(RegistroEntradas[[#This Row],[Data do Caixa Previsto]]))</f>
        <v>2019</v>
      </c>
      <c r="O229" t="str">
        <f ca="1">IF(AND(RegistroEntradas[[#This Row],[Data do Caixa Previsto]]&lt;TODAY(),RegistroEntradas[[#This Row],[Data do Caixa Realizado]]=""),"Vencida","Paga")</f>
        <v>Paga</v>
      </c>
      <c r="P229" t="str">
        <f xml:space="preserve"> IF(RegistroEntradas[[#This Row],[Data da Competência]]=RegistroEntradas[[#This Row],[Data do Caixa Previsto]],"À Vista","À Prazo")</f>
        <v>À Prazo</v>
      </c>
      <c r="Q229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230" spans="2:17" ht="20.100000000000001" customHeight="1" x14ac:dyDescent="0.25">
      <c r="B230" s="9">
        <v>43647.603244851816</v>
      </c>
      <c r="C230" s="9">
        <v>43632</v>
      </c>
      <c r="D230" s="9">
        <v>43647.603244851816</v>
      </c>
      <c r="E230" t="s">
        <v>24</v>
      </c>
      <c r="F230" t="s">
        <v>33</v>
      </c>
      <c r="G230" t="s">
        <v>280</v>
      </c>
      <c r="H230" s="10">
        <v>555</v>
      </c>
      <c r="I230">
        <f>IF(RegistroEntradas[[#This Row],[Data do Caixa Realizado]] = "", 0, MONTH(RegistroEntradas[[#This Row],[Data do Caixa Realizado]]))</f>
        <v>7</v>
      </c>
      <c r="J230">
        <f>IF(RegistroEntradas[[#This Row],[Data do Caixa Realizado]] = "",0,YEAR(RegistroEntradas[[#This Row],[Data do Caixa Realizado]]))</f>
        <v>2019</v>
      </c>
      <c r="K230">
        <f xml:space="preserve"> IF(RegistroEntradas[[#This Row],[Data da Competência]] = "", 0, MONTH(RegistroEntradas[[#This Row],[Data da Competência]]))</f>
        <v>6</v>
      </c>
      <c r="L230">
        <f xml:space="preserve"> IF(RegistroEntradas[[#This Row],[Data da Competência]] = "", 0, YEAR(RegistroEntradas[[#This Row],[Data da Competência]]))</f>
        <v>2019</v>
      </c>
      <c r="M230">
        <f xml:space="preserve"> IF(RegistroEntradas[[#This Row],[Data do Caixa Previsto]]="",0,MONTH(RegistroEntradas[[#This Row],[Data do Caixa Previsto]]))</f>
        <v>7</v>
      </c>
      <c r="N230">
        <f xml:space="preserve"> IF(RegistroEntradas[[#This Row],[Data do Caixa Previsto]]="",0,YEAR(RegistroEntradas[[#This Row],[Data do Caixa Previsto]]))</f>
        <v>2019</v>
      </c>
      <c r="O230" t="str">
        <f ca="1">IF(AND(RegistroEntradas[[#This Row],[Data do Caixa Previsto]]&lt;TODAY(),RegistroEntradas[[#This Row],[Data do Caixa Realizado]]=""),"Vencida","Paga")</f>
        <v>Paga</v>
      </c>
      <c r="P230" t="str">
        <f xml:space="preserve"> IF(RegistroEntradas[[#This Row],[Data da Competência]]=RegistroEntradas[[#This Row],[Data do Caixa Previsto]],"À Vista","À Prazo")</f>
        <v>À Prazo</v>
      </c>
      <c r="Q230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231" spans="2:17" ht="20.100000000000001" customHeight="1" x14ac:dyDescent="0.25">
      <c r="B231" s="9">
        <v>43741.143740040614</v>
      </c>
      <c r="C231" s="9">
        <v>43636</v>
      </c>
      <c r="D231" s="9">
        <v>43687.570970311433</v>
      </c>
      <c r="E231" t="s">
        <v>24</v>
      </c>
      <c r="F231" t="s">
        <v>29</v>
      </c>
      <c r="G231" t="s">
        <v>281</v>
      </c>
      <c r="H231" s="10">
        <v>1906</v>
      </c>
      <c r="I231">
        <f>IF(RegistroEntradas[[#This Row],[Data do Caixa Realizado]] = "", 0, MONTH(RegistroEntradas[[#This Row],[Data do Caixa Realizado]]))</f>
        <v>10</v>
      </c>
      <c r="J231">
        <f>IF(RegistroEntradas[[#This Row],[Data do Caixa Realizado]] = "",0,YEAR(RegistroEntradas[[#This Row],[Data do Caixa Realizado]]))</f>
        <v>2019</v>
      </c>
      <c r="K231">
        <f xml:space="preserve"> IF(RegistroEntradas[[#This Row],[Data da Competência]] = "", 0, MONTH(RegistroEntradas[[#This Row],[Data da Competência]]))</f>
        <v>6</v>
      </c>
      <c r="L231">
        <f xml:space="preserve"> IF(RegistroEntradas[[#This Row],[Data da Competência]] = "", 0, YEAR(RegistroEntradas[[#This Row],[Data da Competência]]))</f>
        <v>2019</v>
      </c>
      <c r="M231">
        <f xml:space="preserve"> IF(RegistroEntradas[[#This Row],[Data do Caixa Previsto]]="",0,MONTH(RegistroEntradas[[#This Row],[Data do Caixa Previsto]]))</f>
        <v>8</v>
      </c>
      <c r="N231">
        <f xml:space="preserve"> IF(RegistroEntradas[[#This Row],[Data do Caixa Previsto]]="",0,YEAR(RegistroEntradas[[#This Row],[Data do Caixa Previsto]]))</f>
        <v>2019</v>
      </c>
      <c r="O231" t="str">
        <f ca="1">IF(AND(RegistroEntradas[[#This Row],[Data do Caixa Previsto]]&lt;TODAY(),RegistroEntradas[[#This Row],[Data do Caixa Realizado]]=""),"Vencida","Paga")</f>
        <v>Paga</v>
      </c>
      <c r="P231" t="str">
        <f xml:space="preserve"> IF(RegistroEntradas[[#This Row],[Data da Competência]]=RegistroEntradas[[#This Row],[Data do Caixa Previsto]],"À Vista","À Prazo")</f>
        <v>À Prazo</v>
      </c>
      <c r="Q231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53.572769729180436</v>
      </c>
    </row>
    <row r="232" spans="2:17" ht="20.100000000000001" customHeight="1" x14ac:dyDescent="0.25">
      <c r="B232" s="9">
        <v>43645.269692137255</v>
      </c>
      <c r="C232" s="9">
        <v>43641</v>
      </c>
      <c r="D232" s="9">
        <v>43645.269692137255</v>
      </c>
      <c r="E232" t="s">
        <v>24</v>
      </c>
      <c r="F232" t="s">
        <v>29</v>
      </c>
      <c r="G232" t="s">
        <v>282</v>
      </c>
      <c r="H232" s="10">
        <v>450</v>
      </c>
      <c r="I232">
        <f>IF(RegistroEntradas[[#This Row],[Data do Caixa Realizado]] = "", 0, MONTH(RegistroEntradas[[#This Row],[Data do Caixa Realizado]]))</f>
        <v>6</v>
      </c>
      <c r="J232">
        <f>IF(RegistroEntradas[[#This Row],[Data do Caixa Realizado]] = "",0,YEAR(RegistroEntradas[[#This Row],[Data do Caixa Realizado]]))</f>
        <v>2019</v>
      </c>
      <c r="K232">
        <f xml:space="preserve"> IF(RegistroEntradas[[#This Row],[Data da Competência]] = "", 0, MONTH(RegistroEntradas[[#This Row],[Data da Competência]]))</f>
        <v>6</v>
      </c>
      <c r="L232">
        <f xml:space="preserve"> IF(RegistroEntradas[[#This Row],[Data da Competência]] = "", 0, YEAR(RegistroEntradas[[#This Row],[Data da Competência]]))</f>
        <v>2019</v>
      </c>
      <c r="M232">
        <f xml:space="preserve"> IF(RegistroEntradas[[#This Row],[Data do Caixa Previsto]]="",0,MONTH(RegistroEntradas[[#This Row],[Data do Caixa Previsto]]))</f>
        <v>6</v>
      </c>
      <c r="N232">
        <f xml:space="preserve"> IF(RegistroEntradas[[#This Row],[Data do Caixa Previsto]]="",0,YEAR(RegistroEntradas[[#This Row],[Data do Caixa Previsto]]))</f>
        <v>2019</v>
      </c>
      <c r="O232" t="str">
        <f ca="1">IF(AND(RegistroEntradas[[#This Row],[Data do Caixa Previsto]]&lt;TODAY(),RegistroEntradas[[#This Row],[Data do Caixa Realizado]]=""),"Vencida","Paga")</f>
        <v>Paga</v>
      </c>
      <c r="P232" t="str">
        <f xml:space="preserve"> IF(RegistroEntradas[[#This Row],[Data da Competência]]=RegistroEntradas[[#This Row],[Data do Caixa Previsto]],"À Vista","À Prazo")</f>
        <v>À Prazo</v>
      </c>
      <c r="Q232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0</v>
      </c>
    </row>
    <row r="233" spans="2:17" ht="20.100000000000001" customHeight="1" x14ac:dyDescent="0.25">
      <c r="B233" s="9" t="s">
        <v>64</v>
      </c>
      <c r="C233" s="9">
        <v>43644</v>
      </c>
      <c r="D233" s="9">
        <v>43662.268601302756</v>
      </c>
      <c r="E233" t="s">
        <v>24</v>
      </c>
      <c r="F233" t="s">
        <v>32</v>
      </c>
      <c r="G233" t="s">
        <v>283</v>
      </c>
      <c r="H233" s="10">
        <v>1479</v>
      </c>
      <c r="I233">
        <f>IF(RegistroEntradas[[#This Row],[Data do Caixa Realizado]] = "", 0, MONTH(RegistroEntradas[[#This Row],[Data do Caixa Realizado]]))</f>
        <v>0</v>
      </c>
      <c r="J233">
        <f>IF(RegistroEntradas[[#This Row],[Data do Caixa Realizado]] = "",0,YEAR(RegistroEntradas[[#This Row],[Data do Caixa Realizado]]))</f>
        <v>0</v>
      </c>
      <c r="K233">
        <f xml:space="preserve"> IF(RegistroEntradas[[#This Row],[Data da Competência]] = "", 0, MONTH(RegistroEntradas[[#This Row],[Data da Competência]]))</f>
        <v>6</v>
      </c>
      <c r="L233">
        <f xml:space="preserve"> IF(RegistroEntradas[[#This Row],[Data da Competência]] = "", 0, YEAR(RegistroEntradas[[#This Row],[Data da Competência]]))</f>
        <v>2019</v>
      </c>
      <c r="M233">
        <f xml:space="preserve"> IF(RegistroEntradas[[#This Row],[Data do Caixa Previsto]]="",0,MONTH(RegistroEntradas[[#This Row],[Data do Caixa Previsto]]))</f>
        <v>7</v>
      </c>
      <c r="N233">
        <f xml:space="preserve"> IF(RegistroEntradas[[#This Row],[Data do Caixa Previsto]]="",0,YEAR(RegistroEntradas[[#This Row],[Data do Caixa Previsto]]))</f>
        <v>2019</v>
      </c>
      <c r="O233" t="str">
        <f ca="1">IF(AND(RegistroEntradas[[#This Row],[Data do Caixa Previsto]]&lt;TODAY(),RegistroEntradas[[#This Row],[Data do Caixa Realizado]]=""),"Vencida","Paga")</f>
        <v>Vencida</v>
      </c>
      <c r="P233" t="str">
        <f xml:space="preserve"> IF(RegistroEntradas[[#This Row],[Data da Competência]]=RegistroEntradas[[#This Row],[Data do Caixa Previsto]],"À Vista","À Prazo")</f>
        <v>À Prazo</v>
      </c>
      <c r="Q233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1553.731398697244</v>
      </c>
    </row>
    <row r="234" spans="2:17" ht="20.100000000000001" customHeight="1" x14ac:dyDescent="0.25">
      <c r="B234" s="9">
        <v>43727.35674683658</v>
      </c>
      <c r="C234" s="9">
        <v>43645</v>
      </c>
      <c r="D234" s="9">
        <v>43647.81451187309</v>
      </c>
      <c r="E234" t="s">
        <v>24</v>
      </c>
      <c r="F234" t="s">
        <v>32</v>
      </c>
      <c r="G234" t="s">
        <v>284</v>
      </c>
      <c r="H234" s="10">
        <v>3446</v>
      </c>
      <c r="I234">
        <f>IF(RegistroEntradas[[#This Row],[Data do Caixa Realizado]] = "", 0, MONTH(RegistroEntradas[[#This Row],[Data do Caixa Realizado]]))</f>
        <v>9</v>
      </c>
      <c r="J234">
        <f>IF(RegistroEntradas[[#This Row],[Data do Caixa Realizado]] = "",0,YEAR(RegistroEntradas[[#This Row],[Data do Caixa Realizado]]))</f>
        <v>2019</v>
      </c>
      <c r="K234">
        <f xml:space="preserve"> IF(RegistroEntradas[[#This Row],[Data da Competência]] = "", 0, MONTH(RegistroEntradas[[#This Row],[Data da Competência]]))</f>
        <v>6</v>
      </c>
      <c r="L234">
        <f xml:space="preserve"> IF(RegistroEntradas[[#This Row],[Data da Competência]] = "", 0, YEAR(RegistroEntradas[[#This Row],[Data da Competência]]))</f>
        <v>2019</v>
      </c>
      <c r="M234">
        <f xml:space="preserve"> IF(RegistroEntradas[[#This Row],[Data do Caixa Previsto]]="",0,MONTH(RegistroEntradas[[#This Row],[Data do Caixa Previsto]]))</f>
        <v>7</v>
      </c>
      <c r="N234">
        <f xml:space="preserve"> IF(RegistroEntradas[[#This Row],[Data do Caixa Previsto]]="",0,YEAR(RegistroEntradas[[#This Row],[Data do Caixa Previsto]]))</f>
        <v>2019</v>
      </c>
      <c r="O234" t="str">
        <f ca="1">IF(AND(RegistroEntradas[[#This Row],[Data do Caixa Previsto]]&lt;TODAY(),RegistroEntradas[[#This Row],[Data do Caixa Realizado]]=""),"Vencida","Paga")</f>
        <v>Paga</v>
      </c>
      <c r="P234" t="str">
        <f xml:space="preserve"> IF(RegistroEntradas[[#This Row],[Data da Competência]]=RegistroEntradas[[#This Row],[Data do Caixa Previsto]],"À Vista","À Prazo")</f>
        <v>À Prazo</v>
      </c>
      <c r="Q234" s="38">
        <f ca="1" xml:space="preserve"> IF(RegistroEntradas[[#This Row],[Data do Caixa Realizado]] &lt;&gt; "",IF(RegistroEntradas[[#This Row],[Data do Caixa Realizado]] &gt; RegistroEntradas[[#This Row],[Data do Caixa Previsto]],RegistroEntradas[[#This Row],[Data do Caixa Realizado]] - RegistroEntradas[[#This Row],[Data do Caixa Previsto]], 0), IF(TODAY() &gt; RegistroEntradas[[#This Row],[Data do Caixa Previsto]], TODAY() - RegistroEntradas[[#This Row],[Data do Caixa Previsto]], 0))</f>
        <v>79.542234963490046</v>
      </c>
    </row>
  </sheetData>
  <sheetProtection sheet="1" objects="1" scenarios="1" selectLockedCells="1" autoFilter="0"/>
  <mergeCells count="1">
    <mergeCell ref="B1:C1"/>
  </mergeCells>
  <dataValidations count="2">
    <dataValidation type="list" allowBlank="1" showInputMessage="1" showErrorMessage="1" sqref="E4:E234" xr:uid="{446A6CC4-E7BF-4E37-BCC0-1F6C7D8049DC}">
      <formula1 xml:space="preserve"> PCEntradasN1_Nivel_1</formula1>
    </dataValidation>
    <dataValidation type="list" allowBlank="1" showInputMessage="1" showErrorMessage="1" sqref="F4:F234" xr:uid="{A1DAEB6E-1C64-4342-8318-33CBD968A68E}">
      <formula1 xml:space="preserve"> OFFSET(PCEntradasN2_Nivel_2, MATCH(E4, PCEntradasN2_Nivel_1,0) - 1, 0, COUNTIF(PCEntradasN2_Nivel_1, E4))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551DB-894B-4C9D-B777-7FBDCB82727C}">
  <dimension ref="A1:V232"/>
  <sheetViews>
    <sheetView showGridLines="0" showRowColHeaders="0" zoomScale="130" zoomScaleNormal="130" workbookViewId="0">
      <pane ySplit="3" topLeftCell="A4" activePane="bottomLeft" state="frozen"/>
      <selection activeCell="H1" sqref="H1:H1048576"/>
      <selection pane="bottomLeft" activeCell="E2" sqref="E2"/>
    </sheetView>
  </sheetViews>
  <sheetFormatPr defaultColWidth="0" defaultRowHeight="20.100000000000001" customHeight="1" x14ac:dyDescent="0.25"/>
  <cols>
    <col min="1" max="1" width="2" customWidth="1"/>
    <col min="2" max="3" width="16.7109375" style="9" customWidth="1"/>
    <col min="4" max="4" width="15.7109375" style="9" customWidth="1"/>
    <col min="5" max="6" width="40.7109375" customWidth="1"/>
    <col min="7" max="7" width="25.7109375" customWidth="1"/>
    <col min="8" max="8" width="25.7109375" style="15" customWidth="1"/>
    <col min="9" max="10" width="6.7109375" hidden="1" customWidth="1"/>
    <col min="11" max="12" width="13.7109375" hidden="1" customWidth="1"/>
    <col min="13" max="14" width="10.7109375" hidden="1" customWidth="1"/>
    <col min="15" max="15" width="9.7109375" hidden="1" customWidth="1"/>
    <col min="16" max="16" width="2.7109375" customWidth="1"/>
    <col min="17" max="22" width="0" hidden="1" customWidth="1"/>
    <col min="23" max="16384" width="9.140625" hidden="1"/>
  </cols>
  <sheetData>
    <row r="1" spans="2:15" ht="39.950000000000003" customHeight="1" x14ac:dyDescent="0.25">
      <c r="B1" s="200" t="s">
        <v>1</v>
      </c>
      <c r="C1" s="200"/>
      <c r="D1" s="11"/>
      <c r="E1" s="1"/>
      <c r="F1" s="1"/>
      <c r="G1" s="1"/>
      <c r="H1" s="13" t="s">
        <v>10</v>
      </c>
      <c r="I1" s="2"/>
      <c r="J1" s="13"/>
      <c r="K1" s="13"/>
      <c r="L1" s="13"/>
      <c r="M1" s="13"/>
      <c r="N1" s="13"/>
      <c r="O1" s="13" t="s">
        <v>10</v>
      </c>
    </row>
    <row r="2" spans="2:15" ht="39.950000000000003" customHeight="1" x14ac:dyDescent="0.25">
      <c r="B2" s="12"/>
      <c r="C2" s="12"/>
      <c r="D2" s="12"/>
      <c r="E2" s="5"/>
      <c r="F2" s="5"/>
      <c r="G2" s="5"/>
      <c r="H2" s="14"/>
      <c r="I2" s="5"/>
      <c r="J2" s="5"/>
      <c r="K2" s="5"/>
      <c r="L2" s="5"/>
      <c r="M2" s="5"/>
      <c r="N2" s="5"/>
      <c r="O2" s="5"/>
    </row>
    <row r="3" spans="2:15" ht="39.950000000000003" customHeight="1" x14ac:dyDescent="0.25">
      <c r="B3" s="20" t="s">
        <v>48</v>
      </c>
      <c r="C3" s="21" t="s">
        <v>47</v>
      </c>
      <c r="D3" s="21" t="s">
        <v>49</v>
      </c>
      <c r="E3" s="22" t="s">
        <v>50</v>
      </c>
      <c r="F3" s="24" t="s">
        <v>51</v>
      </c>
      <c r="G3" s="22" t="s">
        <v>52</v>
      </c>
      <c r="H3" s="23" t="s">
        <v>53</v>
      </c>
      <c r="I3" s="37" t="s">
        <v>532</v>
      </c>
      <c r="J3" s="37" t="s">
        <v>533</v>
      </c>
      <c r="K3" s="37" t="s">
        <v>534</v>
      </c>
      <c r="L3" s="37" t="s">
        <v>535</v>
      </c>
      <c r="M3" s="22" t="s">
        <v>540</v>
      </c>
      <c r="N3" s="22" t="s">
        <v>541</v>
      </c>
      <c r="O3" s="22" t="s">
        <v>601</v>
      </c>
    </row>
    <row r="4" spans="2:15" ht="20.100000000000001" customHeight="1" x14ac:dyDescent="0.25">
      <c r="B4" s="9">
        <v>43015.689099944895</v>
      </c>
      <c r="C4" s="9">
        <v>42957</v>
      </c>
      <c r="D4" s="9">
        <v>43015.689099944895</v>
      </c>
      <c r="E4" t="s">
        <v>34</v>
      </c>
      <c r="F4" t="s">
        <v>33</v>
      </c>
      <c r="G4" t="s">
        <v>285</v>
      </c>
      <c r="H4" s="10">
        <v>4021</v>
      </c>
      <c r="I4">
        <f>IF(RegistroSaidas[[#This Row],[Data do Caixa Realizado]] = "", 0, MONTH(RegistroSaidas[[#This Row],[Data do Caixa Realizado]]))</f>
        <v>10</v>
      </c>
      <c r="J4" s="38">
        <f>IF(RegistroSaidas[[#This Row],[Data do Caixa Realizado]] = "",0,YEAR(RegistroSaidas[[#This Row],[Data do Caixa Realizado]]))</f>
        <v>2017</v>
      </c>
      <c r="K4" s="38">
        <f xml:space="preserve"> IF(RegistroSaidas[[#This Row],[Data da Competência]]="",0,MONTH(RegistroSaidas[[#This Row],[Data da Competência]]))</f>
        <v>8</v>
      </c>
      <c r="L4" s="38">
        <f xml:space="preserve"> IF(RegistroSaidas[[#This Row],[Data da Competência]]="",0,YEAR(RegistroSaidas[[#This Row],[Data da Competência]]))</f>
        <v>2017</v>
      </c>
      <c r="M4" s="38">
        <f xml:space="preserve"> IF(RegistroSaidas[[#This Row],[Data do Caixa Previsto]]="",0,MONTH(RegistroSaidas[[#This Row],[Data do Caixa Previsto]]))</f>
        <v>10</v>
      </c>
      <c r="N4" s="38">
        <f xml:space="preserve"> IF(RegistroSaidas[[#This Row],[Data do Caixa Previsto]]="",0,YEAR(RegistroSaidas[[#This Row],[Data do Caixa Previsto]]))</f>
        <v>2017</v>
      </c>
      <c r="O4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5" spans="2:15" ht="20.100000000000001" customHeight="1" x14ac:dyDescent="0.25">
      <c r="B5" s="9">
        <v>42995.83151981284</v>
      </c>
      <c r="C5" s="9">
        <v>42960</v>
      </c>
      <c r="D5" s="9">
        <v>42995.83151981284</v>
      </c>
      <c r="E5" t="s">
        <v>34</v>
      </c>
      <c r="F5" t="s">
        <v>40</v>
      </c>
      <c r="G5" t="s">
        <v>286</v>
      </c>
      <c r="H5" s="10">
        <v>651</v>
      </c>
      <c r="I5">
        <f>IF(RegistroSaidas[[#This Row],[Data do Caixa Realizado]] = "", 0, MONTH(RegistroSaidas[[#This Row],[Data do Caixa Realizado]]))</f>
        <v>9</v>
      </c>
      <c r="J5">
        <f>IF(RegistroSaidas[[#This Row],[Data do Caixa Realizado]] = "",0,YEAR(RegistroSaidas[[#This Row],[Data do Caixa Realizado]]))</f>
        <v>2017</v>
      </c>
      <c r="K5" s="38">
        <f xml:space="preserve"> IF(RegistroSaidas[[#This Row],[Data da Competência]]="",0,MONTH(RegistroSaidas[[#This Row],[Data da Competência]]))</f>
        <v>8</v>
      </c>
      <c r="L5" s="38">
        <f xml:space="preserve"> IF(RegistroSaidas[[#This Row],[Data da Competência]]="",0,YEAR(RegistroSaidas[[#This Row],[Data da Competência]]))</f>
        <v>2017</v>
      </c>
      <c r="M5" s="38">
        <f xml:space="preserve"> IF(RegistroSaidas[[#This Row],[Data do Caixa Previsto]]="",0,MONTH(RegistroSaidas[[#This Row],[Data do Caixa Previsto]]))</f>
        <v>9</v>
      </c>
      <c r="N5" s="38">
        <f xml:space="preserve"> IF(RegistroSaidas[[#This Row],[Data do Caixa Previsto]]="",0,YEAR(RegistroSaidas[[#This Row],[Data do Caixa Previsto]]))</f>
        <v>2017</v>
      </c>
      <c r="O5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6" spans="2:15" ht="20.100000000000001" customHeight="1" x14ac:dyDescent="0.25">
      <c r="B6" s="9">
        <v>42983.821864178215</v>
      </c>
      <c r="C6" s="9">
        <v>42965</v>
      </c>
      <c r="D6" s="9">
        <v>42983.821864178215</v>
      </c>
      <c r="E6" t="s">
        <v>34</v>
      </c>
      <c r="F6" t="s">
        <v>33</v>
      </c>
      <c r="G6" t="s">
        <v>287</v>
      </c>
      <c r="H6" s="10">
        <v>131</v>
      </c>
      <c r="I6">
        <f>IF(RegistroSaidas[[#This Row],[Data do Caixa Realizado]] = "", 0, MONTH(RegistroSaidas[[#This Row],[Data do Caixa Realizado]]))</f>
        <v>9</v>
      </c>
      <c r="J6">
        <f>IF(RegistroSaidas[[#This Row],[Data do Caixa Realizado]] = "",0,YEAR(RegistroSaidas[[#This Row],[Data do Caixa Realizado]]))</f>
        <v>2017</v>
      </c>
      <c r="K6" s="38">
        <f xml:space="preserve"> IF(RegistroSaidas[[#This Row],[Data da Competência]]="",0,MONTH(RegistroSaidas[[#This Row],[Data da Competência]]))</f>
        <v>8</v>
      </c>
      <c r="L6" s="38">
        <f xml:space="preserve"> IF(RegistroSaidas[[#This Row],[Data da Competência]]="",0,YEAR(RegistroSaidas[[#This Row],[Data da Competência]]))</f>
        <v>2017</v>
      </c>
      <c r="M6" s="38">
        <f xml:space="preserve"> IF(RegistroSaidas[[#This Row],[Data do Caixa Previsto]]="",0,MONTH(RegistroSaidas[[#This Row],[Data do Caixa Previsto]]))</f>
        <v>9</v>
      </c>
      <c r="N6" s="38">
        <f xml:space="preserve"> IF(RegistroSaidas[[#This Row],[Data do Caixa Previsto]]="",0,YEAR(RegistroSaidas[[#This Row],[Data do Caixa Previsto]]))</f>
        <v>2017</v>
      </c>
      <c r="O6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7" spans="2:15" ht="20.100000000000001" customHeight="1" x14ac:dyDescent="0.25">
      <c r="B7" s="9">
        <v>43004.400385589004</v>
      </c>
      <c r="C7" s="9">
        <v>42970</v>
      </c>
      <c r="D7" s="9">
        <v>43004.400385589004</v>
      </c>
      <c r="E7" t="s">
        <v>34</v>
      </c>
      <c r="F7" t="s">
        <v>33</v>
      </c>
      <c r="G7" t="s">
        <v>288</v>
      </c>
      <c r="H7" s="10">
        <v>803</v>
      </c>
      <c r="I7">
        <f>IF(RegistroSaidas[[#This Row],[Data do Caixa Realizado]] = "", 0, MONTH(RegistroSaidas[[#This Row],[Data do Caixa Realizado]]))</f>
        <v>9</v>
      </c>
      <c r="J7">
        <f>IF(RegistroSaidas[[#This Row],[Data do Caixa Realizado]] = "",0,YEAR(RegistroSaidas[[#This Row],[Data do Caixa Realizado]]))</f>
        <v>2017</v>
      </c>
      <c r="K7" s="38">
        <f xml:space="preserve"> IF(RegistroSaidas[[#This Row],[Data da Competência]]="",0,MONTH(RegistroSaidas[[#This Row],[Data da Competência]]))</f>
        <v>8</v>
      </c>
      <c r="L7" s="38">
        <f xml:space="preserve"> IF(RegistroSaidas[[#This Row],[Data da Competência]]="",0,YEAR(RegistroSaidas[[#This Row],[Data da Competência]]))</f>
        <v>2017</v>
      </c>
      <c r="M7" s="38">
        <f xml:space="preserve"> IF(RegistroSaidas[[#This Row],[Data do Caixa Previsto]]="",0,MONTH(RegistroSaidas[[#This Row],[Data do Caixa Previsto]]))</f>
        <v>9</v>
      </c>
      <c r="N7" s="38">
        <f xml:space="preserve"> IF(RegistroSaidas[[#This Row],[Data do Caixa Previsto]]="",0,YEAR(RegistroSaidas[[#This Row],[Data do Caixa Previsto]]))</f>
        <v>2017</v>
      </c>
      <c r="O7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8" spans="2:15" ht="20.100000000000001" customHeight="1" x14ac:dyDescent="0.25">
      <c r="B8" s="9">
        <v>43002.058153394239</v>
      </c>
      <c r="C8" s="9">
        <v>42971</v>
      </c>
      <c r="D8" s="9">
        <v>43002.058153394239</v>
      </c>
      <c r="E8" t="s">
        <v>34</v>
      </c>
      <c r="F8" t="s">
        <v>40</v>
      </c>
      <c r="G8" t="s">
        <v>289</v>
      </c>
      <c r="H8" s="10">
        <v>4460</v>
      </c>
      <c r="I8">
        <f>IF(RegistroSaidas[[#This Row],[Data do Caixa Realizado]] = "", 0, MONTH(RegistroSaidas[[#This Row],[Data do Caixa Realizado]]))</f>
        <v>9</v>
      </c>
      <c r="J8">
        <f>IF(RegistroSaidas[[#This Row],[Data do Caixa Realizado]] = "",0,YEAR(RegistroSaidas[[#This Row],[Data do Caixa Realizado]]))</f>
        <v>2017</v>
      </c>
      <c r="K8" s="38">
        <f xml:space="preserve"> IF(RegistroSaidas[[#This Row],[Data da Competência]]="",0,MONTH(RegistroSaidas[[#This Row],[Data da Competência]]))</f>
        <v>8</v>
      </c>
      <c r="L8" s="38">
        <f xml:space="preserve"> IF(RegistroSaidas[[#This Row],[Data da Competência]]="",0,YEAR(RegistroSaidas[[#This Row],[Data da Competência]]))</f>
        <v>2017</v>
      </c>
      <c r="M8" s="38">
        <f xml:space="preserve"> IF(RegistroSaidas[[#This Row],[Data do Caixa Previsto]]="",0,MONTH(RegistroSaidas[[#This Row],[Data do Caixa Previsto]]))</f>
        <v>9</v>
      </c>
      <c r="N8" s="38">
        <f xml:space="preserve"> IF(RegistroSaidas[[#This Row],[Data do Caixa Previsto]]="",0,YEAR(RegistroSaidas[[#This Row],[Data do Caixa Previsto]]))</f>
        <v>2017</v>
      </c>
      <c r="O8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9" spans="2:15" ht="20.100000000000001" customHeight="1" x14ac:dyDescent="0.25">
      <c r="B9" s="9">
        <v>42980.358785052202</v>
      </c>
      <c r="C9" s="9">
        <v>42972</v>
      </c>
      <c r="D9" s="9">
        <v>42980.358785052202</v>
      </c>
      <c r="E9" t="s">
        <v>34</v>
      </c>
      <c r="F9" t="s">
        <v>30</v>
      </c>
      <c r="G9" t="s">
        <v>290</v>
      </c>
      <c r="H9" s="10">
        <v>299</v>
      </c>
      <c r="I9">
        <f>IF(RegistroSaidas[[#This Row],[Data do Caixa Realizado]] = "", 0, MONTH(RegistroSaidas[[#This Row],[Data do Caixa Realizado]]))</f>
        <v>9</v>
      </c>
      <c r="J9">
        <f>IF(RegistroSaidas[[#This Row],[Data do Caixa Realizado]] = "",0,YEAR(RegistroSaidas[[#This Row],[Data do Caixa Realizado]]))</f>
        <v>2017</v>
      </c>
      <c r="K9" s="38">
        <f xml:space="preserve"> IF(RegistroSaidas[[#This Row],[Data da Competência]]="",0,MONTH(RegistroSaidas[[#This Row],[Data da Competência]]))</f>
        <v>8</v>
      </c>
      <c r="L9" s="38">
        <f xml:space="preserve"> IF(RegistroSaidas[[#This Row],[Data da Competência]]="",0,YEAR(RegistroSaidas[[#This Row],[Data da Competência]]))</f>
        <v>2017</v>
      </c>
      <c r="M9" s="38">
        <f xml:space="preserve"> IF(RegistroSaidas[[#This Row],[Data do Caixa Previsto]]="",0,MONTH(RegistroSaidas[[#This Row],[Data do Caixa Previsto]]))</f>
        <v>9</v>
      </c>
      <c r="N9" s="38">
        <f xml:space="preserve"> IF(RegistroSaidas[[#This Row],[Data do Caixa Previsto]]="",0,YEAR(RegistroSaidas[[#This Row],[Data do Caixa Previsto]]))</f>
        <v>2017</v>
      </c>
      <c r="O9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10" spans="2:15" ht="20.100000000000001" customHeight="1" x14ac:dyDescent="0.25">
      <c r="B10" s="9">
        <v>43014.597468673528</v>
      </c>
      <c r="C10" s="9">
        <v>42976</v>
      </c>
      <c r="D10" s="9">
        <v>43014.597468673528</v>
      </c>
      <c r="E10" t="s">
        <v>34</v>
      </c>
      <c r="F10" t="s">
        <v>40</v>
      </c>
      <c r="G10" t="s">
        <v>291</v>
      </c>
      <c r="H10" s="10">
        <v>618</v>
      </c>
      <c r="I10">
        <f>IF(RegistroSaidas[[#This Row],[Data do Caixa Realizado]] = "", 0, MONTH(RegistroSaidas[[#This Row],[Data do Caixa Realizado]]))</f>
        <v>10</v>
      </c>
      <c r="J10">
        <f>IF(RegistroSaidas[[#This Row],[Data do Caixa Realizado]] = "",0,YEAR(RegistroSaidas[[#This Row],[Data do Caixa Realizado]]))</f>
        <v>2017</v>
      </c>
      <c r="K10" s="38">
        <f xml:space="preserve"> IF(RegistroSaidas[[#This Row],[Data da Competência]]="",0,MONTH(RegistroSaidas[[#This Row],[Data da Competência]]))</f>
        <v>8</v>
      </c>
      <c r="L10" s="38">
        <f xml:space="preserve"> IF(RegistroSaidas[[#This Row],[Data da Competência]]="",0,YEAR(RegistroSaidas[[#This Row],[Data da Competência]]))</f>
        <v>2017</v>
      </c>
      <c r="M10" s="38">
        <f xml:space="preserve"> IF(RegistroSaidas[[#This Row],[Data do Caixa Previsto]]="",0,MONTH(RegistroSaidas[[#This Row],[Data do Caixa Previsto]]))</f>
        <v>10</v>
      </c>
      <c r="N10" s="38">
        <f xml:space="preserve"> IF(RegistroSaidas[[#This Row],[Data do Caixa Previsto]]="",0,YEAR(RegistroSaidas[[#This Row],[Data do Caixa Previsto]]))</f>
        <v>2017</v>
      </c>
      <c r="O10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11" spans="2:15" ht="20.100000000000001" customHeight="1" x14ac:dyDescent="0.25">
      <c r="B11" s="9">
        <v>42990.1117348099</v>
      </c>
      <c r="C11" s="9">
        <v>42979</v>
      </c>
      <c r="D11" s="9">
        <v>42980.556611132772</v>
      </c>
      <c r="E11" t="s">
        <v>34</v>
      </c>
      <c r="F11" t="s">
        <v>40</v>
      </c>
      <c r="G11" t="s">
        <v>111</v>
      </c>
      <c r="H11" s="10">
        <v>2505</v>
      </c>
      <c r="I11">
        <f>IF(RegistroSaidas[[#This Row],[Data do Caixa Realizado]] = "", 0, MONTH(RegistroSaidas[[#This Row],[Data do Caixa Realizado]]))</f>
        <v>9</v>
      </c>
      <c r="J11">
        <f>IF(RegistroSaidas[[#This Row],[Data do Caixa Realizado]] = "",0,YEAR(RegistroSaidas[[#This Row],[Data do Caixa Realizado]]))</f>
        <v>2017</v>
      </c>
      <c r="K11" s="38">
        <f xml:space="preserve"> IF(RegistroSaidas[[#This Row],[Data da Competência]]="",0,MONTH(RegistroSaidas[[#This Row],[Data da Competência]]))</f>
        <v>9</v>
      </c>
      <c r="L11" s="38">
        <f xml:space="preserve"> IF(RegistroSaidas[[#This Row],[Data da Competência]]="",0,YEAR(RegistroSaidas[[#This Row],[Data da Competência]]))</f>
        <v>2017</v>
      </c>
      <c r="M11" s="38">
        <f xml:space="preserve"> IF(RegistroSaidas[[#This Row],[Data do Caixa Previsto]]="",0,MONTH(RegistroSaidas[[#This Row],[Data do Caixa Previsto]]))</f>
        <v>9</v>
      </c>
      <c r="N11" s="38">
        <f xml:space="preserve"> IF(RegistroSaidas[[#This Row],[Data do Caixa Previsto]]="",0,YEAR(RegistroSaidas[[#This Row],[Data do Caixa Previsto]]))</f>
        <v>2017</v>
      </c>
      <c r="O11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9.5551236771279946</v>
      </c>
    </row>
    <row r="12" spans="2:15" ht="20.100000000000001" customHeight="1" x14ac:dyDescent="0.25">
      <c r="B12" s="9">
        <v>42987.417576127409</v>
      </c>
      <c r="C12" s="9">
        <v>42982</v>
      </c>
      <c r="D12" s="9">
        <v>42987.417576127409</v>
      </c>
      <c r="E12" t="s">
        <v>34</v>
      </c>
      <c r="F12" t="s">
        <v>33</v>
      </c>
      <c r="G12" t="s">
        <v>292</v>
      </c>
      <c r="H12" s="10">
        <v>817</v>
      </c>
      <c r="I12">
        <f>IF(RegistroSaidas[[#This Row],[Data do Caixa Realizado]] = "", 0, MONTH(RegistroSaidas[[#This Row],[Data do Caixa Realizado]]))</f>
        <v>9</v>
      </c>
      <c r="J12">
        <f>IF(RegistroSaidas[[#This Row],[Data do Caixa Realizado]] = "",0,YEAR(RegistroSaidas[[#This Row],[Data do Caixa Realizado]]))</f>
        <v>2017</v>
      </c>
      <c r="K12" s="38">
        <f xml:space="preserve"> IF(RegistroSaidas[[#This Row],[Data da Competência]]="",0,MONTH(RegistroSaidas[[#This Row],[Data da Competência]]))</f>
        <v>9</v>
      </c>
      <c r="L12" s="38">
        <f xml:space="preserve"> IF(RegistroSaidas[[#This Row],[Data da Competência]]="",0,YEAR(RegistroSaidas[[#This Row],[Data da Competência]]))</f>
        <v>2017</v>
      </c>
      <c r="M12" s="38">
        <f xml:space="preserve"> IF(RegistroSaidas[[#This Row],[Data do Caixa Previsto]]="",0,MONTH(RegistroSaidas[[#This Row],[Data do Caixa Previsto]]))</f>
        <v>9</v>
      </c>
      <c r="N12" s="38">
        <f xml:space="preserve"> IF(RegistroSaidas[[#This Row],[Data do Caixa Previsto]]="",0,YEAR(RegistroSaidas[[#This Row],[Data do Caixa Previsto]]))</f>
        <v>2017</v>
      </c>
      <c r="O12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13" spans="2:15" ht="20.100000000000001" customHeight="1" x14ac:dyDescent="0.25">
      <c r="B13" s="9" t="s">
        <v>64</v>
      </c>
      <c r="C13" s="9">
        <v>42984</v>
      </c>
      <c r="D13" s="9">
        <v>42984.703005901203</v>
      </c>
      <c r="E13" t="s">
        <v>34</v>
      </c>
      <c r="F13" t="s">
        <v>30</v>
      </c>
      <c r="G13" t="s">
        <v>293</v>
      </c>
      <c r="H13" s="10">
        <v>1565</v>
      </c>
      <c r="I13">
        <f>IF(RegistroSaidas[[#This Row],[Data do Caixa Realizado]] = "", 0, MONTH(RegistroSaidas[[#This Row],[Data do Caixa Realizado]]))</f>
        <v>0</v>
      </c>
      <c r="J13">
        <f>IF(RegistroSaidas[[#This Row],[Data do Caixa Realizado]] = "",0,YEAR(RegistroSaidas[[#This Row],[Data do Caixa Realizado]]))</f>
        <v>0</v>
      </c>
      <c r="K13" s="38">
        <f xml:space="preserve"> IF(RegistroSaidas[[#This Row],[Data da Competência]]="",0,MONTH(RegistroSaidas[[#This Row],[Data da Competência]]))</f>
        <v>9</v>
      </c>
      <c r="L13" s="38">
        <f xml:space="preserve"> IF(RegistroSaidas[[#This Row],[Data da Competência]]="",0,YEAR(RegistroSaidas[[#This Row],[Data da Competência]]))</f>
        <v>2017</v>
      </c>
      <c r="M13" s="38">
        <f xml:space="preserve"> IF(RegistroSaidas[[#This Row],[Data do Caixa Previsto]]="",0,MONTH(RegistroSaidas[[#This Row],[Data do Caixa Previsto]]))</f>
        <v>9</v>
      </c>
      <c r="N13" s="38">
        <f xml:space="preserve"> IF(RegistroSaidas[[#This Row],[Data do Caixa Previsto]]="",0,YEAR(RegistroSaidas[[#This Row],[Data do Caixa Previsto]]))</f>
        <v>2017</v>
      </c>
      <c r="O13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2231.2969940987969</v>
      </c>
    </row>
    <row r="14" spans="2:15" ht="20.100000000000001" customHeight="1" x14ac:dyDescent="0.25">
      <c r="B14" s="9" t="s">
        <v>64</v>
      </c>
      <c r="C14" s="9">
        <v>42990</v>
      </c>
      <c r="D14" s="9">
        <v>43020.233591992961</v>
      </c>
      <c r="E14" t="s">
        <v>34</v>
      </c>
      <c r="F14" t="s">
        <v>31</v>
      </c>
      <c r="G14" t="s">
        <v>294</v>
      </c>
      <c r="H14" s="10">
        <v>1357</v>
      </c>
      <c r="I14">
        <f>IF(RegistroSaidas[[#This Row],[Data do Caixa Realizado]] = "", 0, MONTH(RegistroSaidas[[#This Row],[Data do Caixa Realizado]]))</f>
        <v>0</v>
      </c>
      <c r="J14">
        <f>IF(RegistroSaidas[[#This Row],[Data do Caixa Realizado]] = "",0,YEAR(RegistroSaidas[[#This Row],[Data do Caixa Realizado]]))</f>
        <v>0</v>
      </c>
      <c r="K14" s="38">
        <f xml:space="preserve"> IF(RegistroSaidas[[#This Row],[Data da Competência]]="",0,MONTH(RegistroSaidas[[#This Row],[Data da Competência]]))</f>
        <v>9</v>
      </c>
      <c r="L14" s="38">
        <f xml:space="preserve"> IF(RegistroSaidas[[#This Row],[Data da Competência]]="",0,YEAR(RegistroSaidas[[#This Row],[Data da Competência]]))</f>
        <v>2017</v>
      </c>
      <c r="M14" s="38">
        <f xml:space="preserve"> IF(RegistroSaidas[[#This Row],[Data do Caixa Previsto]]="",0,MONTH(RegistroSaidas[[#This Row],[Data do Caixa Previsto]]))</f>
        <v>10</v>
      </c>
      <c r="N14" s="38">
        <f xml:space="preserve"> IF(RegistroSaidas[[#This Row],[Data do Caixa Previsto]]="",0,YEAR(RegistroSaidas[[#This Row],[Data do Caixa Previsto]]))</f>
        <v>2017</v>
      </c>
      <c r="O14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2195.766408007039</v>
      </c>
    </row>
    <row r="15" spans="2:15" ht="20.100000000000001" customHeight="1" x14ac:dyDescent="0.25">
      <c r="B15" s="9">
        <v>43025.32782899923</v>
      </c>
      <c r="C15" s="9">
        <v>42991</v>
      </c>
      <c r="D15" s="9">
        <v>43025.32782899923</v>
      </c>
      <c r="E15" t="s">
        <v>34</v>
      </c>
      <c r="F15" t="s">
        <v>31</v>
      </c>
      <c r="G15" t="s">
        <v>295</v>
      </c>
      <c r="H15" s="10">
        <v>4739</v>
      </c>
      <c r="I15">
        <f>IF(RegistroSaidas[[#This Row],[Data do Caixa Realizado]] = "", 0, MONTH(RegistroSaidas[[#This Row],[Data do Caixa Realizado]]))</f>
        <v>10</v>
      </c>
      <c r="J15">
        <f>IF(RegistroSaidas[[#This Row],[Data do Caixa Realizado]] = "",0,YEAR(RegistroSaidas[[#This Row],[Data do Caixa Realizado]]))</f>
        <v>2017</v>
      </c>
      <c r="K15" s="38">
        <f xml:space="preserve"> IF(RegistroSaidas[[#This Row],[Data da Competência]]="",0,MONTH(RegistroSaidas[[#This Row],[Data da Competência]]))</f>
        <v>9</v>
      </c>
      <c r="L15" s="38">
        <f xml:space="preserve"> IF(RegistroSaidas[[#This Row],[Data da Competência]]="",0,YEAR(RegistroSaidas[[#This Row],[Data da Competência]]))</f>
        <v>2017</v>
      </c>
      <c r="M15" s="38">
        <f xml:space="preserve"> IF(RegistroSaidas[[#This Row],[Data do Caixa Previsto]]="",0,MONTH(RegistroSaidas[[#This Row],[Data do Caixa Previsto]]))</f>
        <v>10</v>
      </c>
      <c r="N15" s="38">
        <f xml:space="preserve"> IF(RegistroSaidas[[#This Row],[Data do Caixa Previsto]]="",0,YEAR(RegistroSaidas[[#This Row],[Data do Caixa Previsto]]))</f>
        <v>2017</v>
      </c>
      <c r="O15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16" spans="2:15" ht="20.100000000000001" customHeight="1" x14ac:dyDescent="0.25">
      <c r="B16" s="9">
        <v>43008.599150206064</v>
      </c>
      <c r="C16" s="9">
        <v>42992</v>
      </c>
      <c r="D16" s="9">
        <v>43008.599150206064</v>
      </c>
      <c r="E16" t="s">
        <v>34</v>
      </c>
      <c r="F16" t="s">
        <v>33</v>
      </c>
      <c r="G16" t="s">
        <v>296</v>
      </c>
      <c r="H16" s="10">
        <v>4675</v>
      </c>
      <c r="I16">
        <f>IF(RegistroSaidas[[#This Row],[Data do Caixa Realizado]] = "", 0, MONTH(RegistroSaidas[[#This Row],[Data do Caixa Realizado]]))</f>
        <v>9</v>
      </c>
      <c r="J16">
        <f>IF(RegistroSaidas[[#This Row],[Data do Caixa Realizado]] = "",0,YEAR(RegistroSaidas[[#This Row],[Data do Caixa Realizado]]))</f>
        <v>2017</v>
      </c>
      <c r="K16" s="38">
        <f xml:space="preserve"> IF(RegistroSaidas[[#This Row],[Data da Competência]]="",0,MONTH(RegistroSaidas[[#This Row],[Data da Competência]]))</f>
        <v>9</v>
      </c>
      <c r="L16" s="38">
        <f xml:space="preserve"> IF(RegistroSaidas[[#This Row],[Data da Competência]]="",0,YEAR(RegistroSaidas[[#This Row],[Data da Competência]]))</f>
        <v>2017</v>
      </c>
      <c r="M16" s="38">
        <f xml:space="preserve"> IF(RegistroSaidas[[#This Row],[Data do Caixa Previsto]]="",0,MONTH(RegistroSaidas[[#This Row],[Data do Caixa Previsto]]))</f>
        <v>9</v>
      </c>
      <c r="N16" s="38">
        <f xml:space="preserve"> IF(RegistroSaidas[[#This Row],[Data do Caixa Previsto]]="",0,YEAR(RegistroSaidas[[#This Row],[Data do Caixa Previsto]]))</f>
        <v>2017</v>
      </c>
      <c r="O16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17" spans="2:15" ht="20.100000000000001" customHeight="1" x14ac:dyDescent="0.25">
      <c r="B17" s="9">
        <v>43004.132052173023</v>
      </c>
      <c r="C17" s="9">
        <v>42997</v>
      </c>
      <c r="D17" s="9">
        <v>43004.132052173023</v>
      </c>
      <c r="E17" t="s">
        <v>34</v>
      </c>
      <c r="F17" t="s">
        <v>40</v>
      </c>
      <c r="G17" t="s">
        <v>297</v>
      </c>
      <c r="H17" s="10">
        <v>1797</v>
      </c>
      <c r="I17">
        <f>IF(RegistroSaidas[[#This Row],[Data do Caixa Realizado]] = "", 0, MONTH(RegistroSaidas[[#This Row],[Data do Caixa Realizado]]))</f>
        <v>9</v>
      </c>
      <c r="J17">
        <f>IF(RegistroSaidas[[#This Row],[Data do Caixa Realizado]] = "",0,YEAR(RegistroSaidas[[#This Row],[Data do Caixa Realizado]]))</f>
        <v>2017</v>
      </c>
      <c r="K17" s="38">
        <f xml:space="preserve"> IF(RegistroSaidas[[#This Row],[Data da Competência]]="",0,MONTH(RegistroSaidas[[#This Row],[Data da Competência]]))</f>
        <v>9</v>
      </c>
      <c r="L17" s="38">
        <f xml:space="preserve"> IF(RegistroSaidas[[#This Row],[Data da Competência]]="",0,YEAR(RegistroSaidas[[#This Row],[Data da Competência]]))</f>
        <v>2017</v>
      </c>
      <c r="M17" s="38">
        <f xml:space="preserve"> IF(RegistroSaidas[[#This Row],[Data do Caixa Previsto]]="",0,MONTH(RegistroSaidas[[#This Row],[Data do Caixa Previsto]]))</f>
        <v>9</v>
      </c>
      <c r="N17" s="38">
        <f xml:space="preserve"> IF(RegistroSaidas[[#This Row],[Data do Caixa Previsto]]="",0,YEAR(RegistroSaidas[[#This Row],[Data do Caixa Previsto]]))</f>
        <v>2017</v>
      </c>
      <c r="O17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18" spans="2:15" ht="15" x14ac:dyDescent="0.25">
      <c r="B18" s="9">
        <v>43043.977578613987</v>
      </c>
      <c r="C18" s="9">
        <v>43002</v>
      </c>
      <c r="D18" s="9">
        <v>43043.977578613987</v>
      </c>
      <c r="E18" t="s">
        <v>34</v>
      </c>
      <c r="F18" t="s">
        <v>31</v>
      </c>
      <c r="G18" t="s">
        <v>298</v>
      </c>
      <c r="H18" s="10">
        <v>888</v>
      </c>
      <c r="I18">
        <f>IF(RegistroSaidas[[#This Row],[Data do Caixa Realizado]] = "", 0, MONTH(RegistroSaidas[[#This Row],[Data do Caixa Realizado]]))</f>
        <v>11</v>
      </c>
      <c r="J18">
        <f>IF(RegistroSaidas[[#This Row],[Data do Caixa Realizado]] = "",0,YEAR(RegistroSaidas[[#This Row],[Data do Caixa Realizado]]))</f>
        <v>2017</v>
      </c>
      <c r="K18" s="38">
        <f xml:space="preserve"> IF(RegistroSaidas[[#This Row],[Data da Competência]]="",0,MONTH(RegistroSaidas[[#This Row],[Data da Competência]]))</f>
        <v>9</v>
      </c>
      <c r="L18" s="38">
        <f xml:space="preserve"> IF(RegistroSaidas[[#This Row],[Data da Competência]]="",0,YEAR(RegistroSaidas[[#This Row],[Data da Competência]]))</f>
        <v>2017</v>
      </c>
      <c r="M18" s="38">
        <f xml:space="preserve"> IF(RegistroSaidas[[#This Row],[Data do Caixa Previsto]]="",0,MONTH(RegistroSaidas[[#This Row],[Data do Caixa Previsto]]))</f>
        <v>11</v>
      </c>
      <c r="N18" s="38">
        <f xml:space="preserve"> IF(RegistroSaidas[[#This Row],[Data do Caixa Previsto]]="",0,YEAR(RegistroSaidas[[#This Row],[Data do Caixa Previsto]]))</f>
        <v>2017</v>
      </c>
      <c r="O18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19" spans="2:15" ht="20.100000000000001" customHeight="1" x14ac:dyDescent="0.25">
      <c r="B19" s="9">
        <v>43015.898045269183</v>
      </c>
      <c r="C19" s="9">
        <v>43003</v>
      </c>
      <c r="D19" s="9">
        <v>43015.898045269183</v>
      </c>
      <c r="E19" t="s">
        <v>34</v>
      </c>
      <c r="F19" t="s">
        <v>40</v>
      </c>
      <c r="G19" t="s">
        <v>299</v>
      </c>
      <c r="H19" s="10">
        <v>2784</v>
      </c>
      <c r="I19">
        <f>IF(RegistroSaidas[[#This Row],[Data do Caixa Realizado]] = "", 0, MONTH(RegistroSaidas[[#This Row],[Data do Caixa Realizado]]))</f>
        <v>10</v>
      </c>
      <c r="J19">
        <f>IF(RegistroSaidas[[#This Row],[Data do Caixa Realizado]] = "",0,YEAR(RegistroSaidas[[#This Row],[Data do Caixa Realizado]]))</f>
        <v>2017</v>
      </c>
      <c r="K19" s="38">
        <f xml:space="preserve"> IF(RegistroSaidas[[#This Row],[Data da Competência]]="",0,MONTH(RegistroSaidas[[#This Row],[Data da Competência]]))</f>
        <v>9</v>
      </c>
      <c r="L19" s="38">
        <f xml:space="preserve"> IF(RegistroSaidas[[#This Row],[Data da Competência]]="",0,YEAR(RegistroSaidas[[#This Row],[Data da Competência]]))</f>
        <v>2017</v>
      </c>
      <c r="M19" s="38">
        <f xml:space="preserve"> IF(RegistroSaidas[[#This Row],[Data do Caixa Previsto]]="",0,MONTH(RegistroSaidas[[#This Row],[Data do Caixa Previsto]]))</f>
        <v>10</v>
      </c>
      <c r="N19" s="38">
        <f xml:space="preserve"> IF(RegistroSaidas[[#This Row],[Data do Caixa Previsto]]="",0,YEAR(RegistroSaidas[[#This Row],[Data do Caixa Previsto]]))</f>
        <v>2017</v>
      </c>
      <c r="O19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20" spans="2:15" ht="20.100000000000001" customHeight="1" x14ac:dyDescent="0.25">
      <c r="B20" s="9">
        <v>43010.944524159138</v>
      </c>
      <c r="C20" s="9">
        <v>43003</v>
      </c>
      <c r="D20" s="9">
        <v>43010.944524159138</v>
      </c>
      <c r="E20" t="s">
        <v>34</v>
      </c>
      <c r="F20" t="s">
        <v>30</v>
      </c>
      <c r="G20" t="s">
        <v>300</v>
      </c>
      <c r="H20" s="10">
        <v>707</v>
      </c>
      <c r="I20">
        <f>IF(RegistroSaidas[[#This Row],[Data do Caixa Realizado]] = "", 0, MONTH(RegistroSaidas[[#This Row],[Data do Caixa Realizado]]))</f>
        <v>10</v>
      </c>
      <c r="J20">
        <f>IF(RegistroSaidas[[#This Row],[Data do Caixa Realizado]] = "",0,YEAR(RegistroSaidas[[#This Row],[Data do Caixa Realizado]]))</f>
        <v>2017</v>
      </c>
      <c r="K20" s="38">
        <f xml:space="preserve"> IF(RegistroSaidas[[#This Row],[Data da Competência]]="",0,MONTH(RegistroSaidas[[#This Row],[Data da Competência]]))</f>
        <v>9</v>
      </c>
      <c r="L20" s="38">
        <f xml:space="preserve"> IF(RegistroSaidas[[#This Row],[Data da Competência]]="",0,YEAR(RegistroSaidas[[#This Row],[Data da Competência]]))</f>
        <v>2017</v>
      </c>
      <c r="M20" s="38">
        <f xml:space="preserve"> IF(RegistroSaidas[[#This Row],[Data do Caixa Previsto]]="",0,MONTH(RegistroSaidas[[#This Row],[Data do Caixa Previsto]]))</f>
        <v>10</v>
      </c>
      <c r="N20" s="38">
        <f xml:space="preserve"> IF(RegistroSaidas[[#This Row],[Data do Caixa Previsto]]="",0,YEAR(RegistroSaidas[[#This Row],[Data do Caixa Previsto]]))</f>
        <v>2017</v>
      </c>
      <c r="O20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21" spans="2:15" ht="20.100000000000001" customHeight="1" x14ac:dyDescent="0.25">
      <c r="B21" s="9">
        <v>43118.867552272008</v>
      </c>
      <c r="C21" s="9">
        <v>43006</v>
      </c>
      <c r="D21" s="9">
        <v>43042.600768911587</v>
      </c>
      <c r="E21" t="s">
        <v>34</v>
      </c>
      <c r="F21" t="s">
        <v>30</v>
      </c>
      <c r="G21" t="s">
        <v>301</v>
      </c>
      <c r="H21" s="10">
        <v>229</v>
      </c>
      <c r="I21">
        <f>IF(RegistroSaidas[[#This Row],[Data do Caixa Realizado]] = "", 0, MONTH(RegistroSaidas[[#This Row],[Data do Caixa Realizado]]))</f>
        <v>1</v>
      </c>
      <c r="J21">
        <f>IF(RegistroSaidas[[#This Row],[Data do Caixa Realizado]] = "",0,YEAR(RegistroSaidas[[#This Row],[Data do Caixa Realizado]]))</f>
        <v>2018</v>
      </c>
      <c r="K21" s="38">
        <f xml:space="preserve"> IF(RegistroSaidas[[#This Row],[Data da Competência]]="",0,MONTH(RegistroSaidas[[#This Row],[Data da Competência]]))</f>
        <v>9</v>
      </c>
      <c r="L21" s="38">
        <f xml:space="preserve"> IF(RegistroSaidas[[#This Row],[Data da Competência]]="",0,YEAR(RegistroSaidas[[#This Row],[Data da Competência]]))</f>
        <v>2017</v>
      </c>
      <c r="M21" s="38">
        <f xml:space="preserve"> IF(RegistroSaidas[[#This Row],[Data do Caixa Previsto]]="",0,MONTH(RegistroSaidas[[#This Row],[Data do Caixa Previsto]]))</f>
        <v>11</v>
      </c>
      <c r="N21" s="38">
        <f xml:space="preserve"> IF(RegistroSaidas[[#This Row],[Data do Caixa Previsto]]="",0,YEAR(RegistroSaidas[[#This Row],[Data do Caixa Previsto]]))</f>
        <v>2017</v>
      </c>
      <c r="O21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76.266783360420959</v>
      </c>
    </row>
    <row r="22" spans="2:15" ht="20.100000000000001" customHeight="1" x14ac:dyDescent="0.25">
      <c r="B22" s="9">
        <v>43059.310583292005</v>
      </c>
      <c r="C22" s="9">
        <v>43009</v>
      </c>
      <c r="D22" s="9">
        <v>43059.310583292005</v>
      </c>
      <c r="E22" t="s">
        <v>34</v>
      </c>
      <c r="F22" t="s">
        <v>40</v>
      </c>
      <c r="G22" t="s">
        <v>302</v>
      </c>
      <c r="H22" s="10">
        <v>2894</v>
      </c>
      <c r="I22">
        <f>IF(RegistroSaidas[[#This Row],[Data do Caixa Realizado]] = "", 0, MONTH(RegistroSaidas[[#This Row],[Data do Caixa Realizado]]))</f>
        <v>11</v>
      </c>
      <c r="J22">
        <f>IF(RegistroSaidas[[#This Row],[Data do Caixa Realizado]] = "",0,YEAR(RegistroSaidas[[#This Row],[Data do Caixa Realizado]]))</f>
        <v>2017</v>
      </c>
      <c r="K22" s="38">
        <f xml:space="preserve"> IF(RegistroSaidas[[#This Row],[Data da Competência]]="",0,MONTH(RegistroSaidas[[#This Row],[Data da Competência]]))</f>
        <v>10</v>
      </c>
      <c r="L22" s="38">
        <f xml:space="preserve"> IF(RegistroSaidas[[#This Row],[Data da Competência]]="",0,YEAR(RegistroSaidas[[#This Row],[Data da Competência]]))</f>
        <v>2017</v>
      </c>
      <c r="M22" s="38">
        <f xml:space="preserve"> IF(RegistroSaidas[[#This Row],[Data do Caixa Previsto]]="",0,MONTH(RegistroSaidas[[#This Row],[Data do Caixa Previsto]]))</f>
        <v>11</v>
      </c>
      <c r="N22" s="38">
        <f xml:space="preserve"> IF(RegistroSaidas[[#This Row],[Data do Caixa Previsto]]="",0,YEAR(RegistroSaidas[[#This Row],[Data do Caixa Previsto]]))</f>
        <v>2017</v>
      </c>
      <c r="O22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23" spans="2:15" ht="20.100000000000001" customHeight="1" x14ac:dyDescent="0.25">
      <c r="B23" s="9" t="s">
        <v>64</v>
      </c>
      <c r="C23" s="9">
        <v>43012</v>
      </c>
      <c r="D23" s="9">
        <v>43030.293823546323</v>
      </c>
      <c r="E23" t="s">
        <v>34</v>
      </c>
      <c r="F23" t="s">
        <v>31</v>
      </c>
      <c r="G23" t="s">
        <v>303</v>
      </c>
      <c r="H23" s="10">
        <v>4516</v>
      </c>
      <c r="I23">
        <f>IF(RegistroSaidas[[#This Row],[Data do Caixa Realizado]] = "", 0, MONTH(RegistroSaidas[[#This Row],[Data do Caixa Realizado]]))</f>
        <v>0</v>
      </c>
      <c r="J23">
        <f>IF(RegistroSaidas[[#This Row],[Data do Caixa Realizado]] = "",0,YEAR(RegistroSaidas[[#This Row],[Data do Caixa Realizado]]))</f>
        <v>0</v>
      </c>
      <c r="K23" s="38">
        <f xml:space="preserve"> IF(RegistroSaidas[[#This Row],[Data da Competência]]="",0,MONTH(RegistroSaidas[[#This Row],[Data da Competência]]))</f>
        <v>10</v>
      </c>
      <c r="L23" s="38">
        <f xml:space="preserve"> IF(RegistroSaidas[[#This Row],[Data da Competência]]="",0,YEAR(RegistroSaidas[[#This Row],[Data da Competência]]))</f>
        <v>2017</v>
      </c>
      <c r="M23" s="38">
        <f xml:space="preserve"> IF(RegistroSaidas[[#This Row],[Data do Caixa Previsto]]="",0,MONTH(RegistroSaidas[[#This Row],[Data do Caixa Previsto]]))</f>
        <v>10</v>
      </c>
      <c r="N23" s="38">
        <f xml:space="preserve"> IF(RegistroSaidas[[#This Row],[Data do Caixa Previsto]]="",0,YEAR(RegistroSaidas[[#This Row],[Data do Caixa Previsto]]))</f>
        <v>2017</v>
      </c>
      <c r="O23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2185.7061764536775</v>
      </c>
    </row>
    <row r="24" spans="2:15" ht="20.100000000000001" customHeight="1" x14ac:dyDescent="0.25">
      <c r="B24" s="9">
        <v>43031.057901657718</v>
      </c>
      <c r="C24" s="9">
        <v>43014</v>
      </c>
      <c r="D24" s="9">
        <v>43031.057901657718</v>
      </c>
      <c r="E24" t="s">
        <v>34</v>
      </c>
      <c r="F24" t="s">
        <v>31</v>
      </c>
      <c r="G24" t="s">
        <v>304</v>
      </c>
      <c r="H24" s="10">
        <v>885</v>
      </c>
      <c r="I24">
        <f>IF(RegistroSaidas[[#This Row],[Data do Caixa Realizado]] = "", 0, MONTH(RegistroSaidas[[#This Row],[Data do Caixa Realizado]]))</f>
        <v>10</v>
      </c>
      <c r="J24">
        <f>IF(RegistroSaidas[[#This Row],[Data do Caixa Realizado]] = "",0,YEAR(RegistroSaidas[[#This Row],[Data do Caixa Realizado]]))</f>
        <v>2017</v>
      </c>
      <c r="K24" s="38">
        <f xml:space="preserve"> IF(RegistroSaidas[[#This Row],[Data da Competência]]="",0,MONTH(RegistroSaidas[[#This Row],[Data da Competência]]))</f>
        <v>10</v>
      </c>
      <c r="L24" s="38">
        <f xml:space="preserve"> IF(RegistroSaidas[[#This Row],[Data da Competência]]="",0,YEAR(RegistroSaidas[[#This Row],[Data da Competência]]))</f>
        <v>2017</v>
      </c>
      <c r="M24" s="38">
        <f xml:space="preserve"> IF(RegistroSaidas[[#This Row],[Data do Caixa Previsto]]="",0,MONTH(RegistroSaidas[[#This Row],[Data do Caixa Previsto]]))</f>
        <v>10</v>
      </c>
      <c r="N24" s="38">
        <f xml:space="preserve"> IF(RegistroSaidas[[#This Row],[Data do Caixa Previsto]]="",0,YEAR(RegistroSaidas[[#This Row],[Data do Caixa Previsto]]))</f>
        <v>2017</v>
      </c>
      <c r="O24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25" spans="2:15" ht="20.100000000000001" customHeight="1" x14ac:dyDescent="0.25">
      <c r="B25" s="9">
        <v>43051.580861965143</v>
      </c>
      <c r="C25" s="9">
        <v>43017</v>
      </c>
      <c r="D25" s="9">
        <v>43046.987199176881</v>
      </c>
      <c r="E25" t="s">
        <v>34</v>
      </c>
      <c r="F25" t="s">
        <v>29</v>
      </c>
      <c r="G25" t="s">
        <v>305</v>
      </c>
      <c r="H25" s="10">
        <v>1509</v>
      </c>
      <c r="I25">
        <f>IF(RegistroSaidas[[#This Row],[Data do Caixa Realizado]] = "", 0, MONTH(RegistroSaidas[[#This Row],[Data do Caixa Realizado]]))</f>
        <v>11</v>
      </c>
      <c r="J25">
        <f>IF(RegistroSaidas[[#This Row],[Data do Caixa Realizado]] = "",0,YEAR(RegistroSaidas[[#This Row],[Data do Caixa Realizado]]))</f>
        <v>2017</v>
      </c>
      <c r="K25" s="38">
        <f xml:space="preserve"> IF(RegistroSaidas[[#This Row],[Data da Competência]]="",0,MONTH(RegistroSaidas[[#This Row],[Data da Competência]]))</f>
        <v>10</v>
      </c>
      <c r="L25" s="38">
        <f xml:space="preserve"> IF(RegistroSaidas[[#This Row],[Data da Competência]]="",0,YEAR(RegistroSaidas[[#This Row],[Data da Competência]]))</f>
        <v>2017</v>
      </c>
      <c r="M25" s="38">
        <f xml:space="preserve"> IF(RegistroSaidas[[#This Row],[Data do Caixa Previsto]]="",0,MONTH(RegistroSaidas[[#This Row],[Data do Caixa Previsto]]))</f>
        <v>11</v>
      </c>
      <c r="N25" s="38">
        <f xml:space="preserve"> IF(RegistroSaidas[[#This Row],[Data do Caixa Previsto]]="",0,YEAR(RegistroSaidas[[#This Row],[Data do Caixa Previsto]]))</f>
        <v>2017</v>
      </c>
      <c r="O25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4.5936627882620087</v>
      </c>
    </row>
    <row r="26" spans="2:15" ht="20.100000000000001" customHeight="1" x14ac:dyDescent="0.25">
      <c r="B26" s="9">
        <v>43134.239961092644</v>
      </c>
      <c r="C26" s="9">
        <v>43022</v>
      </c>
      <c r="D26" s="9">
        <v>43045.041972262814</v>
      </c>
      <c r="E26" t="s">
        <v>34</v>
      </c>
      <c r="F26" t="s">
        <v>40</v>
      </c>
      <c r="G26" t="s">
        <v>306</v>
      </c>
      <c r="H26" s="10">
        <v>145</v>
      </c>
      <c r="I26">
        <f>IF(RegistroSaidas[[#This Row],[Data do Caixa Realizado]] = "", 0, MONTH(RegistroSaidas[[#This Row],[Data do Caixa Realizado]]))</f>
        <v>2</v>
      </c>
      <c r="J26">
        <f>IF(RegistroSaidas[[#This Row],[Data do Caixa Realizado]] = "",0,YEAR(RegistroSaidas[[#This Row],[Data do Caixa Realizado]]))</f>
        <v>2018</v>
      </c>
      <c r="K26" s="38">
        <f xml:space="preserve"> IF(RegistroSaidas[[#This Row],[Data da Competência]]="",0,MONTH(RegistroSaidas[[#This Row],[Data da Competência]]))</f>
        <v>10</v>
      </c>
      <c r="L26" s="38">
        <f xml:space="preserve"> IF(RegistroSaidas[[#This Row],[Data da Competência]]="",0,YEAR(RegistroSaidas[[#This Row],[Data da Competência]]))</f>
        <v>2017</v>
      </c>
      <c r="M26" s="38">
        <f xml:space="preserve"> IF(RegistroSaidas[[#This Row],[Data do Caixa Previsto]]="",0,MONTH(RegistroSaidas[[#This Row],[Data do Caixa Previsto]]))</f>
        <v>11</v>
      </c>
      <c r="N26" s="38">
        <f xml:space="preserve"> IF(RegistroSaidas[[#This Row],[Data do Caixa Previsto]]="",0,YEAR(RegistroSaidas[[#This Row],[Data do Caixa Previsto]]))</f>
        <v>2017</v>
      </c>
      <c r="O26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89.197988829830138</v>
      </c>
    </row>
    <row r="27" spans="2:15" ht="20.100000000000001" customHeight="1" x14ac:dyDescent="0.25">
      <c r="B27" s="9">
        <v>43051.301144712357</v>
      </c>
      <c r="C27" s="9">
        <v>43024</v>
      </c>
      <c r="D27" s="9">
        <v>43031.245493844843</v>
      </c>
      <c r="E27" t="s">
        <v>34</v>
      </c>
      <c r="F27" t="s">
        <v>40</v>
      </c>
      <c r="G27" t="s">
        <v>307</v>
      </c>
      <c r="H27" s="10">
        <v>1311</v>
      </c>
      <c r="I27">
        <f>IF(RegistroSaidas[[#This Row],[Data do Caixa Realizado]] = "", 0, MONTH(RegistroSaidas[[#This Row],[Data do Caixa Realizado]]))</f>
        <v>11</v>
      </c>
      <c r="J27">
        <f>IF(RegistroSaidas[[#This Row],[Data do Caixa Realizado]] = "",0,YEAR(RegistroSaidas[[#This Row],[Data do Caixa Realizado]]))</f>
        <v>2017</v>
      </c>
      <c r="K27" s="38">
        <f xml:space="preserve"> IF(RegistroSaidas[[#This Row],[Data da Competência]]="",0,MONTH(RegistroSaidas[[#This Row],[Data da Competência]]))</f>
        <v>10</v>
      </c>
      <c r="L27" s="38">
        <f xml:space="preserve"> IF(RegistroSaidas[[#This Row],[Data da Competência]]="",0,YEAR(RegistroSaidas[[#This Row],[Data da Competência]]))</f>
        <v>2017</v>
      </c>
      <c r="M27" s="38">
        <f xml:space="preserve"> IF(RegistroSaidas[[#This Row],[Data do Caixa Previsto]]="",0,MONTH(RegistroSaidas[[#This Row],[Data do Caixa Previsto]]))</f>
        <v>10</v>
      </c>
      <c r="N27" s="38">
        <f xml:space="preserve"> IF(RegistroSaidas[[#This Row],[Data do Caixa Previsto]]="",0,YEAR(RegistroSaidas[[#This Row],[Data do Caixa Previsto]]))</f>
        <v>2017</v>
      </c>
      <c r="O27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20.055650867514487</v>
      </c>
    </row>
    <row r="28" spans="2:15" ht="20.100000000000001" customHeight="1" x14ac:dyDescent="0.25">
      <c r="B28" s="9">
        <v>43059.361635124777</v>
      </c>
      <c r="C28" s="9">
        <v>43026</v>
      </c>
      <c r="D28" s="9">
        <v>43059.361635124777</v>
      </c>
      <c r="E28" t="s">
        <v>34</v>
      </c>
      <c r="F28" t="s">
        <v>40</v>
      </c>
      <c r="G28" t="s">
        <v>308</v>
      </c>
      <c r="H28" s="10">
        <v>4182</v>
      </c>
      <c r="I28">
        <f>IF(RegistroSaidas[[#This Row],[Data do Caixa Realizado]] = "", 0, MONTH(RegistroSaidas[[#This Row],[Data do Caixa Realizado]]))</f>
        <v>11</v>
      </c>
      <c r="J28">
        <f>IF(RegistroSaidas[[#This Row],[Data do Caixa Realizado]] = "",0,YEAR(RegistroSaidas[[#This Row],[Data do Caixa Realizado]]))</f>
        <v>2017</v>
      </c>
      <c r="K28" s="38">
        <f xml:space="preserve"> IF(RegistroSaidas[[#This Row],[Data da Competência]]="",0,MONTH(RegistroSaidas[[#This Row],[Data da Competência]]))</f>
        <v>10</v>
      </c>
      <c r="L28" s="38">
        <f xml:space="preserve"> IF(RegistroSaidas[[#This Row],[Data da Competência]]="",0,YEAR(RegistroSaidas[[#This Row],[Data da Competência]]))</f>
        <v>2017</v>
      </c>
      <c r="M28" s="38">
        <f xml:space="preserve"> IF(RegistroSaidas[[#This Row],[Data do Caixa Previsto]]="",0,MONTH(RegistroSaidas[[#This Row],[Data do Caixa Previsto]]))</f>
        <v>11</v>
      </c>
      <c r="N28" s="38">
        <f xml:space="preserve"> IF(RegistroSaidas[[#This Row],[Data do Caixa Previsto]]="",0,YEAR(RegistroSaidas[[#This Row],[Data do Caixa Previsto]]))</f>
        <v>2017</v>
      </c>
      <c r="O28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29" spans="2:15" ht="20.100000000000001" customHeight="1" x14ac:dyDescent="0.25">
      <c r="B29" s="9">
        <v>43037.396901300337</v>
      </c>
      <c r="C29" s="9">
        <v>43032</v>
      </c>
      <c r="D29" s="9">
        <v>43037.396901300337</v>
      </c>
      <c r="E29" t="s">
        <v>34</v>
      </c>
      <c r="F29" t="s">
        <v>30</v>
      </c>
      <c r="G29" t="s">
        <v>309</v>
      </c>
      <c r="H29" s="10">
        <v>339</v>
      </c>
      <c r="I29">
        <f>IF(RegistroSaidas[[#This Row],[Data do Caixa Realizado]] = "", 0, MONTH(RegistroSaidas[[#This Row],[Data do Caixa Realizado]]))</f>
        <v>10</v>
      </c>
      <c r="J29">
        <f>IF(RegistroSaidas[[#This Row],[Data do Caixa Realizado]] = "",0,YEAR(RegistroSaidas[[#This Row],[Data do Caixa Realizado]]))</f>
        <v>2017</v>
      </c>
      <c r="K29" s="38">
        <f xml:space="preserve"> IF(RegistroSaidas[[#This Row],[Data da Competência]]="",0,MONTH(RegistroSaidas[[#This Row],[Data da Competência]]))</f>
        <v>10</v>
      </c>
      <c r="L29" s="38">
        <f xml:space="preserve"> IF(RegistroSaidas[[#This Row],[Data da Competência]]="",0,YEAR(RegistroSaidas[[#This Row],[Data da Competência]]))</f>
        <v>2017</v>
      </c>
      <c r="M29" s="38">
        <f xml:space="preserve"> IF(RegistroSaidas[[#This Row],[Data do Caixa Previsto]]="",0,MONTH(RegistroSaidas[[#This Row],[Data do Caixa Previsto]]))</f>
        <v>10</v>
      </c>
      <c r="N29" s="38">
        <f xml:space="preserve"> IF(RegistroSaidas[[#This Row],[Data do Caixa Previsto]]="",0,YEAR(RegistroSaidas[[#This Row],[Data do Caixa Previsto]]))</f>
        <v>2017</v>
      </c>
      <c r="O29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30" spans="2:15" ht="20.100000000000001" customHeight="1" x14ac:dyDescent="0.25">
      <c r="B30" s="9">
        <v>43130.980668733508</v>
      </c>
      <c r="C30" s="9">
        <v>43037</v>
      </c>
      <c r="D30" s="9">
        <v>43068.17516674153</v>
      </c>
      <c r="E30" t="s">
        <v>34</v>
      </c>
      <c r="F30" t="s">
        <v>29</v>
      </c>
      <c r="G30" t="s">
        <v>310</v>
      </c>
      <c r="H30" s="10">
        <v>1788</v>
      </c>
      <c r="I30">
        <f>IF(RegistroSaidas[[#This Row],[Data do Caixa Realizado]] = "", 0, MONTH(RegistroSaidas[[#This Row],[Data do Caixa Realizado]]))</f>
        <v>1</v>
      </c>
      <c r="J30">
        <f>IF(RegistroSaidas[[#This Row],[Data do Caixa Realizado]] = "",0,YEAR(RegistroSaidas[[#This Row],[Data do Caixa Realizado]]))</f>
        <v>2018</v>
      </c>
      <c r="K30" s="38">
        <f xml:space="preserve"> IF(RegistroSaidas[[#This Row],[Data da Competência]]="",0,MONTH(RegistroSaidas[[#This Row],[Data da Competência]]))</f>
        <v>10</v>
      </c>
      <c r="L30" s="38">
        <f xml:space="preserve"> IF(RegistroSaidas[[#This Row],[Data da Competência]]="",0,YEAR(RegistroSaidas[[#This Row],[Data da Competência]]))</f>
        <v>2017</v>
      </c>
      <c r="M30" s="38">
        <f xml:space="preserve"> IF(RegistroSaidas[[#This Row],[Data do Caixa Previsto]]="",0,MONTH(RegistroSaidas[[#This Row],[Data do Caixa Previsto]]))</f>
        <v>11</v>
      </c>
      <c r="N30" s="38">
        <f xml:space="preserve"> IF(RegistroSaidas[[#This Row],[Data do Caixa Previsto]]="",0,YEAR(RegistroSaidas[[#This Row],[Data do Caixa Previsto]]))</f>
        <v>2017</v>
      </c>
      <c r="O30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62.805501991977508</v>
      </c>
    </row>
    <row r="31" spans="2:15" ht="20.100000000000001" customHeight="1" x14ac:dyDescent="0.25">
      <c r="B31" s="9">
        <v>43089.045976990965</v>
      </c>
      <c r="C31" s="9">
        <v>43042</v>
      </c>
      <c r="D31" s="9">
        <v>43089.045976990965</v>
      </c>
      <c r="E31" t="s">
        <v>34</v>
      </c>
      <c r="F31" t="s">
        <v>31</v>
      </c>
      <c r="G31" t="s">
        <v>311</v>
      </c>
      <c r="H31" s="10">
        <v>1171</v>
      </c>
      <c r="I31">
        <f>IF(RegistroSaidas[[#This Row],[Data do Caixa Realizado]] = "", 0, MONTH(RegistroSaidas[[#This Row],[Data do Caixa Realizado]]))</f>
        <v>12</v>
      </c>
      <c r="J31">
        <f>IF(RegistroSaidas[[#This Row],[Data do Caixa Realizado]] = "",0,YEAR(RegistroSaidas[[#This Row],[Data do Caixa Realizado]]))</f>
        <v>2017</v>
      </c>
      <c r="K31" s="38">
        <f xml:space="preserve"> IF(RegistroSaidas[[#This Row],[Data da Competência]]="",0,MONTH(RegistroSaidas[[#This Row],[Data da Competência]]))</f>
        <v>11</v>
      </c>
      <c r="L31" s="38">
        <f xml:space="preserve"> IF(RegistroSaidas[[#This Row],[Data da Competência]]="",0,YEAR(RegistroSaidas[[#This Row],[Data da Competência]]))</f>
        <v>2017</v>
      </c>
      <c r="M31" s="38">
        <f xml:space="preserve"> IF(RegistroSaidas[[#This Row],[Data do Caixa Previsto]]="",0,MONTH(RegistroSaidas[[#This Row],[Data do Caixa Previsto]]))</f>
        <v>12</v>
      </c>
      <c r="N31" s="38">
        <f xml:space="preserve"> IF(RegistroSaidas[[#This Row],[Data do Caixa Previsto]]="",0,YEAR(RegistroSaidas[[#This Row],[Data do Caixa Previsto]]))</f>
        <v>2017</v>
      </c>
      <c r="O31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32" spans="2:15" ht="20.100000000000001" customHeight="1" x14ac:dyDescent="0.25">
      <c r="B32" s="9">
        <v>43053.799831016353</v>
      </c>
      <c r="C32" s="9">
        <v>43044</v>
      </c>
      <c r="D32" s="9">
        <v>43053.799831016353</v>
      </c>
      <c r="E32" t="s">
        <v>34</v>
      </c>
      <c r="F32" t="s">
        <v>40</v>
      </c>
      <c r="G32" t="s">
        <v>312</v>
      </c>
      <c r="H32" s="10">
        <v>4059</v>
      </c>
      <c r="I32">
        <f>IF(RegistroSaidas[[#This Row],[Data do Caixa Realizado]] = "", 0, MONTH(RegistroSaidas[[#This Row],[Data do Caixa Realizado]]))</f>
        <v>11</v>
      </c>
      <c r="J32">
        <f>IF(RegistroSaidas[[#This Row],[Data do Caixa Realizado]] = "",0,YEAR(RegistroSaidas[[#This Row],[Data do Caixa Realizado]]))</f>
        <v>2017</v>
      </c>
      <c r="K32" s="38">
        <f xml:space="preserve"> IF(RegistroSaidas[[#This Row],[Data da Competência]]="",0,MONTH(RegistroSaidas[[#This Row],[Data da Competência]]))</f>
        <v>11</v>
      </c>
      <c r="L32" s="38">
        <f xml:space="preserve"> IF(RegistroSaidas[[#This Row],[Data da Competência]]="",0,YEAR(RegistroSaidas[[#This Row],[Data da Competência]]))</f>
        <v>2017</v>
      </c>
      <c r="M32" s="38">
        <f xml:space="preserve"> IF(RegistroSaidas[[#This Row],[Data do Caixa Previsto]]="",0,MONTH(RegistroSaidas[[#This Row],[Data do Caixa Previsto]]))</f>
        <v>11</v>
      </c>
      <c r="N32" s="38">
        <f xml:space="preserve"> IF(RegistroSaidas[[#This Row],[Data do Caixa Previsto]]="",0,YEAR(RegistroSaidas[[#This Row],[Data do Caixa Previsto]]))</f>
        <v>2017</v>
      </c>
      <c r="O32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33" spans="2:15" ht="20.100000000000001" customHeight="1" x14ac:dyDescent="0.25">
      <c r="B33" s="9">
        <v>43080.068251063065</v>
      </c>
      <c r="C33" s="9">
        <v>43047</v>
      </c>
      <c r="D33" s="9">
        <v>43080.068251063065</v>
      </c>
      <c r="E33" t="s">
        <v>34</v>
      </c>
      <c r="F33" t="s">
        <v>33</v>
      </c>
      <c r="G33" t="s">
        <v>313</v>
      </c>
      <c r="H33" s="10">
        <v>4919</v>
      </c>
      <c r="I33">
        <f>IF(RegistroSaidas[[#This Row],[Data do Caixa Realizado]] = "", 0, MONTH(RegistroSaidas[[#This Row],[Data do Caixa Realizado]]))</f>
        <v>12</v>
      </c>
      <c r="J33">
        <f>IF(RegistroSaidas[[#This Row],[Data do Caixa Realizado]] = "",0,YEAR(RegistroSaidas[[#This Row],[Data do Caixa Realizado]]))</f>
        <v>2017</v>
      </c>
      <c r="K33" s="38">
        <f xml:space="preserve"> IF(RegistroSaidas[[#This Row],[Data da Competência]]="",0,MONTH(RegistroSaidas[[#This Row],[Data da Competência]]))</f>
        <v>11</v>
      </c>
      <c r="L33" s="38">
        <f xml:space="preserve"> IF(RegistroSaidas[[#This Row],[Data da Competência]]="",0,YEAR(RegistroSaidas[[#This Row],[Data da Competência]]))</f>
        <v>2017</v>
      </c>
      <c r="M33" s="38">
        <f xml:space="preserve"> IF(RegistroSaidas[[#This Row],[Data do Caixa Previsto]]="",0,MONTH(RegistroSaidas[[#This Row],[Data do Caixa Previsto]]))</f>
        <v>12</v>
      </c>
      <c r="N33" s="38">
        <f xml:space="preserve"> IF(RegistroSaidas[[#This Row],[Data do Caixa Previsto]]="",0,YEAR(RegistroSaidas[[#This Row],[Data do Caixa Previsto]]))</f>
        <v>2017</v>
      </c>
      <c r="O33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34" spans="2:15" ht="20.100000000000001" customHeight="1" x14ac:dyDescent="0.25">
      <c r="B34" s="9">
        <v>43097.450419750799</v>
      </c>
      <c r="C34" s="9">
        <v>43051</v>
      </c>
      <c r="D34" s="9">
        <v>43087.512329668702</v>
      </c>
      <c r="E34" t="s">
        <v>34</v>
      </c>
      <c r="F34" t="s">
        <v>40</v>
      </c>
      <c r="G34" t="s">
        <v>314</v>
      </c>
      <c r="H34" s="10">
        <v>3224</v>
      </c>
      <c r="I34">
        <f>IF(RegistroSaidas[[#This Row],[Data do Caixa Realizado]] = "", 0, MONTH(RegistroSaidas[[#This Row],[Data do Caixa Realizado]]))</f>
        <v>12</v>
      </c>
      <c r="J34">
        <f>IF(RegistroSaidas[[#This Row],[Data do Caixa Realizado]] = "",0,YEAR(RegistroSaidas[[#This Row],[Data do Caixa Realizado]]))</f>
        <v>2017</v>
      </c>
      <c r="K34" s="38">
        <f xml:space="preserve"> IF(RegistroSaidas[[#This Row],[Data da Competência]]="",0,MONTH(RegistroSaidas[[#This Row],[Data da Competência]]))</f>
        <v>11</v>
      </c>
      <c r="L34" s="38">
        <f xml:space="preserve"> IF(RegistroSaidas[[#This Row],[Data da Competência]]="",0,YEAR(RegistroSaidas[[#This Row],[Data da Competência]]))</f>
        <v>2017</v>
      </c>
      <c r="M34" s="38">
        <f xml:space="preserve"> IF(RegistroSaidas[[#This Row],[Data do Caixa Previsto]]="",0,MONTH(RegistroSaidas[[#This Row],[Data do Caixa Previsto]]))</f>
        <v>12</v>
      </c>
      <c r="N34" s="38">
        <f xml:space="preserve"> IF(RegistroSaidas[[#This Row],[Data do Caixa Previsto]]="",0,YEAR(RegistroSaidas[[#This Row],[Data do Caixa Previsto]]))</f>
        <v>2017</v>
      </c>
      <c r="O34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9.938090082097915</v>
      </c>
    </row>
    <row r="35" spans="2:15" ht="20.100000000000001" customHeight="1" x14ac:dyDescent="0.25">
      <c r="B35" s="9">
        <v>43095.145797073659</v>
      </c>
      <c r="C35" s="9">
        <v>43054</v>
      </c>
      <c r="D35" s="9">
        <v>43095.145797073659</v>
      </c>
      <c r="E35" t="s">
        <v>34</v>
      </c>
      <c r="F35" t="s">
        <v>31</v>
      </c>
      <c r="G35" t="s">
        <v>315</v>
      </c>
      <c r="H35" s="10">
        <v>3725</v>
      </c>
      <c r="I35">
        <f>IF(RegistroSaidas[[#This Row],[Data do Caixa Realizado]] = "", 0, MONTH(RegistroSaidas[[#This Row],[Data do Caixa Realizado]]))</f>
        <v>12</v>
      </c>
      <c r="J35">
        <f>IF(RegistroSaidas[[#This Row],[Data do Caixa Realizado]] = "",0,YEAR(RegistroSaidas[[#This Row],[Data do Caixa Realizado]]))</f>
        <v>2017</v>
      </c>
      <c r="K35" s="38">
        <f xml:space="preserve"> IF(RegistroSaidas[[#This Row],[Data da Competência]]="",0,MONTH(RegistroSaidas[[#This Row],[Data da Competência]]))</f>
        <v>11</v>
      </c>
      <c r="L35" s="38">
        <f xml:space="preserve"> IF(RegistroSaidas[[#This Row],[Data da Competência]]="",0,YEAR(RegistroSaidas[[#This Row],[Data da Competência]]))</f>
        <v>2017</v>
      </c>
      <c r="M35" s="38">
        <f xml:space="preserve"> IF(RegistroSaidas[[#This Row],[Data do Caixa Previsto]]="",0,MONTH(RegistroSaidas[[#This Row],[Data do Caixa Previsto]]))</f>
        <v>12</v>
      </c>
      <c r="N35" s="38">
        <f xml:space="preserve"> IF(RegistroSaidas[[#This Row],[Data do Caixa Previsto]]="",0,YEAR(RegistroSaidas[[#This Row],[Data do Caixa Previsto]]))</f>
        <v>2017</v>
      </c>
      <c r="O35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36" spans="2:15" ht="20.100000000000001" customHeight="1" x14ac:dyDescent="0.25">
      <c r="B36" s="9">
        <v>43085.287677276574</v>
      </c>
      <c r="C36" s="9">
        <v>43056</v>
      </c>
      <c r="D36" s="9">
        <v>43085.287677276574</v>
      </c>
      <c r="E36" t="s">
        <v>34</v>
      </c>
      <c r="F36" t="s">
        <v>31</v>
      </c>
      <c r="G36" t="s">
        <v>316</v>
      </c>
      <c r="H36" s="10">
        <v>312</v>
      </c>
      <c r="I36">
        <f>IF(RegistroSaidas[[#This Row],[Data do Caixa Realizado]] = "", 0, MONTH(RegistroSaidas[[#This Row],[Data do Caixa Realizado]]))</f>
        <v>12</v>
      </c>
      <c r="J36">
        <f>IF(RegistroSaidas[[#This Row],[Data do Caixa Realizado]] = "",0,YEAR(RegistroSaidas[[#This Row],[Data do Caixa Realizado]]))</f>
        <v>2017</v>
      </c>
      <c r="K36" s="38">
        <f xml:space="preserve"> IF(RegistroSaidas[[#This Row],[Data da Competência]]="",0,MONTH(RegistroSaidas[[#This Row],[Data da Competência]]))</f>
        <v>11</v>
      </c>
      <c r="L36" s="38">
        <f xml:space="preserve"> IF(RegistroSaidas[[#This Row],[Data da Competência]]="",0,YEAR(RegistroSaidas[[#This Row],[Data da Competência]]))</f>
        <v>2017</v>
      </c>
      <c r="M36" s="38">
        <f xml:space="preserve"> IF(RegistroSaidas[[#This Row],[Data do Caixa Previsto]]="",0,MONTH(RegistroSaidas[[#This Row],[Data do Caixa Previsto]]))</f>
        <v>12</v>
      </c>
      <c r="N36" s="38">
        <f xml:space="preserve"> IF(RegistroSaidas[[#This Row],[Data do Caixa Previsto]]="",0,YEAR(RegistroSaidas[[#This Row],[Data do Caixa Previsto]]))</f>
        <v>2017</v>
      </c>
      <c r="O36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37" spans="2:15" ht="20.100000000000001" customHeight="1" x14ac:dyDescent="0.25">
      <c r="B37" s="9">
        <v>43112.669025156058</v>
      </c>
      <c r="C37" s="9">
        <v>43057</v>
      </c>
      <c r="D37" s="9">
        <v>43112.669025156058</v>
      </c>
      <c r="E37" t="s">
        <v>34</v>
      </c>
      <c r="F37" t="s">
        <v>40</v>
      </c>
      <c r="G37" t="s">
        <v>317</v>
      </c>
      <c r="H37" s="10">
        <v>4773</v>
      </c>
      <c r="I37">
        <f>IF(RegistroSaidas[[#This Row],[Data do Caixa Realizado]] = "", 0, MONTH(RegistroSaidas[[#This Row],[Data do Caixa Realizado]]))</f>
        <v>1</v>
      </c>
      <c r="J37">
        <f>IF(RegistroSaidas[[#This Row],[Data do Caixa Realizado]] = "",0,YEAR(RegistroSaidas[[#This Row],[Data do Caixa Realizado]]))</f>
        <v>2018</v>
      </c>
      <c r="K37" s="38">
        <f xml:space="preserve"> IF(RegistroSaidas[[#This Row],[Data da Competência]]="",0,MONTH(RegistroSaidas[[#This Row],[Data da Competência]]))</f>
        <v>11</v>
      </c>
      <c r="L37" s="38">
        <f xml:space="preserve"> IF(RegistroSaidas[[#This Row],[Data da Competência]]="",0,YEAR(RegistroSaidas[[#This Row],[Data da Competência]]))</f>
        <v>2017</v>
      </c>
      <c r="M37" s="38">
        <f xml:space="preserve"> IF(RegistroSaidas[[#This Row],[Data do Caixa Previsto]]="",0,MONTH(RegistroSaidas[[#This Row],[Data do Caixa Previsto]]))</f>
        <v>1</v>
      </c>
      <c r="N37" s="38">
        <f xml:space="preserve"> IF(RegistroSaidas[[#This Row],[Data do Caixa Previsto]]="",0,YEAR(RegistroSaidas[[#This Row],[Data do Caixa Previsto]]))</f>
        <v>2018</v>
      </c>
      <c r="O37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38" spans="2:15" ht="20.100000000000001" customHeight="1" x14ac:dyDescent="0.25">
      <c r="B38" s="9">
        <v>43076.636591836308</v>
      </c>
      <c r="C38" s="9">
        <v>43058</v>
      </c>
      <c r="D38" s="9">
        <v>43076.636591836308</v>
      </c>
      <c r="E38" t="s">
        <v>34</v>
      </c>
      <c r="F38" t="s">
        <v>33</v>
      </c>
      <c r="G38" t="s">
        <v>318</v>
      </c>
      <c r="H38" s="10">
        <v>228</v>
      </c>
      <c r="I38">
        <f>IF(RegistroSaidas[[#This Row],[Data do Caixa Realizado]] = "", 0, MONTH(RegistroSaidas[[#This Row],[Data do Caixa Realizado]]))</f>
        <v>12</v>
      </c>
      <c r="J38">
        <f>IF(RegistroSaidas[[#This Row],[Data do Caixa Realizado]] = "",0,YEAR(RegistroSaidas[[#This Row],[Data do Caixa Realizado]]))</f>
        <v>2017</v>
      </c>
      <c r="K38" s="38">
        <f xml:space="preserve"> IF(RegistroSaidas[[#This Row],[Data da Competência]]="",0,MONTH(RegistroSaidas[[#This Row],[Data da Competência]]))</f>
        <v>11</v>
      </c>
      <c r="L38" s="38">
        <f xml:space="preserve"> IF(RegistroSaidas[[#This Row],[Data da Competência]]="",0,YEAR(RegistroSaidas[[#This Row],[Data da Competência]]))</f>
        <v>2017</v>
      </c>
      <c r="M38" s="38">
        <f xml:space="preserve"> IF(RegistroSaidas[[#This Row],[Data do Caixa Previsto]]="",0,MONTH(RegistroSaidas[[#This Row],[Data do Caixa Previsto]]))</f>
        <v>12</v>
      </c>
      <c r="N38" s="38">
        <f xml:space="preserve"> IF(RegistroSaidas[[#This Row],[Data do Caixa Previsto]]="",0,YEAR(RegistroSaidas[[#This Row],[Data do Caixa Previsto]]))</f>
        <v>2017</v>
      </c>
      <c r="O38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39" spans="2:15" ht="20.100000000000001" customHeight="1" x14ac:dyDescent="0.25">
      <c r="B39" s="9">
        <v>43097.776800296095</v>
      </c>
      <c r="C39" s="9">
        <v>43061</v>
      </c>
      <c r="D39" s="9">
        <v>43097.776800296095</v>
      </c>
      <c r="E39" t="s">
        <v>34</v>
      </c>
      <c r="F39" t="s">
        <v>40</v>
      </c>
      <c r="G39" t="s">
        <v>319</v>
      </c>
      <c r="H39" s="10">
        <v>450</v>
      </c>
      <c r="I39">
        <f>IF(RegistroSaidas[[#This Row],[Data do Caixa Realizado]] = "", 0, MONTH(RegistroSaidas[[#This Row],[Data do Caixa Realizado]]))</f>
        <v>12</v>
      </c>
      <c r="J39">
        <f>IF(RegistroSaidas[[#This Row],[Data do Caixa Realizado]] = "",0,YEAR(RegistroSaidas[[#This Row],[Data do Caixa Realizado]]))</f>
        <v>2017</v>
      </c>
      <c r="K39" s="38">
        <f xml:space="preserve"> IF(RegistroSaidas[[#This Row],[Data da Competência]]="",0,MONTH(RegistroSaidas[[#This Row],[Data da Competência]]))</f>
        <v>11</v>
      </c>
      <c r="L39" s="38">
        <f xml:space="preserve"> IF(RegistroSaidas[[#This Row],[Data da Competência]]="",0,YEAR(RegistroSaidas[[#This Row],[Data da Competência]]))</f>
        <v>2017</v>
      </c>
      <c r="M39" s="38">
        <f xml:space="preserve"> IF(RegistroSaidas[[#This Row],[Data do Caixa Previsto]]="",0,MONTH(RegistroSaidas[[#This Row],[Data do Caixa Previsto]]))</f>
        <v>12</v>
      </c>
      <c r="N39" s="38">
        <f xml:space="preserve"> IF(RegistroSaidas[[#This Row],[Data do Caixa Previsto]]="",0,YEAR(RegistroSaidas[[#This Row],[Data do Caixa Previsto]]))</f>
        <v>2017</v>
      </c>
      <c r="O39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40" spans="2:15" ht="20.100000000000001" customHeight="1" x14ac:dyDescent="0.25">
      <c r="B40" s="9" t="s">
        <v>64</v>
      </c>
      <c r="C40" s="9">
        <v>43062</v>
      </c>
      <c r="D40" s="9">
        <v>43103.4086174822</v>
      </c>
      <c r="E40" t="s">
        <v>34</v>
      </c>
      <c r="F40" t="s">
        <v>40</v>
      </c>
      <c r="G40" t="s">
        <v>320</v>
      </c>
      <c r="H40" s="10">
        <v>1155</v>
      </c>
      <c r="I40">
        <f>IF(RegistroSaidas[[#This Row],[Data do Caixa Realizado]] = "", 0, MONTH(RegistroSaidas[[#This Row],[Data do Caixa Realizado]]))</f>
        <v>0</v>
      </c>
      <c r="J40">
        <f>IF(RegistroSaidas[[#This Row],[Data do Caixa Realizado]] = "",0,YEAR(RegistroSaidas[[#This Row],[Data do Caixa Realizado]]))</f>
        <v>0</v>
      </c>
      <c r="K40" s="38">
        <f xml:space="preserve"> IF(RegistroSaidas[[#This Row],[Data da Competência]]="",0,MONTH(RegistroSaidas[[#This Row],[Data da Competência]]))</f>
        <v>11</v>
      </c>
      <c r="L40" s="38">
        <f xml:space="preserve"> IF(RegistroSaidas[[#This Row],[Data da Competência]]="",0,YEAR(RegistroSaidas[[#This Row],[Data da Competência]]))</f>
        <v>2017</v>
      </c>
      <c r="M40" s="38">
        <f xml:space="preserve"> IF(RegistroSaidas[[#This Row],[Data do Caixa Previsto]]="",0,MONTH(RegistroSaidas[[#This Row],[Data do Caixa Previsto]]))</f>
        <v>1</v>
      </c>
      <c r="N40" s="38">
        <f xml:space="preserve"> IF(RegistroSaidas[[#This Row],[Data do Caixa Previsto]]="",0,YEAR(RegistroSaidas[[#This Row],[Data do Caixa Previsto]]))</f>
        <v>2018</v>
      </c>
      <c r="O40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2112.5913825177995</v>
      </c>
    </row>
    <row r="41" spans="2:15" ht="20.100000000000001" customHeight="1" x14ac:dyDescent="0.25">
      <c r="B41" s="9" t="s">
        <v>64</v>
      </c>
      <c r="C41" s="9">
        <v>43069</v>
      </c>
      <c r="D41" s="9">
        <v>43070.024697534791</v>
      </c>
      <c r="E41" t="s">
        <v>34</v>
      </c>
      <c r="F41" t="s">
        <v>40</v>
      </c>
      <c r="G41" t="s">
        <v>289</v>
      </c>
      <c r="H41" s="10">
        <v>1967</v>
      </c>
      <c r="I41">
        <f>IF(RegistroSaidas[[#This Row],[Data do Caixa Realizado]] = "", 0, MONTH(RegistroSaidas[[#This Row],[Data do Caixa Realizado]]))</f>
        <v>0</v>
      </c>
      <c r="J41">
        <f>IF(RegistroSaidas[[#This Row],[Data do Caixa Realizado]] = "",0,YEAR(RegistroSaidas[[#This Row],[Data do Caixa Realizado]]))</f>
        <v>0</v>
      </c>
      <c r="K41" s="38">
        <f xml:space="preserve"> IF(RegistroSaidas[[#This Row],[Data da Competência]]="",0,MONTH(RegistroSaidas[[#This Row],[Data da Competência]]))</f>
        <v>11</v>
      </c>
      <c r="L41" s="38">
        <f xml:space="preserve"> IF(RegistroSaidas[[#This Row],[Data da Competência]]="",0,YEAR(RegistroSaidas[[#This Row],[Data da Competência]]))</f>
        <v>2017</v>
      </c>
      <c r="M41" s="38">
        <f xml:space="preserve"> IF(RegistroSaidas[[#This Row],[Data do Caixa Previsto]]="",0,MONTH(RegistroSaidas[[#This Row],[Data do Caixa Previsto]]))</f>
        <v>12</v>
      </c>
      <c r="N41" s="38">
        <f xml:space="preserve"> IF(RegistroSaidas[[#This Row],[Data do Caixa Previsto]]="",0,YEAR(RegistroSaidas[[#This Row],[Data do Caixa Previsto]]))</f>
        <v>2017</v>
      </c>
      <c r="O41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2145.9753024652091</v>
      </c>
    </row>
    <row r="42" spans="2:15" ht="20.100000000000001" customHeight="1" x14ac:dyDescent="0.25">
      <c r="B42" s="9">
        <v>43159.922520357031</v>
      </c>
      <c r="C42" s="9">
        <v>43070</v>
      </c>
      <c r="D42" s="9">
        <v>43096.096100611438</v>
      </c>
      <c r="E42" t="s">
        <v>34</v>
      </c>
      <c r="F42" t="s">
        <v>29</v>
      </c>
      <c r="G42" t="s">
        <v>321</v>
      </c>
      <c r="H42" s="10">
        <v>2741</v>
      </c>
      <c r="I42">
        <f>IF(RegistroSaidas[[#This Row],[Data do Caixa Realizado]] = "", 0, MONTH(RegistroSaidas[[#This Row],[Data do Caixa Realizado]]))</f>
        <v>2</v>
      </c>
      <c r="J42">
        <f>IF(RegistroSaidas[[#This Row],[Data do Caixa Realizado]] = "",0,YEAR(RegistroSaidas[[#This Row],[Data do Caixa Realizado]]))</f>
        <v>2018</v>
      </c>
      <c r="K42" s="38">
        <f xml:space="preserve"> IF(RegistroSaidas[[#This Row],[Data da Competência]]="",0,MONTH(RegistroSaidas[[#This Row],[Data da Competência]]))</f>
        <v>12</v>
      </c>
      <c r="L42" s="38">
        <f xml:space="preserve"> IF(RegistroSaidas[[#This Row],[Data da Competência]]="",0,YEAR(RegistroSaidas[[#This Row],[Data da Competência]]))</f>
        <v>2017</v>
      </c>
      <c r="M42" s="38">
        <f xml:space="preserve"> IF(RegistroSaidas[[#This Row],[Data do Caixa Previsto]]="",0,MONTH(RegistroSaidas[[#This Row],[Data do Caixa Previsto]]))</f>
        <v>12</v>
      </c>
      <c r="N42" s="38">
        <f xml:space="preserve"> IF(RegistroSaidas[[#This Row],[Data do Caixa Previsto]]="",0,YEAR(RegistroSaidas[[#This Row],[Data do Caixa Previsto]]))</f>
        <v>2017</v>
      </c>
      <c r="O42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63.826419745593739</v>
      </c>
    </row>
    <row r="43" spans="2:15" ht="20.100000000000001" customHeight="1" x14ac:dyDescent="0.25">
      <c r="B43" s="9">
        <v>43125.34551811625</v>
      </c>
      <c r="C43" s="9">
        <v>43071</v>
      </c>
      <c r="D43" s="9">
        <v>43125.34551811625</v>
      </c>
      <c r="E43" t="s">
        <v>34</v>
      </c>
      <c r="F43" t="s">
        <v>30</v>
      </c>
      <c r="G43" t="s">
        <v>322</v>
      </c>
      <c r="H43" s="10">
        <v>1130</v>
      </c>
      <c r="I43">
        <f>IF(RegistroSaidas[[#This Row],[Data do Caixa Realizado]] = "", 0, MONTH(RegistroSaidas[[#This Row],[Data do Caixa Realizado]]))</f>
        <v>1</v>
      </c>
      <c r="J43">
        <f>IF(RegistroSaidas[[#This Row],[Data do Caixa Realizado]] = "",0,YEAR(RegistroSaidas[[#This Row],[Data do Caixa Realizado]]))</f>
        <v>2018</v>
      </c>
      <c r="K43" s="38">
        <f xml:space="preserve"> IF(RegistroSaidas[[#This Row],[Data da Competência]]="",0,MONTH(RegistroSaidas[[#This Row],[Data da Competência]]))</f>
        <v>12</v>
      </c>
      <c r="L43" s="38">
        <f xml:space="preserve"> IF(RegistroSaidas[[#This Row],[Data da Competência]]="",0,YEAR(RegistroSaidas[[#This Row],[Data da Competência]]))</f>
        <v>2017</v>
      </c>
      <c r="M43" s="38">
        <f xml:space="preserve"> IF(RegistroSaidas[[#This Row],[Data do Caixa Previsto]]="",0,MONTH(RegistroSaidas[[#This Row],[Data do Caixa Previsto]]))</f>
        <v>1</v>
      </c>
      <c r="N43" s="38">
        <f xml:space="preserve"> IF(RegistroSaidas[[#This Row],[Data do Caixa Previsto]]="",0,YEAR(RegistroSaidas[[#This Row],[Data do Caixa Previsto]]))</f>
        <v>2018</v>
      </c>
      <c r="O43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44" spans="2:15" ht="20.100000000000001" customHeight="1" x14ac:dyDescent="0.25">
      <c r="B44" s="9">
        <v>43118.533892290689</v>
      </c>
      <c r="C44" s="9">
        <v>43075</v>
      </c>
      <c r="D44" s="9">
        <v>43118.533892290689</v>
      </c>
      <c r="E44" t="s">
        <v>34</v>
      </c>
      <c r="F44" t="s">
        <v>31</v>
      </c>
      <c r="G44" t="s">
        <v>323</v>
      </c>
      <c r="H44" s="10">
        <v>4835</v>
      </c>
      <c r="I44">
        <f>IF(RegistroSaidas[[#This Row],[Data do Caixa Realizado]] = "", 0, MONTH(RegistroSaidas[[#This Row],[Data do Caixa Realizado]]))</f>
        <v>1</v>
      </c>
      <c r="J44">
        <f>IF(RegistroSaidas[[#This Row],[Data do Caixa Realizado]] = "",0,YEAR(RegistroSaidas[[#This Row],[Data do Caixa Realizado]]))</f>
        <v>2018</v>
      </c>
      <c r="K44" s="38">
        <f xml:space="preserve"> IF(RegistroSaidas[[#This Row],[Data da Competência]]="",0,MONTH(RegistroSaidas[[#This Row],[Data da Competência]]))</f>
        <v>12</v>
      </c>
      <c r="L44" s="38">
        <f xml:space="preserve"> IF(RegistroSaidas[[#This Row],[Data da Competência]]="",0,YEAR(RegistroSaidas[[#This Row],[Data da Competência]]))</f>
        <v>2017</v>
      </c>
      <c r="M44" s="38">
        <f xml:space="preserve"> IF(RegistroSaidas[[#This Row],[Data do Caixa Previsto]]="",0,MONTH(RegistroSaidas[[#This Row],[Data do Caixa Previsto]]))</f>
        <v>1</v>
      </c>
      <c r="N44" s="38">
        <f xml:space="preserve"> IF(RegistroSaidas[[#This Row],[Data do Caixa Previsto]]="",0,YEAR(RegistroSaidas[[#This Row],[Data do Caixa Previsto]]))</f>
        <v>2018</v>
      </c>
      <c r="O44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45" spans="2:15" ht="20.100000000000001" customHeight="1" x14ac:dyDescent="0.25">
      <c r="B45" s="9">
        <v>43129.076273391656</v>
      </c>
      <c r="C45" s="9">
        <v>43077</v>
      </c>
      <c r="D45" s="9">
        <v>43129.076273391656</v>
      </c>
      <c r="E45" t="s">
        <v>34</v>
      </c>
      <c r="F45" t="s">
        <v>29</v>
      </c>
      <c r="G45" t="s">
        <v>285</v>
      </c>
      <c r="H45" s="10">
        <v>1411</v>
      </c>
      <c r="I45">
        <f>IF(RegistroSaidas[[#This Row],[Data do Caixa Realizado]] = "", 0, MONTH(RegistroSaidas[[#This Row],[Data do Caixa Realizado]]))</f>
        <v>1</v>
      </c>
      <c r="J45">
        <f>IF(RegistroSaidas[[#This Row],[Data do Caixa Realizado]] = "",0,YEAR(RegistroSaidas[[#This Row],[Data do Caixa Realizado]]))</f>
        <v>2018</v>
      </c>
      <c r="K45" s="38">
        <f xml:space="preserve"> IF(RegistroSaidas[[#This Row],[Data da Competência]]="",0,MONTH(RegistroSaidas[[#This Row],[Data da Competência]]))</f>
        <v>12</v>
      </c>
      <c r="L45" s="38">
        <f xml:space="preserve"> IF(RegistroSaidas[[#This Row],[Data da Competência]]="",0,YEAR(RegistroSaidas[[#This Row],[Data da Competência]]))</f>
        <v>2017</v>
      </c>
      <c r="M45" s="38">
        <f xml:space="preserve"> IF(RegistroSaidas[[#This Row],[Data do Caixa Previsto]]="",0,MONTH(RegistroSaidas[[#This Row],[Data do Caixa Previsto]]))</f>
        <v>1</v>
      </c>
      <c r="N45" s="38">
        <f xml:space="preserve"> IF(RegistroSaidas[[#This Row],[Data do Caixa Previsto]]="",0,YEAR(RegistroSaidas[[#This Row],[Data do Caixa Previsto]]))</f>
        <v>2018</v>
      </c>
      <c r="O45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46" spans="2:15" ht="20.100000000000001" customHeight="1" x14ac:dyDescent="0.25">
      <c r="B46" s="9">
        <v>43099.632017726879</v>
      </c>
      <c r="C46" s="9">
        <v>43079</v>
      </c>
      <c r="D46" s="9">
        <v>43099.632017726879</v>
      </c>
      <c r="E46" t="s">
        <v>34</v>
      </c>
      <c r="F46" t="s">
        <v>40</v>
      </c>
      <c r="G46" t="s">
        <v>324</v>
      </c>
      <c r="H46" s="10">
        <v>457</v>
      </c>
      <c r="I46">
        <f>IF(RegistroSaidas[[#This Row],[Data do Caixa Realizado]] = "", 0, MONTH(RegistroSaidas[[#This Row],[Data do Caixa Realizado]]))</f>
        <v>12</v>
      </c>
      <c r="J46">
        <f>IF(RegistroSaidas[[#This Row],[Data do Caixa Realizado]] = "",0,YEAR(RegistroSaidas[[#This Row],[Data do Caixa Realizado]]))</f>
        <v>2017</v>
      </c>
      <c r="K46" s="38">
        <f xml:space="preserve"> IF(RegistroSaidas[[#This Row],[Data da Competência]]="",0,MONTH(RegistroSaidas[[#This Row],[Data da Competência]]))</f>
        <v>12</v>
      </c>
      <c r="L46" s="38">
        <f xml:space="preserve"> IF(RegistroSaidas[[#This Row],[Data da Competência]]="",0,YEAR(RegistroSaidas[[#This Row],[Data da Competência]]))</f>
        <v>2017</v>
      </c>
      <c r="M46" s="38">
        <f xml:space="preserve"> IF(RegistroSaidas[[#This Row],[Data do Caixa Previsto]]="",0,MONTH(RegistroSaidas[[#This Row],[Data do Caixa Previsto]]))</f>
        <v>12</v>
      </c>
      <c r="N46" s="38">
        <f xml:space="preserve"> IF(RegistroSaidas[[#This Row],[Data do Caixa Previsto]]="",0,YEAR(RegistroSaidas[[#This Row],[Data do Caixa Previsto]]))</f>
        <v>2017</v>
      </c>
      <c r="O46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47" spans="2:15" ht="20.100000000000001" customHeight="1" x14ac:dyDescent="0.25">
      <c r="B47" s="9">
        <v>43142.610706080763</v>
      </c>
      <c r="C47" s="9">
        <v>43084</v>
      </c>
      <c r="D47" s="9">
        <v>43142.610706080763</v>
      </c>
      <c r="E47" t="s">
        <v>34</v>
      </c>
      <c r="F47" t="s">
        <v>30</v>
      </c>
      <c r="G47" t="s">
        <v>325</v>
      </c>
      <c r="H47" s="10">
        <v>2623</v>
      </c>
      <c r="I47">
        <f>IF(RegistroSaidas[[#This Row],[Data do Caixa Realizado]] = "", 0, MONTH(RegistroSaidas[[#This Row],[Data do Caixa Realizado]]))</f>
        <v>2</v>
      </c>
      <c r="J47">
        <f>IF(RegistroSaidas[[#This Row],[Data do Caixa Realizado]] = "",0,YEAR(RegistroSaidas[[#This Row],[Data do Caixa Realizado]]))</f>
        <v>2018</v>
      </c>
      <c r="K47" s="38">
        <f xml:space="preserve"> IF(RegistroSaidas[[#This Row],[Data da Competência]]="",0,MONTH(RegistroSaidas[[#This Row],[Data da Competência]]))</f>
        <v>12</v>
      </c>
      <c r="L47" s="38">
        <f xml:space="preserve"> IF(RegistroSaidas[[#This Row],[Data da Competência]]="",0,YEAR(RegistroSaidas[[#This Row],[Data da Competência]]))</f>
        <v>2017</v>
      </c>
      <c r="M47" s="38">
        <f xml:space="preserve"> IF(RegistroSaidas[[#This Row],[Data do Caixa Previsto]]="",0,MONTH(RegistroSaidas[[#This Row],[Data do Caixa Previsto]]))</f>
        <v>2</v>
      </c>
      <c r="N47" s="38">
        <f xml:space="preserve"> IF(RegistroSaidas[[#This Row],[Data do Caixa Previsto]]="",0,YEAR(RegistroSaidas[[#This Row],[Data do Caixa Previsto]]))</f>
        <v>2018</v>
      </c>
      <c r="O47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48" spans="2:15" ht="20.100000000000001" customHeight="1" x14ac:dyDescent="0.25">
      <c r="B48" s="9">
        <v>43098.200846805485</v>
      </c>
      <c r="C48" s="9">
        <v>43086</v>
      </c>
      <c r="D48" s="9">
        <v>43098.200846805485</v>
      </c>
      <c r="E48" t="s">
        <v>34</v>
      </c>
      <c r="F48" t="s">
        <v>29</v>
      </c>
      <c r="G48" t="s">
        <v>326</v>
      </c>
      <c r="H48" s="10">
        <v>3440</v>
      </c>
      <c r="I48">
        <f>IF(RegistroSaidas[[#This Row],[Data do Caixa Realizado]] = "", 0, MONTH(RegistroSaidas[[#This Row],[Data do Caixa Realizado]]))</f>
        <v>12</v>
      </c>
      <c r="J48">
        <f>IF(RegistroSaidas[[#This Row],[Data do Caixa Realizado]] = "",0,YEAR(RegistroSaidas[[#This Row],[Data do Caixa Realizado]]))</f>
        <v>2017</v>
      </c>
      <c r="K48" s="38">
        <f xml:space="preserve"> IF(RegistroSaidas[[#This Row],[Data da Competência]]="",0,MONTH(RegistroSaidas[[#This Row],[Data da Competência]]))</f>
        <v>12</v>
      </c>
      <c r="L48" s="38">
        <f xml:space="preserve"> IF(RegistroSaidas[[#This Row],[Data da Competência]]="",0,YEAR(RegistroSaidas[[#This Row],[Data da Competência]]))</f>
        <v>2017</v>
      </c>
      <c r="M48" s="38">
        <f xml:space="preserve"> IF(RegistroSaidas[[#This Row],[Data do Caixa Previsto]]="",0,MONTH(RegistroSaidas[[#This Row],[Data do Caixa Previsto]]))</f>
        <v>12</v>
      </c>
      <c r="N48" s="38">
        <f xml:space="preserve"> IF(RegistroSaidas[[#This Row],[Data do Caixa Previsto]]="",0,YEAR(RegistroSaidas[[#This Row],[Data do Caixa Previsto]]))</f>
        <v>2017</v>
      </c>
      <c r="O48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49" spans="2:15" ht="20.100000000000001" customHeight="1" x14ac:dyDescent="0.25">
      <c r="B49" s="9">
        <v>43111.046742717648</v>
      </c>
      <c r="C49" s="9">
        <v>43089</v>
      </c>
      <c r="D49" s="9">
        <v>43111.046742717648</v>
      </c>
      <c r="E49" t="s">
        <v>34</v>
      </c>
      <c r="F49" t="s">
        <v>40</v>
      </c>
      <c r="G49" t="s">
        <v>327</v>
      </c>
      <c r="H49" s="10">
        <v>3993</v>
      </c>
      <c r="I49">
        <f>IF(RegistroSaidas[[#This Row],[Data do Caixa Realizado]] = "", 0, MONTH(RegistroSaidas[[#This Row],[Data do Caixa Realizado]]))</f>
        <v>1</v>
      </c>
      <c r="J49">
        <f>IF(RegistroSaidas[[#This Row],[Data do Caixa Realizado]] = "",0,YEAR(RegistroSaidas[[#This Row],[Data do Caixa Realizado]]))</f>
        <v>2018</v>
      </c>
      <c r="K49" s="38">
        <f xml:space="preserve"> IF(RegistroSaidas[[#This Row],[Data da Competência]]="",0,MONTH(RegistroSaidas[[#This Row],[Data da Competência]]))</f>
        <v>12</v>
      </c>
      <c r="L49" s="38">
        <f xml:space="preserve"> IF(RegistroSaidas[[#This Row],[Data da Competência]]="",0,YEAR(RegistroSaidas[[#This Row],[Data da Competência]]))</f>
        <v>2017</v>
      </c>
      <c r="M49" s="38">
        <f xml:space="preserve"> IF(RegistroSaidas[[#This Row],[Data do Caixa Previsto]]="",0,MONTH(RegistroSaidas[[#This Row],[Data do Caixa Previsto]]))</f>
        <v>1</v>
      </c>
      <c r="N49" s="38">
        <f xml:space="preserve"> IF(RegistroSaidas[[#This Row],[Data do Caixa Previsto]]="",0,YEAR(RegistroSaidas[[#This Row],[Data do Caixa Previsto]]))</f>
        <v>2018</v>
      </c>
      <c r="O49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50" spans="2:15" ht="20.100000000000001" customHeight="1" x14ac:dyDescent="0.25">
      <c r="B50" s="9">
        <v>43148.048932403181</v>
      </c>
      <c r="C50" s="9">
        <v>43090</v>
      </c>
      <c r="D50" s="9">
        <v>43148.048932403181</v>
      </c>
      <c r="E50" t="s">
        <v>34</v>
      </c>
      <c r="F50" t="s">
        <v>40</v>
      </c>
      <c r="G50" t="s">
        <v>328</v>
      </c>
      <c r="H50" s="10">
        <v>3273</v>
      </c>
      <c r="I50">
        <f>IF(RegistroSaidas[[#This Row],[Data do Caixa Realizado]] = "", 0, MONTH(RegistroSaidas[[#This Row],[Data do Caixa Realizado]]))</f>
        <v>2</v>
      </c>
      <c r="J50">
        <f>IF(RegistroSaidas[[#This Row],[Data do Caixa Realizado]] = "",0,YEAR(RegistroSaidas[[#This Row],[Data do Caixa Realizado]]))</f>
        <v>2018</v>
      </c>
      <c r="K50" s="38">
        <f xml:space="preserve"> IF(RegistroSaidas[[#This Row],[Data da Competência]]="",0,MONTH(RegistroSaidas[[#This Row],[Data da Competência]]))</f>
        <v>12</v>
      </c>
      <c r="L50" s="38">
        <f xml:space="preserve"> IF(RegistroSaidas[[#This Row],[Data da Competência]]="",0,YEAR(RegistroSaidas[[#This Row],[Data da Competência]]))</f>
        <v>2017</v>
      </c>
      <c r="M50" s="38">
        <f xml:space="preserve"> IF(RegistroSaidas[[#This Row],[Data do Caixa Previsto]]="",0,MONTH(RegistroSaidas[[#This Row],[Data do Caixa Previsto]]))</f>
        <v>2</v>
      </c>
      <c r="N50" s="38">
        <f xml:space="preserve"> IF(RegistroSaidas[[#This Row],[Data do Caixa Previsto]]="",0,YEAR(RegistroSaidas[[#This Row],[Data do Caixa Previsto]]))</f>
        <v>2018</v>
      </c>
      <c r="O50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51" spans="2:15" ht="20.100000000000001" customHeight="1" x14ac:dyDescent="0.25">
      <c r="B51" s="9">
        <v>43135.265910262075</v>
      </c>
      <c r="C51" s="9">
        <v>43094</v>
      </c>
      <c r="D51" s="9">
        <v>43135.265910262075</v>
      </c>
      <c r="E51" t="s">
        <v>34</v>
      </c>
      <c r="F51" t="s">
        <v>29</v>
      </c>
      <c r="G51" t="s">
        <v>329</v>
      </c>
      <c r="H51" s="10">
        <v>4494</v>
      </c>
      <c r="I51">
        <f>IF(RegistroSaidas[[#This Row],[Data do Caixa Realizado]] = "", 0, MONTH(RegistroSaidas[[#This Row],[Data do Caixa Realizado]]))</f>
        <v>2</v>
      </c>
      <c r="J51">
        <f>IF(RegistroSaidas[[#This Row],[Data do Caixa Realizado]] = "",0,YEAR(RegistroSaidas[[#This Row],[Data do Caixa Realizado]]))</f>
        <v>2018</v>
      </c>
      <c r="K51" s="38">
        <f xml:space="preserve"> IF(RegistroSaidas[[#This Row],[Data da Competência]]="",0,MONTH(RegistroSaidas[[#This Row],[Data da Competência]]))</f>
        <v>12</v>
      </c>
      <c r="L51" s="38">
        <f xml:space="preserve"> IF(RegistroSaidas[[#This Row],[Data da Competência]]="",0,YEAR(RegistroSaidas[[#This Row],[Data da Competência]]))</f>
        <v>2017</v>
      </c>
      <c r="M51" s="38">
        <f xml:space="preserve"> IF(RegistroSaidas[[#This Row],[Data do Caixa Previsto]]="",0,MONTH(RegistroSaidas[[#This Row],[Data do Caixa Previsto]]))</f>
        <v>2</v>
      </c>
      <c r="N51" s="38">
        <f xml:space="preserve"> IF(RegistroSaidas[[#This Row],[Data do Caixa Previsto]]="",0,YEAR(RegistroSaidas[[#This Row],[Data do Caixa Previsto]]))</f>
        <v>2018</v>
      </c>
      <c r="O51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52" spans="2:15" ht="20.100000000000001" customHeight="1" x14ac:dyDescent="0.25">
      <c r="B52" s="9">
        <v>43124.925483598126</v>
      </c>
      <c r="C52" s="9">
        <v>43096</v>
      </c>
      <c r="D52" s="9">
        <v>43124.925483598126</v>
      </c>
      <c r="E52" t="s">
        <v>34</v>
      </c>
      <c r="F52" t="s">
        <v>33</v>
      </c>
      <c r="G52" t="s">
        <v>330</v>
      </c>
      <c r="H52" s="10">
        <v>2511</v>
      </c>
      <c r="I52">
        <f>IF(RegistroSaidas[[#This Row],[Data do Caixa Realizado]] = "", 0, MONTH(RegistroSaidas[[#This Row],[Data do Caixa Realizado]]))</f>
        <v>1</v>
      </c>
      <c r="J52">
        <f>IF(RegistroSaidas[[#This Row],[Data do Caixa Realizado]] = "",0,YEAR(RegistroSaidas[[#This Row],[Data do Caixa Realizado]]))</f>
        <v>2018</v>
      </c>
      <c r="K52" s="38">
        <f xml:space="preserve"> IF(RegistroSaidas[[#This Row],[Data da Competência]]="",0,MONTH(RegistroSaidas[[#This Row],[Data da Competência]]))</f>
        <v>12</v>
      </c>
      <c r="L52" s="38">
        <f xml:space="preserve"> IF(RegistroSaidas[[#This Row],[Data da Competência]]="",0,YEAR(RegistroSaidas[[#This Row],[Data da Competência]]))</f>
        <v>2017</v>
      </c>
      <c r="M52" s="38">
        <f xml:space="preserve"> IF(RegistroSaidas[[#This Row],[Data do Caixa Previsto]]="",0,MONTH(RegistroSaidas[[#This Row],[Data do Caixa Previsto]]))</f>
        <v>1</v>
      </c>
      <c r="N52" s="38">
        <f xml:space="preserve"> IF(RegistroSaidas[[#This Row],[Data do Caixa Previsto]]="",0,YEAR(RegistroSaidas[[#This Row],[Data do Caixa Previsto]]))</f>
        <v>2018</v>
      </c>
      <c r="O52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53" spans="2:15" ht="20.100000000000001" customHeight="1" x14ac:dyDescent="0.25">
      <c r="B53" s="9">
        <v>43143.989919163403</v>
      </c>
      <c r="C53" s="9">
        <v>43098</v>
      </c>
      <c r="D53" s="9">
        <v>43143.989919163403</v>
      </c>
      <c r="E53" t="s">
        <v>34</v>
      </c>
      <c r="F53" t="s">
        <v>30</v>
      </c>
      <c r="G53" t="s">
        <v>331</v>
      </c>
      <c r="H53" s="10">
        <v>2015</v>
      </c>
      <c r="I53">
        <f>IF(RegistroSaidas[[#This Row],[Data do Caixa Realizado]] = "", 0, MONTH(RegistroSaidas[[#This Row],[Data do Caixa Realizado]]))</f>
        <v>2</v>
      </c>
      <c r="J53">
        <f>IF(RegistroSaidas[[#This Row],[Data do Caixa Realizado]] = "",0,YEAR(RegistroSaidas[[#This Row],[Data do Caixa Realizado]]))</f>
        <v>2018</v>
      </c>
      <c r="K53" s="38">
        <f xml:space="preserve"> IF(RegistroSaidas[[#This Row],[Data da Competência]]="",0,MONTH(RegistroSaidas[[#This Row],[Data da Competência]]))</f>
        <v>12</v>
      </c>
      <c r="L53" s="38">
        <f xml:space="preserve"> IF(RegistroSaidas[[#This Row],[Data da Competência]]="",0,YEAR(RegistroSaidas[[#This Row],[Data da Competência]]))</f>
        <v>2017</v>
      </c>
      <c r="M53" s="38">
        <f xml:space="preserve"> IF(RegistroSaidas[[#This Row],[Data do Caixa Previsto]]="",0,MONTH(RegistroSaidas[[#This Row],[Data do Caixa Previsto]]))</f>
        <v>2</v>
      </c>
      <c r="N53" s="38">
        <f xml:space="preserve"> IF(RegistroSaidas[[#This Row],[Data do Caixa Previsto]]="",0,YEAR(RegistroSaidas[[#This Row],[Data do Caixa Previsto]]))</f>
        <v>2018</v>
      </c>
      <c r="O53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54" spans="2:15" ht="20.100000000000001" customHeight="1" x14ac:dyDescent="0.25">
      <c r="B54" s="9">
        <v>43180.312256585908</v>
      </c>
      <c r="C54" s="9">
        <v>43100</v>
      </c>
      <c r="D54" s="9">
        <v>43151.353970851676</v>
      </c>
      <c r="E54" t="s">
        <v>34</v>
      </c>
      <c r="F54" t="s">
        <v>31</v>
      </c>
      <c r="G54" t="s">
        <v>332</v>
      </c>
      <c r="H54" s="10">
        <v>3413</v>
      </c>
      <c r="I54">
        <f>IF(RegistroSaidas[[#This Row],[Data do Caixa Realizado]] = "", 0, MONTH(RegistroSaidas[[#This Row],[Data do Caixa Realizado]]))</f>
        <v>3</v>
      </c>
      <c r="J54">
        <f>IF(RegistroSaidas[[#This Row],[Data do Caixa Realizado]] = "",0,YEAR(RegistroSaidas[[#This Row],[Data do Caixa Realizado]]))</f>
        <v>2018</v>
      </c>
      <c r="K54" s="38">
        <f xml:space="preserve"> IF(RegistroSaidas[[#This Row],[Data da Competência]]="",0,MONTH(RegistroSaidas[[#This Row],[Data da Competência]]))</f>
        <v>12</v>
      </c>
      <c r="L54" s="38">
        <f xml:space="preserve"> IF(RegistroSaidas[[#This Row],[Data da Competência]]="",0,YEAR(RegistroSaidas[[#This Row],[Data da Competência]]))</f>
        <v>2017</v>
      </c>
      <c r="M54" s="38">
        <f xml:space="preserve"> IF(RegistroSaidas[[#This Row],[Data do Caixa Previsto]]="",0,MONTH(RegistroSaidas[[#This Row],[Data do Caixa Previsto]]))</f>
        <v>2</v>
      </c>
      <c r="N54" s="38">
        <f xml:space="preserve"> IF(RegistroSaidas[[#This Row],[Data do Caixa Previsto]]="",0,YEAR(RegistroSaidas[[#This Row],[Data do Caixa Previsto]]))</f>
        <v>2018</v>
      </c>
      <c r="O54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28.958285734232049</v>
      </c>
    </row>
    <row r="55" spans="2:15" ht="20.100000000000001" customHeight="1" x14ac:dyDescent="0.25">
      <c r="B55" s="9">
        <v>43144.795115927831</v>
      </c>
      <c r="C55" s="9">
        <v>43103</v>
      </c>
      <c r="D55" s="9">
        <v>43108.84859147996</v>
      </c>
      <c r="E55" t="s">
        <v>34</v>
      </c>
      <c r="F55" t="s">
        <v>33</v>
      </c>
      <c r="G55" t="s">
        <v>333</v>
      </c>
      <c r="H55" s="10">
        <v>4087</v>
      </c>
      <c r="I55">
        <f>IF(RegistroSaidas[[#This Row],[Data do Caixa Realizado]] = "", 0, MONTH(RegistroSaidas[[#This Row],[Data do Caixa Realizado]]))</f>
        <v>2</v>
      </c>
      <c r="J55">
        <f>IF(RegistroSaidas[[#This Row],[Data do Caixa Realizado]] = "",0,YEAR(RegistroSaidas[[#This Row],[Data do Caixa Realizado]]))</f>
        <v>2018</v>
      </c>
      <c r="K55" s="38">
        <f xml:space="preserve"> IF(RegistroSaidas[[#This Row],[Data da Competência]]="",0,MONTH(RegistroSaidas[[#This Row],[Data da Competência]]))</f>
        <v>1</v>
      </c>
      <c r="L55" s="38">
        <f xml:space="preserve"> IF(RegistroSaidas[[#This Row],[Data da Competência]]="",0,YEAR(RegistroSaidas[[#This Row],[Data da Competência]]))</f>
        <v>2018</v>
      </c>
      <c r="M55" s="38">
        <f xml:space="preserve"> IF(RegistroSaidas[[#This Row],[Data do Caixa Previsto]]="",0,MONTH(RegistroSaidas[[#This Row],[Data do Caixa Previsto]]))</f>
        <v>1</v>
      </c>
      <c r="N55" s="38">
        <f xml:space="preserve"> IF(RegistroSaidas[[#This Row],[Data do Caixa Previsto]]="",0,YEAR(RegistroSaidas[[#This Row],[Data do Caixa Previsto]]))</f>
        <v>2018</v>
      </c>
      <c r="O55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35.946524447870615</v>
      </c>
    </row>
    <row r="56" spans="2:15" ht="20.100000000000001" customHeight="1" x14ac:dyDescent="0.25">
      <c r="B56" s="9">
        <v>43117.371907988454</v>
      </c>
      <c r="C56" s="9">
        <v>43106</v>
      </c>
      <c r="D56" s="9">
        <v>43117.371907988454</v>
      </c>
      <c r="E56" t="s">
        <v>34</v>
      </c>
      <c r="F56" t="s">
        <v>40</v>
      </c>
      <c r="G56" t="s">
        <v>334</v>
      </c>
      <c r="H56" s="10">
        <v>2441</v>
      </c>
      <c r="I56">
        <f>IF(RegistroSaidas[[#This Row],[Data do Caixa Realizado]] = "", 0, MONTH(RegistroSaidas[[#This Row],[Data do Caixa Realizado]]))</f>
        <v>1</v>
      </c>
      <c r="J56">
        <f>IF(RegistroSaidas[[#This Row],[Data do Caixa Realizado]] = "",0,YEAR(RegistroSaidas[[#This Row],[Data do Caixa Realizado]]))</f>
        <v>2018</v>
      </c>
      <c r="K56" s="38">
        <f xml:space="preserve"> IF(RegistroSaidas[[#This Row],[Data da Competência]]="",0,MONTH(RegistroSaidas[[#This Row],[Data da Competência]]))</f>
        <v>1</v>
      </c>
      <c r="L56" s="38">
        <f xml:space="preserve"> IF(RegistroSaidas[[#This Row],[Data da Competência]]="",0,YEAR(RegistroSaidas[[#This Row],[Data da Competência]]))</f>
        <v>2018</v>
      </c>
      <c r="M56" s="38">
        <f xml:space="preserve"> IF(RegistroSaidas[[#This Row],[Data do Caixa Previsto]]="",0,MONTH(RegistroSaidas[[#This Row],[Data do Caixa Previsto]]))</f>
        <v>1</v>
      </c>
      <c r="N56" s="38">
        <f xml:space="preserve"> IF(RegistroSaidas[[#This Row],[Data do Caixa Previsto]]="",0,YEAR(RegistroSaidas[[#This Row],[Data do Caixa Previsto]]))</f>
        <v>2018</v>
      </c>
      <c r="O56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57" spans="2:15" ht="20.100000000000001" customHeight="1" x14ac:dyDescent="0.25">
      <c r="B57" s="9">
        <v>43127.72575701114</v>
      </c>
      <c r="C57" s="9">
        <v>43109</v>
      </c>
      <c r="D57" s="9">
        <v>43127.72575701114</v>
      </c>
      <c r="E57" t="s">
        <v>34</v>
      </c>
      <c r="F57" t="s">
        <v>30</v>
      </c>
      <c r="G57" t="s">
        <v>335</v>
      </c>
      <c r="H57" s="10">
        <v>3598</v>
      </c>
      <c r="I57">
        <f>IF(RegistroSaidas[[#This Row],[Data do Caixa Realizado]] = "", 0, MONTH(RegistroSaidas[[#This Row],[Data do Caixa Realizado]]))</f>
        <v>1</v>
      </c>
      <c r="J57">
        <f>IF(RegistroSaidas[[#This Row],[Data do Caixa Realizado]] = "",0,YEAR(RegistroSaidas[[#This Row],[Data do Caixa Realizado]]))</f>
        <v>2018</v>
      </c>
      <c r="K57" s="38">
        <f xml:space="preserve"> IF(RegistroSaidas[[#This Row],[Data da Competência]]="",0,MONTH(RegistroSaidas[[#This Row],[Data da Competência]]))</f>
        <v>1</v>
      </c>
      <c r="L57" s="38">
        <f xml:space="preserve"> IF(RegistroSaidas[[#This Row],[Data da Competência]]="",0,YEAR(RegistroSaidas[[#This Row],[Data da Competência]]))</f>
        <v>2018</v>
      </c>
      <c r="M57" s="38">
        <f xml:space="preserve"> IF(RegistroSaidas[[#This Row],[Data do Caixa Previsto]]="",0,MONTH(RegistroSaidas[[#This Row],[Data do Caixa Previsto]]))</f>
        <v>1</v>
      </c>
      <c r="N57" s="38">
        <f xml:space="preserve"> IF(RegistroSaidas[[#This Row],[Data do Caixa Previsto]]="",0,YEAR(RegistroSaidas[[#This Row],[Data do Caixa Previsto]]))</f>
        <v>2018</v>
      </c>
      <c r="O57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58" spans="2:15" ht="20.100000000000001" customHeight="1" x14ac:dyDescent="0.25">
      <c r="B58" s="9">
        <v>43118.823326450649</v>
      </c>
      <c r="C58" s="9">
        <v>43110</v>
      </c>
      <c r="D58" s="9">
        <v>43118.823326450649</v>
      </c>
      <c r="E58" t="s">
        <v>34</v>
      </c>
      <c r="F58" t="s">
        <v>40</v>
      </c>
      <c r="G58" t="s">
        <v>336</v>
      </c>
      <c r="H58" s="10">
        <v>4895</v>
      </c>
      <c r="I58">
        <f>IF(RegistroSaidas[[#This Row],[Data do Caixa Realizado]] = "", 0, MONTH(RegistroSaidas[[#This Row],[Data do Caixa Realizado]]))</f>
        <v>1</v>
      </c>
      <c r="J58">
        <f>IF(RegistroSaidas[[#This Row],[Data do Caixa Realizado]] = "",0,YEAR(RegistroSaidas[[#This Row],[Data do Caixa Realizado]]))</f>
        <v>2018</v>
      </c>
      <c r="K58" s="38">
        <f xml:space="preserve"> IF(RegistroSaidas[[#This Row],[Data da Competência]]="",0,MONTH(RegistroSaidas[[#This Row],[Data da Competência]]))</f>
        <v>1</v>
      </c>
      <c r="L58" s="38">
        <f xml:space="preserve"> IF(RegistroSaidas[[#This Row],[Data da Competência]]="",0,YEAR(RegistroSaidas[[#This Row],[Data da Competência]]))</f>
        <v>2018</v>
      </c>
      <c r="M58" s="38">
        <f xml:space="preserve"> IF(RegistroSaidas[[#This Row],[Data do Caixa Previsto]]="",0,MONTH(RegistroSaidas[[#This Row],[Data do Caixa Previsto]]))</f>
        <v>1</v>
      </c>
      <c r="N58" s="38">
        <f xml:space="preserve"> IF(RegistroSaidas[[#This Row],[Data do Caixa Previsto]]="",0,YEAR(RegistroSaidas[[#This Row],[Data do Caixa Previsto]]))</f>
        <v>2018</v>
      </c>
      <c r="O58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59" spans="2:15" ht="20.100000000000001" customHeight="1" x14ac:dyDescent="0.25">
      <c r="B59" s="9">
        <v>43167.544338803593</v>
      </c>
      <c r="C59" s="9">
        <v>43112</v>
      </c>
      <c r="D59" s="9">
        <v>43167.544338803593</v>
      </c>
      <c r="E59" t="s">
        <v>34</v>
      </c>
      <c r="F59" t="s">
        <v>40</v>
      </c>
      <c r="G59" t="s">
        <v>337</v>
      </c>
      <c r="H59" s="10">
        <v>971</v>
      </c>
      <c r="I59">
        <f>IF(RegistroSaidas[[#This Row],[Data do Caixa Realizado]] = "", 0, MONTH(RegistroSaidas[[#This Row],[Data do Caixa Realizado]]))</f>
        <v>3</v>
      </c>
      <c r="J59">
        <f>IF(RegistroSaidas[[#This Row],[Data do Caixa Realizado]] = "",0,YEAR(RegistroSaidas[[#This Row],[Data do Caixa Realizado]]))</f>
        <v>2018</v>
      </c>
      <c r="K59" s="38">
        <f xml:space="preserve"> IF(RegistroSaidas[[#This Row],[Data da Competência]]="",0,MONTH(RegistroSaidas[[#This Row],[Data da Competência]]))</f>
        <v>1</v>
      </c>
      <c r="L59" s="38">
        <f xml:space="preserve"> IF(RegistroSaidas[[#This Row],[Data da Competência]]="",0,YEAR(RegistroSaidas[[#This Row],[Data da Competência]]))</f>
        <v>2018</v>
      </c>
      <c r="M59" s="38">
        <f xml:space="preserve"> IF(RegistroSaidas[[#This Row],[Data do Caixa Previsto]]="",0,MONTH(RegistroSaidas[[#This Row],[Data do Caixa Previsto]]))</f>
        <v>3</v>
      </c>
      <c r="N59" s="38">
        <f xml:space="preserve"> IF(RegistroSaidas[[#This Row],[Data do Caixa Previsto]]="",0,YEAR(RegistroSaidas[[#This Row],[Data do Caixa Previsto]]))</f>
        <v>2018</v>
      </c>
      <c r="O59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60" spans="2:15" ht="20.100000000000001" customHeight="1" x14ac:dyDescent="0.25">
      <c r="B60" s="9">
        <v>43137.043955849207</v>
      </c>
      <c r="C60" s="9">
        <v>43113</v>
      </c>
      <c r="D60" s="9">
        <v>43137.043955849207</v>
      </c>
      <c r="E60" t="s">
        <v>34</v>
      </c>
      <c r="F60" t="s">
        <v>33</v>
      </c>
      <c r="G60" t="s">
        <v>338</v>
      </c>
      <c r="H60" s="10">
        <v>556</v>
      </c>
      <c r="I60">
        <f>IF(RegistroSaidas[[#This Row],[Data do Caixa Realizado]] = "", 0, MONTH(RegistroSaidas[[#This Row],[Data do Caixa Realizado]]))</f>
        <v>2</v>
      </c>
      <c r="J60">
        <f>IF(RegistroSaidas[[#This Row],[Data do Caixa Realizado]] = "",0,YEAR(RegistroSaidas[[#This Row],[Data do Caixa Realizado]]))</f>
        <v>2018</v>
      </c>
      <c r="K60" s="38">
        <f xml:space="preserve"> IF(RegistroSaidas[[#This Row],[Data da Competência]]="",0,MONTH(RegistroSaidas[[#This Row],[Data da Competência]]))</f>
        <v>1</v>
      </c>
      <c r="L60" s="38">
        <f xml:space="preserve"> IF(RegistroSaidas[[#This Row],[Data da Competência]]="",0,YEAR(RegistroSaidas[[#This Row],[Data da Competência]]))</f>
        <v>2018</v>
      </c>
      <c r="M60" s="38">
        <f xml:space="preserve"> IF(RegistroSaidas[[#This Row],[Data do Caixa Previsto]]="",0,MONTH(RegistroSaidas[[#This Row],[Data do Caixa Previsto]]))</f>
        <v>2</v>
      </c>
      <c r="N60" s="38">
        <f xml:space="preserve"> IF(RegistroSaidas[[#This Row],[Data do Caixa Previsto]]="",0,YEAR(RegistroSaidas[[#This Row],[Data do Caixa Previsto]]))</f>
        <v>2018</v>
      </c>
      <c r="O60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61" spans="2:15" ht="20.100000000000001" customHeight="1" x14ac:dyDescent="0.25">
      <c r="B61" s="9">
        <v>43144.881827671154</v>
      </c>
      <c r="C61" s="9">
        <v>43114</v>
      </c>
      <c r="D61" s="9">
        <v>43144.881827671154</v>
      </c>
      <c r="E61" t="s">
        <v>34</v>
      </c>
      <c r="F61" t="s">
        <v>33</v>
      </c>
      <c r="G61" t="s">
        <v>339</v>
      </c>
      <c r="H61" s="10">
        <v>1977</v>
      </c>
      <c r="I61">
        <f>IF(RegistroSaidas[[#This Row],[Data do Caixa Realizado]] = "", 0, MONTH(RegistroSaidas[[#This Row],[Data do Caixa Realizado]]))</f>
        <v>2</v>
      </c>
      <c r="J61">
        <f>IF(RegistroSaidas[[#This Row],[Data do Caixa Realizado]] = "",0,YEAR(RegistroSaidas[[#This Row],[Data do Caixa Realizado]]))</f>
        <v>2018</v>
      </c>
      <c r="K61" s="38">
        <f xml:space="preserve"> IF(RegistroSaidas[[#This Row],[Data da Competência]]="",0,MONTH(RegistroSaidas[[#This Row],[Data da Competência]]))</f>
        <v>1</v>
      </c>
      <c r="L61" s="38">
        <f xml:space="preserve"> IF(RegistroSaidas[[#This Row],[Data da Competência]]="",0,YEAR(RegistroSaidas[[#This Row],[Data da Competência]]))</f>
        <v>2018</v>
      </c>
      <c r="M61" s="38">
        <f xml:space="preserve"> IF(RegistroSaidas[[#This Row],[Data do Caixa Previsto]]="",0,MONTH(RegistroSaidas[[#This Row],[Data do Caixa Previsto]]))</f>
        <v>2</v>
      </c>
      <c r="N61" s="38">
        <f xml:space="preserve"> IF(RegistroSaidas[[#This Row],[Data do Caixa Previsto]]="",0,YEAR(RegistroSaidas[[#This Row],[Data do Caixa Previsto]]))</f>
        <v>2018</v>
      </c>
      <c r="O61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62" spans="2:15" ht="20.100000000000001" customHeight="1" x14ac:dyDescent="0.25">
      <c r="B62" s="9">
        <v>43127.357625825418</v>
      </c>
      <c r="C62" s="9">
        <v>43116</v>
      </c>
      <c r="D62" s="9">
        <v>43127.357625825418</v>
      </c>
      <c r="E62" t="s">
        <v>34</v>
      </c>
      <c r="F62" t="s">
        <v>40</v>
      </c>
      <c r="G62" t="s">
        <v>292</v>
      </c>
      <c r="H62" s="10">
        <v>2951</v>
      </c>
      <c r="I62">
        <f>IF(RegistroSaidas[[#This Row],[Data do Caixa Realizado]] = "", 0, MONTH(RegistroSaidas[[#This Row],[Data do Caixa Realizado]]))</f>
        <v>1</v>
      </c>
      <c r="J62">
        <f>IF(RegistroSaidas[[#This Row],[Data do Caixa Realizado]] = "",0,YEAR(RegistroSaidas[[#This Row],[Data do Caixa Realizado]]))</f>
        <v>2018</v>
      </c>
      <c r="K62" s="38">
        <f xml:space="preserve"> IF(RegistroSaidas[[#This Row],[Data da Competência]]="",0,MONTH(RegistroSaidas[[#This Row],[Data da Competência]]))</f>
        <v>1</v>
      </c>
      <c r="L62" s="38">
        <f xml:space="preserve"> IF(RegistroSaidas[[#This Row],[Data da Competência]]="",0,YEAR(RegistroSaidas[[#This Row],[Data da Competência]]))</f>
        <v>2018</v>
      </c>
      <c r="M62" s="38">
        <f xml:space="preserve"> IF(RegistroSaidas[[#This Row],[Data do Caixa Previsto]]="",0,MONTH(RegistroSaidas[[#This Row],[Data do Caixa Previsto]]))</f>
        <v>1</v>
      </c>
      <c r="N62" s="38">
        <f xml:space="preserve"> IF(RegistroSaidas[[#This Row],[Data do Caixa Previsto]]="",0,YEAR(RegistroSaidas[[#This Row],[Data do Caixa Previsto]]))</f>
        <v>2018</v>
      </c>
      <c r="O62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63" spans="2:15" ht="20.100000000000001" customHeight="1" x14ac:dyDescent="0.25">
      <c r="B63" s="9">
        <v>43164.408101095891</v>
      </c>
      <c r="C63" s="9">
        <v>43120</v>
      </c>
      <c r="D63" s="9">
        <v>43164.408101095891</v>
      </c>
      <c r="E63" t="s">
        <v>34</v>
      </c>
      <c r="F63" t="s">
        <v>40</v>
      </c>
      <c r="G63" t="s">
        <v>340</v>
      </c>
      <c r="H63" s="10">
        <v>2535</v>
      </c>
      <c r="I63">
        <f>IF(RegistroSaidas[[#This Row],[Data do Caixa Realizado]] = "", 0, MONTH(RegistroSaidas[[#This Row],[Data do Caixa Realizado]]))</f>
        <v>3</v>
      </c>
      <c r="J63">
        <f>IF(RegistroSaidas[[#This Row],[Data do Caixa Realizado]] = "",0,YEAR(RegistroSaidas[[#This Row],[Data do Caixa Realizado]]))</f>
        <v>2018</v>
      </c>
      <c r="K63" s="38">
        <f xml:space="preserve"> IF(RegistroSaidas[[#This Row],[Data da Competência]]="",0,MONTH(RegistroSaidas[[#This Row],[Data da Competência]]))</f>
        <v>1</v>
      </c>
      <c r="L63" s="38">
        <f xml:space="preserve"> IF(RegistroSaidas[[#This Row],[Data da Competência]]="",0,YEAR(RegistroSaidas[[#This Row],[Data da Competência]]))</f>
        <v>2018</v>
      </c>
      <c r="M63" s="38">
        <f xml:space="preserve"> IF(RegistroSaidas[[#This Row],[Data do Caixa Previsto]]="",0,MONTH(RegistroSaidas[[#This Row],[Data do Caixa Previsto]]))</f>
        <v>3</v>
      </c>
      <c r="N63" s="38">
        <f xml:space="preserve"> IF(RegistroSaidas[[#This Row],[Data do Caixa Previsto]]="",0,YEAR(RegistroSaidas[[#This Row],[Data do Caixa Previsto]]))</f>
        <v>2018</v>
      </c>
      <c r="O63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64" spans="2:15" ht="20.100000000000001" customHeight="1" x14ac:dyDescent="0.25">
      <c r="B64" s="9">
        <v>43141.579590343346</v>
      </c>
      <c r="C64" s="9">
        <v>43121</v>
      </c>
      <c r="D64" s="9">
        <v>43141.579590343346</v>
      </c>
      <c r="E64" t="s">
        <v>34</v>
      </c>
      <c r="F64" t="s">
        <v>29</v>
      </c>
      <c r="G64" t="s">
        <v>341</v>
      </c>
      <c r="H64" s="10">
        <v>3057</v>
      </c>
      <c r="I64">
        <f>IF(RegistroSaidas[[#This Row],[Data do Caixa Realizado]] = "", 0, MONTH(RegistroSaidas[[#This Row],[Data do Caixa Realizado]]))</f>
        <v>2</v>
      </c>
      <c r="J64">
        <f>IF(RegistroSaidas[[#This Row],[Data do Caixa Realizado]] = "",0,YEAR(RegistroSaidas[[#This Row],[Data do Caixa Realizado]]))</f>
        <v>2018</v>
      </c>
      <c r="K64" s="38">
        <f xml:space="preserve"> IF(RegistroSaidas[[#This Row],[Data da Competência]]="",0,MONTH(RegistroSaidas[[#This Row],[Data da Competência]]))</f>
        <v>1</v>
      </c>
      <c r="L64" s="38">
        <f xml:space="preserve"> IF(RegistroSaidas[[#This Row],[Data da Competência]]="",0,YEAR(RegistroSaidas[[#This Row],[Data da Competência]]))</f>
        <v>2018</v>
      </c>
      <c r="M64" s="38">
        <f xml:space="preserve"> IF(RegistroSaidas[[#This Row],[Data do Caixa Previsto]]="",0,MONTH(RegistroSaidas[[#This Row],[Data do Caixa Previsto]]))</f>
        <v>2</v>
      </c>
      <c r="N64" s="38">
        <f xml:space="preserve"> IF(RegistroSaidas[[#This Row],[Data do Caixa Previsto]]="",0,YEAR(RegistroSaidas[[#This Row],[Data do Caixa Previsto]]))</f>
        <v>2018</v>
      </c>
      <c r="O64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65" spans="2:15" ht="20.100000000000001" customHeight="1" x14ac:dyDescent="0.25">
      <c r="B65" s="9">
        <v>43140.52607681365</v>
      </c>
      <c r="C65" s="9">
        <v>43123</v>
      </c>
      <c r="D65" s="9">
        <v>43140.52607681365</v>
      </c>
      <c r="E65" t="s">
        <v>34</v>
      </c>
      <c r="F65" t="s">
        <v>33</v>
      </c>
      <c r="G65" t="s">
        <v>342</v>
      </c>
      <c r="H65" s="10">
        <v>3152</v>
      </c>
      <c r="I65">
        <f>IF(RegistroSaidas[[#This Row],[Data do Caixa Realizado]] = "", 0, MONTH(RegistroSaidas[[#This Row],[Data do Caixa Realizado]]))</f>
        <v>2</v>
      </c>
      <c r="J65">
        <f>IF(RegistroSaidas[[#This Row],[Data do Caixa Realizado]] = "",0,YEAR(RegistroSaidas[[#This Row],[Data do Caixa Realizado]]))</f>
        <v>2018</v>
      </c>
      <c r="K65" s="38">
        <f xml:space="preserve"> IF(RegistroSaidas[[#This Row],[Data da Competência]]="",0,MONTH(RegistroSaidas[[#This Row],[Data da Competência]]))</f>
        <v>1</v>
      </c>
      <c r="L65" s="38">
        <f xml:space="preserve"> IF(RegistroSaidas[[#This Row],[Data da Competência]]="",0,YEAR(RegistroSaidas[[#This Row],[Data da Competência]]))</f>
        <v>2018</v>
      </c>
      <c r="M65" s="38">
        <f xml:space="preserve"> IF(RegistroSaidas[[#This Row],[Data do Caixa Previsto]]="",0,MONTH(RegistroSaidas[[#This Row],[Data do Caixa Previsto]]))</f>
        <v>2</v>
      </c>
      <c r="N65" s="38">
        <f xml:space="preserve"> IF(RegistroSaidas[[#This Row],[Data do Caixa Previsto]]="",0,YEAR(RegistroSaidas[[#This Row],[Data do Caixa Previsto]]))</f>
        <v>2018</v>
      </c>
      <c r="O65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66" spans="2:15" ht="20.100000000000001" customHeight="1" x14ac:dyDescent="0.25">
      <c r="B66" s="9">
        <v>43167.136566438901</v>
      </c>
      <c r="C66" s="9">
        <v>43125</v>
      </c>
      <c r="D66" s="9">
        <v>43167.136566438901</v>
      </c>
      <c r="E66" t="s">
        <v>34</v>
      </c>
      <c r="F66" t="s">
        <v>31</v>
      </c>
      <c r="G66" t="s">
        <v>343</v>
      </c>
      <c r="H66" s="10">
        <v>2247</v>
      </c>
      <c r="I66">
        <f>IF(RegistroSaidas[[#This Row],[Data do Caixa Realizado]] = "", 0, MONTH(RegistroSaidas[[#This Row],[Data do Caixa Realizado]]))</f>
        <v>3</v>
      </c>
      <c r="J66">
        <f>IF(RegistroSaidas[[#This Row],[Data do Caixa Realizado]] = "",0,YEAR(RegistroSaidas[[#This Row],[Data do Caixa Realizado]]))</f>
        <v>2018</v>
      </c>
      <c r="K66" s="38">
        <f xml:space="preserve"> IF(RegistroSaidas[[#This Row],[Data da Competência]]="",0,MONTH(RegistroSaidas[[#This Row],[Data da Competência]]))</f>
        <v>1</v>
      </c>
      <c r="L66" s="38">
        <f xml:space="preserve"> IF(RegistroSaidas[[#This Row],[Data da Competência]]="",0,YEAR(RegistroSaidas[[#This Row],[Data da Competência]]))</f>
        <v>2018</v>
      </c>
      <c r="M66" s="38">
        <f xml:space="preserve"> IF(RegistroSaidas[[#This Row],[Data do Caixa Previsto]]="",0,MONTH(RegistroSaidas[[#This Row],[Data do Caixa Previsto]]))</f>
        <v>3</v>
      </c>
      <c r="N66" s="38">
        <f xml:space="preserve"> IF(RegistroSaidas[[#This Row],[Data do Caixa Previsto]]="",0,YEAR(RegistroSaidas[[#This Row],[Data do Caixa Previsto]]))</f>
        <v>2018</v>
      </c>
      <c r="O66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67" spans="2:15" ht="20.100000000000001" customHeight="1" x14ac:dyDescent="0.25">
      <c r="B67" s="9">
        <v>43180.080222393961</v>
      </c>
      <c r="C67" s="9">
        <v>43127</v>
      </c>
      <c r="D67" s="9">
        <v>43180.080222393961</v>
      </c>
      <c r="E67" t="s">
        <v>34</v>
      </c>
      <c r="F67" t="s">
        <v>30</v>
      </c>
      <c r="G67" t="s">
        <v>344</v>
      </c>
      <c r="H67" s="10">
        <v>2456</v>
      </c>
      <c r="I67">
        <f>IF(RegistroSaidas[[#This Row],[Data do Caixa Realizado]] = "", 0, MONTH(RegistroSaidas[[#This Row],[Data do Caixa Realizado]]))</f>
        <v>3</v>
      </c>
      <c r="J67">
        <f>IF(RegistroSaidas[[#This Row],[Data do Caixa Realizado]] = "",0,YEAR(RegistroSaidas[[#This Row],[Data do Caixa Realizado]]))</f>
        <v>2018</v>
      </c>
      <c r="K67" s="38">
        <f xml:space="preserve"> IF(RegistroSaidas[[#This Row],[Data da Competência]]="",0,MONTH(RegistroSaidas[[#This Row],[Data da Competência]]))</f>
        <v>1</v>
      </c>
      <c r="L67" s="38">
        <f xml:space="preserve"> IF(RegistroSaidas[[#This Row],[Data da Competência]]="",0,YEAR(RegistroSaidas[[#This Row],[Data da Competência]]))</f>
        <v>2018</v>
      </c>
      <c r="M67" s="38">
        <f xml:space="preserve"> IF(RegistroSaidas[[#This Row],[Data do Caixa Previsto]]="",0,MONTH(RegistroSaidas[[#This Row],[Data do Caixa Previsto]]))</f>
        <v>3</v>
      </c>
      <c r="N67" s="38">
        <f xml:space="preserve"> IF(RegistroSaidas[[#This Row],[Data do Caixa Previsto]]="",0,YEAR(RegistroSaidas[[#This Row],[Data do Caixa Previsto]]))</f>
        <v>2018</v>
      </c>
      <c r="O67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68" spans="2:15" ht="20.100000000000001" customHeight="1" x14ac:dyDescent="0.25">
      <c r="B68" s="9">
        <v>43153.557863903276</v>
      </c>
      <c r="C68" s="9">
        <v>43129</v>
      </c>
      <c r="D68" s="9">
        <v>43142.593518246249</v>
      </c>
      <c r="E68" t="s">
        <v>34</v>
      </c>
      <c r="F68" t="s">
        <v>40</v>
      </c>
      <c r="G68" t="s">
        <v>345</v>
      </c>
      <c r="H68" s="10">
        <v>3801</v>
      </c>
      <c r="I68">
        <f>IF(RegistroSaidas[[#This Row],[Data do Caixa Realizado]] = "", 0, MONTH(RegistroSaidas[[#This Row],[Data do Caixa Realizado]]))</f>
        <v>2</v>
      </c>
      <c r="J68">
        <f>IF(RegistroSaidas[[#This Row],[Data do Caixa Realizado]] = "",0,YEAR(RegistroSaidas[[#This Row],[Data do Caixa Realizado]]))</f>
        <v>2018</v>
      </c>
      <c r="K68" s="38">
        <f xml:space="preserve"> IF(RegistroSaidas[[#This Row],[Data da Competência]]="",0,MONTH(RegistroSaidas[[#This Row],[Data da Competência]]))</f>
        <v>1</v>
      </c>
      <c r="L68" s="38">
        <f xml:space="preserve"> IF(RegistroSaidas[[#This Row],[Data da Competência]]="",0,YEAR(RegistroSaidas[[#This Row],[Data da Competência]]))</f>
        <v>2018</v>
      </c>
      <c r="M68" s="38">
        <f xml:space="preserve"> IF(RegistroSaidas[[#This Row],[Data do Caixa Previsto]]="",0,MONTH(RegistroSaidas[[#This Row],[Data do Caixa Previsto]]))</f>
        <v>2</v>
      </c>
      <c r="N68" s="38">
        <f xml:space="preserve"> IF(RegistroSaidas[[#This Row],[Data do Caixa Previsto]]="",0,YEAR(RegistroSaidas[[#This Row],[Data do Caixa Previsto]]))</f>
        <v>2018</v>
      </c>
      <c r="O68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10.96434565702657</v>
      </c>
    </row>
    <row r="69" spans="2:15" ht="20.100000000000001" customHeight="1" x14ac:dyDescent="0.25">
      <c r="B69" s="9">
        <v>43144.375909015784</v>
      </c>
      <c r="C69" s="9">
        <v>43131</v>
      </c>
      <c r="D69" s="9">
        <v>43144.375909015784</v>
      </c>
      <c r="E69" t="s">
        <v>34</v>
      </c>
      <c r="F69" t="s">
        <v>33</v>
      </c>
      <c r="G69" t="s">
        <v>346</v>
      </c>
      <c r="H69" s="10">
        <v>3049</v>
      </c>
      <c r="I69">
        <f>IF(RegistroSaidas[[#This Row],[Data do Caixa Realizado]] = "", 0, MONTH(RegistroSaidas[[#This Row],[Data do Caixa Realizado]]))</f>
        <v>2</v>
      </c>
      <c r="J69">
        <f>IF(RegistroSaidas[[#This Row],[Data do Caixa Realizado]] = "",0,YEAR(RegistroSaidas[[#This Row],[Data do Caixa Realizado]]))</f>
        <v>2018</v>
      </c>
      <c r="K69" s="38">
        <f xml:space="preserve"> IF(RegistroSaidas[[#This Row],[Data da Competência]]="",0,MONTH(RegistroSaidas[[#This Row],[Data da Competência]]))</f>
        <v>1</v>
      </c>
      <c r="L69" s="38">
        <f xml:space="preserve"> IF(RegistroSaidas[[#This Row],[Data da Competência]]="",0,YEAR(RegistroSaidas[[#This Row],[Data da Competência]]))</f>
        <v>2018</v>
      </c>
      <c r="M69" s="38">
        <f xml:space="preserve"> IF(RegistroSaidas[[#This Row],[Data do Caixa Previsto]]="",0,MONTH(RegistroSaidas[[#This Row],[Data do Caixa Previsto]]))</f>
        <v>2</v>
      </c>
      <c r="N69" s="38">
        <f xml:space="preserve"> IF(RegistroSaidas[[#This Row],[Data do Caixa Previsto]]="",0,YEAR(RegistroSaidas[[#This Row],[Data do Caixa Previsto]]))</f>
        <v>2018</v>
      </c>
      <c r="O69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70" spans="2:15" ht="20.100000000000001" customHeight="1" x14ac:dyDescent="0.25">
      <c r="B70" s="9">
        <v>43188.99516604135</v>
      </c>
      <c r="C70" s="9">
        <v>43135</v>
      </c>
      <c r="D70" s="9">
        <v>43170.130869357701</v>
      </c>
      <c r="E70" t="s">
        <v>34</v>
      </c>
      <c r="F70" t="s">
        <v>29</v>
      </c>
      <c r="G70" t="s">
        <v>347</v>
      </c>
      <c r="H70" s="10">
        <v>3255</v>
      </c>
      <c r="I70">
        <f>IF(RegistroSaidas[[#This Row],[Data do Caixa Realizado]] = "", 0, MONTH(RegistroSaidas[[#This Row],[Data do Caixa Realizado]]))</f>
        <v>3</v>
      </c>
      <c r="J70">
        <f>IF(RegistroSaidas[[#This Row],[Data do Caixa Realizado]] = "",0,YEAR(RegistroSaidas[[#This Row],[Data do Caixa Realizado]]))</f>
        <v>2018</v>
      </c>
      <c r="K70" s="38">
        <f xml:space="preserve"> IF(RegistroSaidas[[#This Row],[Data da Competência]]="",0,MONTH(RegistroSaidas[[#This Row],[Data da Competência]]))</f>
        <v>2</v>
      </c>
      <c r="L70" s="38">
        <f xml:space="preserve"> IF(RegistroSaidas[[#This Row],[Data da Competência]]="",0,YEAR(RegistroSaidas[[#This Row],[Data da Competência]]))</f>
        <v>2018</v>
      </c>
      <c r="M70" s="38">
        <f xml:space="preserve"> IF(RegistroSaidas[[#This Row],[Data do Caixa Previsto]]="",0,MONTH(RegistroSaidas[[#This Row],[Data do Caixa Previsto]]))</f>
        <v>3</v>
      </c>
      <c r="N70" s="38">
        <f xml:space="preserve"> IF(RegistroSaidas[[#This Row],[Data do Caixa Previsto]]="",0,YEAR(RegistroSaidas[[#This Row],[Data do Caixa Previsto]]))</f>
        <v>2018</v>
      </c>
      <c r="O70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18.864296683648718</v>
      </c>
    </row>
    <row r="71" spans="2:15" ht="20.100000000000001" customHeight="1" x14ac:dyDescent="0.25">
      <c r="B71" s="9">
        <v>43179.613666487414</v>
      </c>
      <c r="C71" s="9">
        <v>43136</v>
      </c>
      <c r="D71" s="9">
        <v>43176.20769813798</v>
      </c>
      <c r="E71" t="s">
        <v>34</v>
      </c>
      <c r="F71" t="s">
        <v>40</v>
      </c>
      <c r="G71" t="s">
        <v>348</v>
      </c>
      <c r="H71" s="10">
        <v>2074</v>
      </c>
      <c r="I71">
        <f>IF(RegistroSaidas[[#This Row],[Data do Caixa Realizado]] = "", 0, MONTH(RegistroSaidas[[#This Row],[Data do Caixa Realizado]]))</f>
        <v>3</v>
      </c>
      <c r="J71">
        <f>IF(RegistroSaidas[[#This Row],[Data do Caixa Realizado]] = "",0,YEAR(RegistroSaidas[[#This Row],[Data do Caixa Realizado]]))</f>
        <v>2018</v>
      </c>
      <c r="K71" s="38">
        <f xml:space="preserve"> IF(RegistroSaidas[[#This Row],[Data da Competência]]="",0,MONTH(RegistroSaidas[[#This Row],[Data da Competência]]))</f>
        <v>2</v>
      </c>
      <c r="L71" s="38">
        <f xml:space="preserve"> IF(RegistroSaidas[[#This Row],[Data da Competência]]="",0,YEAR(RegistroSaidas[[#This Row],[Data da Competência]]))</f>
        <v>2018</v>
      </c>
      <c r="M71" s="38">
        <f xml:space="preserve"> IF(RegistroSaidas[[#This Row],[Data do Caixa Previsto]]="",0,MONTH(RegistroSaidas[[#This Row],[Data do Caixa Previsto]]))</f>
        <v>3</v>
      </c>
      <c r="N71" s="38">
        <f xml:space="preserve"> IF(RegistroSaidas[[#This Row],[Data do Caixa Previsto]]="",0,YEAR(RegistroSaidas[[#This Row],[Data do Caixa Previsto]]))</f>
        <v>2018</v>
      </c>
      <c r="O71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3.4059683494342607</v>
      </c>
    </row>
    <row r="72" spans="2:15" ht="20.100000000000001" customHeight="1" x14ac:dyDescent="0.25">
      <c r="B72" s="9">
        <v>43175.293624405407</v>
      </c>
      <c r="C72" s="9">
        <v>43137</v>
      </c>
      <c r="D72" s="9">
        <v>43175.293624405407</v>
      </c>
      <c r="E72" t="s">
        <v>34</v>
      </c>
      <c r="F72" t="s">
        <v>40</v>
      </c>
      <c r="G72" t="s">
        <v>349</v>
      </c>
      <c r="H72" s="10">
        <v>3606</v>
      </c>
      <c r="I72">
        <f>IF(RegistroSaidas[[#This Row],[Data do Caixa Realizado]] = "", 0, MONTH(RegistroSaidas[[#This Row],[Data do Caixa Realizado]]))</f>
        <v>3</v>
      </c>
      <c r="J72">
        <f>IF(RegistroSaidas[[#This Row],[Data do Caixa Realizado]] = "",0,YEAR(RegistroSaidas[[#This Row],[Data do Caixa Realizado]]))</f>
        <v>2018</v>
      </c>
      <c r="K72" s="38">
        <f xml:space="preserve"> IF(RegistroSaidas[[#This Row],[Data da Competência]]="",0,MONTH(RegistroSaidas[[#This Row],[Data da Competência]]))</f>
        <v>2</v>
      </c>
      <c r="L72" s="38">
        <f xml:space="preserve"> IF(RegistroSaidas[[#This Row],[Data da Competência]]="",0,YEAR(RegistroSaidas[[#This Row],[Data da Competência]]))</f>
        <v>2018</v>
      </c>
      <c r="M72" s="38">
        <f xml:space="preserve"> IF(RegistroSaidas[[#This Row],[Data do Caixa Previsto]]="",0,MONTH(RegistroSaidas[[#This Row],[Data do Caixa Previsto]]))</f>
        <v>3</v>
      </c>
      <c r="N72" s="38">
        <f xml:space="preserve"> IF(RegistroSaidas[[#This Row],[Data do Caixa Previsto]]="",0,YEAR(RegistroSaidas[[#This Row],[Data do Caixa Previsto]]))</f>
        <v>2018</v>
      </c>
      <c r="O72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73" spans="2:15" ht="20.100000000000001" customHeight="1" x14ac:dyDescent="0.25">
      <c r="B73" s="9">
        <v>43177.329774401594</v>
      </c>
      <c r="C73" s="9">
        <v>43138</v>
      </c>
      <c r="D73" s="9">
        <v>43177.329774401594</v>
      </c>
      <c r="E73" t="s">
        <v>34</v>
      </c>
      <c r="F73" t="s">
        <v>30</v>
      </c>
      <c r="G73" t="s">
        <v>350</v>
      </c>
      <c r="H73" s="10">
        <v>4867</v>
      </c>
      <c r="I73">
        <f>IF(RegistroSaidas[[#This Row],[Data do Caixa Realizado]] = "", 0, MONTH(RegistroSaidas[[#This Row],[Data do Caixa Realizado]]))</f>
        <v>3</v>
      </c>
      <c r="J73">
        <f>IF(RegistroSaidas[[#This Row],[Data do Caixa Realizado]] = "",0,YEAR(RegistroSaidas[[#This Row],[Data do Caixa Realizado]]))</f>
        <v>2018</v>
      </c>
      <c r="K73" s="38">
        <f xml:space="preserve"> IF(RegistroSaidas[[#This Row],[Data da Competência]]="",0,MONTH(RegistroSaidas[[#This Row],[Data da Competência]]))</f>
        <v>2</v>
      </c>
      <c r="L73" s="38">
        <f xml:space="preserve"> IF(RegistroSaidas[[#This Row],[Data da Competência]]="",0,YEAR(RegistroSaidas[[#This Row],[Data da Competência]]))</f>
        <v>2018</v>
      </c>
      <c r="M73" s="38">
        <f xml:space="preserve"> IF(RegistroSaidas[[#This Row],[Data do Caixa Previsto]]="",0,MONTH(RegistroSaidas[[#This Row],[Data do Caixa Previsto]]))</f>
        <v>3</v>
      </c>
      <c r="N73" s="38">
        <f xml:space="preserve"> IF(RegistroSaidas[[#This Row],[Data do Caixa Previsto]]="",0,YEAR(RegistroSaidas[[#This Row],[Data do Caixa Previsto]]))</f>
        <v>2018</v>
      </c>
      <c r="O73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74" spans="2:15" ht="20.100000000000001" customHeight="1" x14ac:dyDescent="0.25">
      <c r="B74" s="9">
        <v>43175.004800342591</v>
      </c>
      <c r="C74" s="9">
        <v>43140</v>
      </c>
      <c r="D74" s="9">
        <v>43175.004800342591</v>
      </c>
      <c r="E74" t="s">
        <v>34</v>
      </c>
      <c r="F74" t="s">
        <v>31</v>
      </c>
      <c r="G74" t="s">
        <v>351</v>
      </c>
      <c r="H74" s="10">
        <v>702</v>
      </c>
      <c r="I74">
        <f>IF(RegistroSaidas[[#This Row],[Data do Caixa Realizado]] = "", 0, MONTH(RegistroSaidas[[#This Row],[Data do Caixa Realizado]]))</f>
        <v>3</v>
      </c>
      <c r="J74">
        <f>IF(RegistroSaidas[[#This Row],[Data do Caixa Realizado]] = "",0,YEAR(RegistroSaidas[[#This Row],[Data do Caixa Realizado]]))</f>
        <v>2018</v>
      </c>
      <c r="K74" s="38">
        <f xml:space="preserve"> IF(RegistroSaidas[[#This Row],[Data da Competência]]="",0,MONTH(RegistroSaidas[[#This Row],[Data da Competência]]))</f>
        <v>2</v>
      </c>
      <c r="L74" s="38">
        <f xml:space="preserve"> IF(RegistroSaidas[[#This Row],[Data da Competência]]="",0,YEAR(RegistroSaidas[[#This Row],[Data da Competência]]))</f>
        <v>2018</v>
      </c>
      <c r="M74" s="38">
        <f xml:space="preserve"> IF(RegistroSaidas[[#This Row],[Data do Caixa Previsto]]="",0,MONTH(RegistroSaidas[[#This Row],[Data do Caixa Previsto]]))</f>
        <v>3</v>
      </c>
      <c r="N74" s="38">
        <f xml:space="preserve"> IF(RegistroSaidas[[#This Row],[Data do Caixa Previsto]]="",0,YEAR(RegistroSaidas[[#This Row],[Data do Caixa Previsto]]))</f>
        <v>2018</v>
      </c>
      <c r="O74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75" spans="2:15" ht="20.100000000000001" customHeight="1" x14ac:dyDescent="0.25">
      <c r="B75" s="9">
        <v>43238.007350836197</v>
      </c>
      <c r="C75" s="9">
        <v>43145</v>
      </c>
      <c r="D75" s="9">
        <v>43150.456480487795</v>
      </c>
      <c r="E75" t="s">
        <v>34</v>
      </c>
      <c r="F75" t="s">
        <v>31</v>
      </c>
      <c r="G75" t="s">
        <v>352</v>
      </c>
      <c r="H75" s="10">
        <v>2801</v>
      </c>
      <c r="I75">
        <f>IF(RegistroSaidas[[#This Row],[Data do Caixa Realizado]] = "", 0, MONTH(RegistroSaidas[[#This Row],[Data do Caixa Realizado]]))</f>
        <v>5</v>
      </c>
      <c r="J75">
        <f>IF(RegistroSaidas[[#This Row],[Data do Caixa Realizado]] = "",0,YEAR(RegistroSaidas[[#This Row],[Data do Caixa Realizado]]))</f>
        <v>2018</v>
      </c>
      <c r="K75" s="38">
        <f xml:space="preserve"> IF(RegistroSaidas[[#This Row],[Data da Competência]]="",0,MONTH(RegistroSaidas[[#This Row],[Data da Competência]]))</f>
        <v>2</v>
      </c>
      <c r="L75" s="38">
        <f xml:space="preserve"> IF(RegistroSaidas[[#This Row],[Data da Competência]]="",0,YEAR(RegistroSaidas[[#This Row],[Data da Competência]]))</f>
        <v>2018</v>
      </c>
      <c r="M75" s="38">
        <f xml:space="preserve"> IF(RegistroSaidas[[#This Row],[Data do Caixa Previsto]]="",0,MONTH(RegistroSaidas[[#This Row],[Data do Caixa Previsto]]))</f>
        <v>2</v>
      </c>
      <c r="N75" s="38">
        <f xml:space="preserve"> IF(RegistroSaidas[[#This Row],[Data do Caixa Previsto]]="",0,YEAR(RegistroSaidas[[#This Row],[Data do Caixa Previsto]]))</f>
        <v>2018</v>
      </c>
      <c r="O75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87.550870348401077</v>
      </c>
    </row>
    <row r="76" spans="2:15" ht="20.100000000000001" customHeight="1" x14ac:dyDescent="0.25">
      <c r="B76" s="9" t="s">
        <v>64</v>
      </c>
      <c r="C76" s="9">
        <v>43146</v>
      </c>
      <c r="D76" s="9">
        <v>43169.778347522966</v>
      </c>
      <c r="E76" t="s">
        <v>34</v>
      </c>
      <c r="F76" t="s">
        <v>40</v>
      </c>
      <c r="G76" t="s">
        <v>353</v>
      </c>
      <c r="H76" s="10">
        <v>4438</v>
      </c>
      <c r="I76">
        <f>IF(RegistroSaidas[[#This Row],[Data do Caixa Realizado]] = "", 0, MONTH(RegistroSaidas[[#This Row],[Data do Caixa Realizado]]))</f>
        <v>0</v>
      </c>
      <c r="J76">
        <f>IF(RegistroSaidas[[#This Row],[Data do Caixa Realizado]] = "",0,YEAR(RegistroSaidas[[#This Row],[Data do Caixa Realizado]]))</f>
        <v>0</v>
      </c>
      <c r="K76" s="38">
        <f xml:space="preserve"> IF(RegistroSaidas[[#This Row],[Data da Competência]]="",0,MONTH(RegistroSaidas[[#This Row],[Data da Competência]]))</f>
        <v>2</v>
      </c>
      <c r="L76" s="38">
        <f xml:space="preserve"> IF(RegistroSaidas[[#This Row],[Data da Competência]]="",0,YEAR(RegistroSaidas[[#This Row],[Data da Competência]]))</f>
        <v>2018</v>
      </c>
      <c r="M76" s="38">
        <f xml:space="preserve"> IF(RegistroSaidas[[#This Row],[Data do Caixa Previsto]]="",0,MONTH(RegistroSaidas[[#This Row],[Data do Caixa Previsto]]))</f>
        <v>3</v>
      </c>
      <c r="N76" s="38">
        <f xml:space="preserve"> IF(RegistroSaidas[[#This Row],[Data do Caixa Previsto]]="",0,YEAR(RegistroSaidas[[#This Row],[Data do Caixa Previsto]]))</f>
        <v>2018</v>
      </c>
      <c r="O76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2046.2216524770338</v>
      </c>
    </row>
    <row r="77" spans="2:15" ht="20.100000000000001" customHeight="1" x14ac:dyDescent="0.25">
      <c r="B77" s="9">
        <v>43198.215136039675</v>
      </c>
      <c r="C77" s="9">
        <v>43151</v>
      </c>
      <c r="D77" s="9">
        <v>43198.215136039675</v>
      </c>
      <c r="E77" t="s">
        <v>34</v>
      </c>
      <c r="F77" t="s">
        <v>30</v>
      </c>
      <c r="G77" t="s">
        <v>354</v>
      </c>
      <c r="H77" s="10">
        <v>3835</v>
      </c>
      <c r="I77">
        <f>IF(RegistroSaidas[[#This Row],[Data do Caixa Realizado]] = "", 0, MONTH(RegistroSaidas[[#This Row],[Data do Caixa Realizado]]))</f>
        <v>4</v>
      </c>
      <c r="J77">
        <f>IF(RegistroSaidas[[#This Row],[Data do Caixa Realizado]] = "",0,YEAR(RegistroSaidas[[#This Row],[Data do Caixa Realizado]]))</f>
        <v>2018</v>
      </c>
      <c r="K77" s="38">
        <f xml:space="preserve"> IF(RegistroSaidas[[#This Row],[Data da Competência]]="",0,MONTH(RegistroSaidas[[#This Row],[Data da Competência]]))</f>
        <v>2</v>
      </c>
      <c r="L77" s="38">
        <f xml:space="preserve"> IF(RegistroSaidas[[#This Row],[Data da Competência]]="",0,YEAR(RegistroSaidas[[#This Row],[Data da Competência]]))</f>
        <v>2018</v>
      </c>
      <c r="M77" s="38">
        <f xml:space="preserve"> IF(RegistroSaidas[[#This Row],[Data do Caixa Previsto]]="",0,MONTH(RegistroSaidas[[#This Row],[Data do Caixa Previsto]]))</f>
        <v>4</v>
      </c>
      <c r="N77" s="38">
        <f xml:space="preserve"> IF(RegistroSaidas[[#This Row],[Data do Caixa Previsto]]="",0,YEAR(RegistroSaidas[[#This Row],[Data do Caixa Previsto]]))</f>
        <v>2018</v>
      </c>
      <c r="O77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78" spans="2:15" ht="20.100000000000001" customHeight="1" x14ac:dyDescent="0.25">
      <c r="B78" s="9">
        <v>43199.384372741159</v>
      </c>
      <c r="C78" s="9">
        <v>43160</v>
      </c>
      <c r="D78" s="9">
        <v>43199.384372741159</v>
      </c>
      <c r="E78" t="s">
        <v>34</v>
      </c>
      <c r="F78" t="s">
        <v>40</v>
      </c>
      <c r="G78" t="s">
        <v>355</v>
      </c>
      <c r="H78" s="10">
        <v>3893</v>
      </c>
      <c r="I78">
        <f>IF(RegistroSaidas[[#This Row],[Data do Caixa Realizado]] = "", 0, MONTH(RegistroSaidas[[#This Row],[Data do Caixa Realizado]]))</f>
        <v>4</v>
      </c>
      <c r="J78">
        <f>IF(RegistroSaidas[[#This Row],[Data do Caixa Realizado]] = "",0,YEAR(RegistroSaidas[[#This Row],[Data do Caixa Realizado]]))</f>
        <v>2018</v>
      </c>
      <c r="K78" s="38">
        <f xml:space="preserve"> IF(RegistroSaidas[[#This Row],[Data da Competência]]="",0,MONTH(RegistroSaidas[[#This Row],[Data da Competência]]))</f>
        <v>3</v>
      </c>
      <c r="L78" s="38">
        <f xml:space="preserve"> IF(RegistroSaidas[[#This Row],[Data da Competência]]="",0,YEAR(RegistroSaidas[[#This Row],[Data da Competência]]))</f>
        <v>2018</v>
      </c>
      <c r="M78" s="38">
        <f xml:space="preserve"> IF(RegistroSaidas[[#This Row],[Data do Caixa Previsto]]="",0,MONTH(RegistroSaidas[[#This Row],[Data do Caixa Previsto]]))</f>
        <v>4</v>
      </c>
      <c r="N78" s="38">
        <f xml:space="preserve"> IF(RegistroSaidas[[#This Row],[Data do Caixa Previsto]]="",0,YEAR(RegistroSaidas[[#This Row],[Data do Caixa Previsto]]))</f>
        <v>2018</v>
      </c>
      <c r="O78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79" spans="2:15" ht="20.100000000000001" customHeight="1" x14ac:dyDescent="0.25">
      <c r="B79" s="9">
        <v>43184.353160705636</v>
      </c>
      <c r="C79" s="9">
        <v>43163</v>
      </c>
      <c r="D79" s="9">
        <v>43184.353160705636</v>
      </c>
      <c r="E79" t="s">
        <v>34</v>
      </c>
      <c r="F79" t="s">
        <v>40</v>
      </c>
      <c r="G79" t="s">
        <v>219</v>
      </c>
      <c r="H79" s="10">
        <v>1970</v>
      </c>
      <c r="I79">
        <f>IF(RegistroSaidas[[#This Row],[Data do Caixa Realizado]] = "", 0, MONTH(RegistroSaidas[[#This Row],[Data do Caixa Realizado]]))</f>
        <v>3</v>
      </c>
      <c r="J79">
        <f>IF(RegistroSaidas[[#This Row],[Data do Caixa Realizado]] = "",0,YEAR(RegistroSaidas[[#This Row],[Data do Caixa Realizado]]))</f>
        <v>2018</v>
      </c>
      <c r="K79" s="38">
        <f xml:space="preserve"> IF(RegistroSaidas[[#This Row],[Data da Competência]]="",0,MONTH(RegistroSaidas[[#This Row],[Data da Competência]]))</f>
        <v>3</v>
      </c>
      <c r="L79" s="38">
        <f xml:space="preserve"> IF(RegistroSaidas[[#This Row],[Data da Competência]]="",0,YEAR(RegistroSaidas[[#This Row],[Data da Competência]]))</f>
        <v>2018</v>
      </c>
      <c r="M79" s="38">
        <f xml:space="preserve"> IF(RegistroSaidas[[#This Row],[Data do Caixa Previsto]]="",0,MONTH(RegistroSaidas[[#This Row],[Data do Caixa Previsto]]))</f>
        <v>3</v>
      </c>
      <c r="N79" s="38">
        <f xml:space="preserve"> IF(RegistroSaidas[[#This Row],[Data do Caixa Previsto]]="",0,YEAR(RegistroSaidas[[#This Row],[Data do Caixa Previsto]]))</f>
        <v>2018</v>
      </c>
      <c r="O79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80" spans="2:15" ht="20.100000000000001" customHeight="1" x14ac:dyDescent="0.25">
      <c r="B80" s="9">
        <v>43219.347145801272</v>
      </c>
      <c r="C80" s="9">
        <v>43164</v>
      </c>
      <c r="D80" s="9">
        <v>43219.347145801272</v>
      </c>
      <c r="E80" t="s">
        <v>34</v>
      </c>
      <c r="F80" t="s">
        <v>31</v>
      </c>
      <c r="G80" t="s">
        <v>356</v>
      </c>
      <c r="H80" s="10">
        <v>729</v>
      </c>
      <c r="I80">
        <f>IF(RegistroSaidas[[#This Row],[Data do Caixa Realizado]] = "", 0, MONTH(RegistroSaidas[[#This Row],[Data do Caixa Realizado]]))</f>
        <v>4</v>
      </c>
      <c r="J80">
        <f>IF(RegistroSaidas[[#This Row],[Data do Caixa Realizado]] = "",0,YEAR(RegistroSaidas[[#This Row],[Data do Caixa Realizado]]))</f>
        <v>2018</v>
      </c>
      <c r="K80" s="38">
        <f xml:space="preserve"> IF(RegistroSaidas[[#This Row],[Data da Competência]]="",0,MONTH(RegistroSaidas[[#This Row],[Data da Competência]]))</f>
        <v>3</v>
      </c>
      <c r="L80" s="38">
        <f xml:space="preserve"> IF(RegistroSaidas[[#This Row],[Data da Competência]]="",0,YEAR(RegistroSaidas[[#This Row],[Data da Competência]]))</f>
        <v>2018</v>
      </c>
      <c r="M80" s="38">
        <f xml:space="preserve"> IF(RegistroSaidas[[#This Row],[Data do Caixa Previsto]]="",0,MONTH(RegistroSaidas[[#This Row],[Data do Caixa Previsto]]))</f>
        <v>4</v>
      </c>
      <c r="N80" s="38">
        <f xml:space="preserve"> IF(RegistroSaidas[[#This Row],[Data do Caixa Previsto]]="",0,YEAR(RegistroSaidas[[#This Row],[Data do Caixa Previsto]]))</f>
        <v>2018</v>
      </c>
      <c r="O80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81" spans="2:15" ht="20.100000000000001" customHeight="1" x14ac:dyDescent="0.25">
      <c r="B81" s="9">
        <v>43188.959993905235</v>
      </c>
      <c r="C81" s="9">
        <v>43166</v>
      </c>
      <c r="D81" s="9">
        <v>43188.959993905235</v>
      </c>
      <c r="E81" t="s">
        <v>34</v>
      </c>
      <c r="F81" t="s">
        <v>30</v>
      </c>
      <c r="G81" t="s">
        <v>357</v>
      </c>
      <c r="H81" s="10">
        <v>474</v>
      </c>
      <c r="I81">
        <f>IF(RegistroSaidas[[#This Row],[Data do Caixa Realizado]] = "", 0, MONTH(RegistroSaidas[[#This Row],[Data do Caixa Realizado]]))</f>
        <v>3</v>
      </c>
      <c r="J81">
        <f>IF(RegistroSaidas[[#This Row],[Data do Caixa Realizado]] = "",0,YEAR(RegistroSaidas[[#This Row],[Data do Caixa Realizado]]))</f>
        <v>2018</v>
      </c>
      <c r="K81" s="38">
        <f xml:space="preserve"> IF(RegistroSaidas[[#This Row],[Data da Competência]]="",0,MONTH(RegistroSaidas[[#This Row],[Data da Competência]]))</f>
        <v>3</v>
      </c>
      <c r="L81" s="38">
        <f xml:space="preserve"> IF(RegistroSaidas[[#This Row],[Data da Competência]]="",0,YEAR(RegistroSaidas[[#This Row],[Data da Competência]]))</f>
        <v>2018</v>
      </c>
      <c r="M81" s="38">
        <f xml:space="preserve"> IF(RegistroSaidas[[#This Row],[Data do Caixa Previsto]]="",0,MONTH(RegistroSaidas[[#This Row],[Data do Caixa Previsto]]))</f>
        <v>3</v>
      </c>
      <c r="N81" s="38">
        <f xml:space="preserve"> IF(RegistroSaidas[[#This Row],[Data do Caixa Previsto]]="",0,YEAR(RegistroSaidas[[#This Row],[Data do Caixa Previsto]]))</f>
        <v>2018</v>
      </c>
      <c r="O81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82" spans="2:15" ht="20.100000000000001" customHeight="1" x14ac:dyDescent="0.25">
      <c r="B82" s="9">
        <v>43197.842717434411</v>
      </c>
      <c r="C82" s="9">
        <v>43168</v>
      </c>
      <c r="D82" s="9">
        <v>43197.842717434411</v>
      </c>
      <c r="E82" t="s">
        <v>34</v>
      </c>
      <c r="F82" t="s">
        <v>31</v>
      </c>
      <c r="G82" t="s">
        <v>358</v>
      </c>
      <c r="H82" s="10">
        <v>3164</v>
      </c>
      <c r="I82">
        <f>IF(RegistroSaidas[[#This Row],[Data do Caixa Realizado]] = "", 0, MONTH(RegistroSaidas[[#This Row],[Data do Caixa Realizado]]))</f>
        <v>4</v>
      </c>
      <c r="J82">
        <f>IF(RegistroSaidas[[#This Row],[Data do Caixa Realizado]] = "",0,YEAR(RegistroSaidas[[#This Row],[Data do Caixa Realizado]]))</f>
        <v>2018</v>
      </c>
      <c r="K82" s="38">
        <f xml:space="preserve"> IF(RegistroSaidas[[#This Row],[Data da Competência]]="",0,MONTH(RegistroSaidas[[#This Row],[Data da Competência]]))</f>
        <v>3</v>
      </c>
      <c r="L82" s="38">
        <f xml:space="preserve"> IF(RegistroSaidas[[#This Row],[Data da Competência]]="",0,YEAR(RegistroSaidas[[#This Row],[Data da Competência]]))</f>
        <v>2018</v>
      </c>
      <c r="M82" s="38">
        <f xml:space="preserve"> IF(RegistroSaidas[[#This Row],[Data do Caixa Previsto]]="",0,MONTH(RegistroSaidas[[#This Row],[Data do Caixa Previsto]]))</f>
        <v>4</v>
      </c>
      <c r="N82" s="38">
        <f xml:space="preserve"> IF(RegistroSaidas[[#This Row],[Data do Caixa Previsto]]="",0,YEAR(RegistroSaidas[[#This Row],[Data do Caixa Previsto]]))</f>
        <v>2018</v>
      </c>
      <c r="O82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83" spans="2:15" ht="20.100000000000001" customHeight="1" x14ac:dyDescent="0.25">
      <c r="B83" s="9">
        <v>43228.717380772498</v>
      </c>
      <c r="C83" s="9">
        <v>43173</v>
      </c>
      <c r="D83" s="9">
        <v>43228.717380772498</v>
      </c>
      <c r="E83" t="s">
        <v>34</v>
      </c>
      <c r="F83" t="s">
        <v>40</v>
      </c>
      <c r="G83" t="s">
        <v>359</v>
      </c>
      <c r="H83" s="10">
        <v>3113</v>
      </c>
      <c r="I83">
        <f>IF(RegistroSaidas[[#This Row],[Data do Caixa Realizado]] = "", 0, MONTH(RegistroSaidas[[#This Row],[Data do Caixa Realizado]]))</f>
        <v>5</v>
      </c>
      <c r="J83">
        <f>IF(RegistroSaidas[[#This Row],[Data do Caixa Realizado]] = "",0,YEAR(RegistroSaidas[[#This Row],[Data do Caixa Realizado]]))</f>
        <v>2018</v>
      </c>
      <c r="K83" s="38">
        <f xml:space="preserve"> IF(RegistroSaidas[[#This Row],[Data da Competência]]="",0,MONTH(RegistroSaidas[[#This Row],[Data da Competência]]))</f>
        <v>3</v>
      </c>
      <c r="L83" s="38">
        <f xml:space="preserve"> IF(RegistroSaidas[[#This Row],[Data da Competência]]="",0,YEAR(RegistroSaidas[[#This Row],[Data da Competência]]))</f>
        <v>2018</v>
      </c>
      <c r="M83" s="38">
        <f xml:space="preserve"> IF(RegistroSaidas[[#This Row],[Data do Caixa Previsto]]="",0,MONTH(RegistroSaidas[[#This Row],[Data do Caixa Previsto]]))</f>
        <v>5</v>
      </c>
      <c r="N83" s="38">
        <f xml:space="preserve"> IF(RegistroSaidas[[#This Row],[Data do Caixa Previsto]]="",0,YEAR(RegistroSaidas[[#This Row],[Data do Caixa Previsto]]))</f>
        <v>2018</v>
      </c>
      <c r="O83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84" spans="2:15" ht="20.100000000000001" customHeight="1" x14ac:dyDescent="0.25">
      <c r="B84" s="9">
        <v>43288.26904093464</v>
      </c>
      <c r="C84" s="9">
        <v>43176</v>
      </c>
      <c r="D84" s="9">
        <v>43201.571307437043</v>
      </c>
      <c r="E84" t="s">
        <v>34</v>
      </c>
      <c r="F84" t="s">
        <v>29</v>
      </c>
      <c r="G84" t="s">
        <v>360</v>
      </c>
      <c r="H84" s="10">
        <v>789</v>
      </c>
      <c r="I84">
        <f>IF(RegistroSaidas[[#This Row],[Data do Caixa Realizado]] = "", 0, MONTH(RegistroSaidas[[#This Row],[Data do Caixa Realizado]]))</f>
        <v>7</v>
      </c>
      <c r="J84">
        <f>IF(RegistroSaidas[[#This Row],[Data do Caixa Realizado]] = "",0,YEAR(RegistroSaidas[[#This Row],[Data do Caixa Realizado]]))</f>
        <v>2018</v>
      </c>
      <c r="K84" s="38">
        <f xml:space="preserve"> IF(RegistroSaidas[[#This Row],[Data da Competência]]="",0,MONTH(RegistroSaidas[[#This Row],[Data da Competência]]))</f>
        <v>3</v>
      </c>
      <c r="L84" s="38">
        <f xml:space="preserve"> IF(RegistroSaidas[[#This Row],[Data da Competência]]="",0,YEAR(RegistroSaidas[[#This Row],[Data da Competência]]))</f>
        <v>2018</v>
      </c>
      <c r="M84" s="38">
        <f xml:space="preserve"> IF(RegistroSaidas[[#This Row],[Data do Caixa Previsto]]="",0,MONTH(RegistroSaidas[[#This Row],[Data do Caixa Previsto]]))</f>
        <v>4</v>
      </c>
      <c r="N84" s="38">
        <f xml:space="preserve"> IF(RegistroSaidas[[#This Row],[Data do Caixa Previsto]]="",0,YEAR(RegistroSaidas[[#This Row],[Data do Caixa Previsto]]))</f>
        <v>2018</v>
      </c>
      <c r="O84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86.697733497596346</v>
      </c>
    </row>
    <row r="85" spans="2:15" ht="20.100000000000001" customHeight="1" x14ac:dyDescent="0.25">
      <c r="B85" s="9">
        <v>43191.559855343337</v>
      </c>
      <c r="C85" s="9">
        <v>43180</v>
      </c>
      <c r="D85" s="9">
        <v>43191.559855343337</v>
      </c>
      <c r="E85" t="s">
        <v>34</v>
      </c>
      <c r="F85" t="s">
        <v>29</v>
      </c>
      <c r="G85" t="s">
        <v>361</v>
      </c>
      <c r="H85" s="10">
        <v>3521</v>
      </c>
      <c r="I85">
        <f>IF(RegistroSaidas[[#This Row],[Data do Caixa Realizado]] = "", 0, MONTH(RegistroSaidas[[#This Row],[Data do Caixa Realizado]]))</f>
        <v>4</v>
      </c>
      <c r="J85">
        <f>IF(RegistroSaidas[[#This Row],[Data do Caixa Realizado]] = "",0,YEAR(RegistroSaidas[[#This Row],[Data do Caixa Realizado]]))</f>
        <v>2018</v>
      </c>
      <c r="K85" s="38">
        <f xml:space="preserve"> IF(RegistroSaidas[[#This Row],[Data da Competência]]="",0,MONTH(RegistroSaidas[[#This Row],[Data da Competência]]))</f>
        <v>3</v>
      </c>
      <c r="L85" s="38">
        <f xml:space="preserve"> IF(RegistroSaidas[[#This Row],[Data da Competência]]="",0,YEAR(RegistroSaidas[[#This Row],[Data da Competência]]))</f>
        <v>2018</v>
      </c>
      <c r="M85" s="38">
        <f xml:space="preserve"> IF(RegistroSaidas[[#This Row],[Data do Caixa Previsto]]="",0,MONTH(RegistroSaidas[[#This Row],[Data do Caixa Previsto]]))</f>
        <v>4</v>
      </c>
      <c r="N85" s="38">
        <f xml:space="preserve"> IF(RegistroSaidas[[#This Row],[Data do Caixa Previsto]]="",0,YEAR(RegistroSaidas[[#This Row],[Data do Caixa Previsto]]))</f>
        <v>2018</v>
      </c>
      <c r="O85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86" spans="2:15" ht="20.100000000000001" customHeight="1" x14ac:dyDescent="0.25">
      <c r="B86" s="9">
        <v>43187.734676954671</v>
      </c>
      <c r="C86" s="9">
        <v>43183</v>
      </c>
      <c r="D86" s="9">
        <v>43187.734676954671</v>
      </c>
      <c r="E86" t="s">
        <v>34</v>
      </c>
      <c r="F86" t="s">
        <v>40</v>
      </c>
      <c r="G86" t="s">
        <v>362</v>
      </c>
      <c r="H86" s="10">
        <v>4947</v>
      </c>
      <c r="I86">
        <f>IF(RegistroSaidas[[#This Row],[Data do Caixa Realizado]] = "", 0, MONTH(RegistroSaidas[[#This Row],[Data do Caixa Realizado]]))</f>
        <v>3</v>
      </c>
      <c r="J86">
        <f>IF(RegistroSaidas[[#This Row],[Data do Caixa Realizado]] = "",0,YEAR(RegistroSaidas[[#This Row],[Data do Caixa Realizado]]))</f>
        <v>2018</v>
      </c>
      <c r="K86" s="38">
        <f xml:space="preserve"> IF(RegistroSaidas[[#This Row],[Data da Competência]]="",0,MONTH(RegistroSaidas[[#This Row],[Data da Competência]]))</f>
        <v>3</v>
      </c>
      <c r="L86" s="38">
        <f xml:space="preserve"> IF(RegistroSaidas[[#This Row],[Data da Competência]]="",0,YEAR(RegistroSaidas[[#This Row],[Data da Competência]]))</f>
        <v>2018</v>
      </c>
      <c r="M86" s="38">
        <f xml:space="preserve"> IF(RegistroSaidas[[#This Row],[Data do Caixa Previsto]]="",0,MONTH(RegistroSaidas[[#This Row],[Data do Caixa Previsto]]))</f>
        <v>3</v>
      </c>
      <c r="N86" s="38">
        <f xml:space="preserve"> IF(RegistroSaidas[[#This Row],[Data do Caixa Previsto]]="",0,YEAR(RegistroSaidas[[#This Row],[Data do Caixa Previsto]]))</f>
        <v>2018</v>
      </c>
      <c r="O86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87" spans="2:15" ht="20.100000000000001" customHeight="1" x14ac:dyDescent="0.25">
      <c r="B87" s="9">
        <v>43223.623035835837</v>
      </c>
      <c r="C87" s="9">
        <v>43184</v>
      </c>
      <c r="D87" s="9">
        <v>43223.623035835837</v>
      </c>
      <c r="E87" t="s">
        <v>34</v>
      </c>
      <c r="F87" t="s">
        <v>29</v>
      </c>
      <c r="G87" t="s">
        <v>363</v>
      </c>
      <c r="H87" s="10">
        <v>1527</v>
      </c>
      <c r="I87">
        <f>IF(RegistroSaidas[[#This Row],[Data do Caixa Realizado]] = "", 0, MONTH(RegistroSaidas[[#This Row],[Data do Caixa Realizado]]))</f>
        <v>5</v>
      </c>
      <c r="J87">
        <f>IF(RegistroSaidas[[#This Row],[Data do Caixa Realizado]] = "",0,YEAR(RegistroSaidas[[#This Row],[Data do Caixa Realizado]]))</f>
        <v>2018</v>
      </c>
      <c r="K87" s="38">
        <f xml:space="preserve"> IF(RegistroSaidas[[#This Row],[Data da Competência]]="",0,MONTH(RegistroSaidas[[#This Row],[Data da Competência]]))</f>
        <v>3</v>
      </c>
      <c r="L87" s="38">
        <f xml:space="preserve"> IF(RegistroSaidas[[#This Row],[Data da Competência]]="",0,YEAR(RegistroSaidas[[#This Row],[Data da Competência]]))</f>
        <v>2018</v>
      </c>
      <c r="M87" s="38">
        <f xml:space="preserve"> IF(RegistroSaidas[[#This Row],[Data do Caixa Previsto]]="",0,MONTH(RegistroSaidas[[#This Row],[Data do Caixa Previsto]]))</f>
        <v>5</v>
      </c>
      <c r="N87" s="38">
        <f xml:space="preserve"> IF(RegistroSaidas[[#This Row],[Data do Caixa Previsto]]="",0,YEAR(RegistroSaidas[[#This Row],[Data do Caixa Previsto]]))</f>
        <v>2018</v>
      </c>
      <c r="O87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88" spans="2:15" ht="20.100000000000001" customHeight="1" x14ac:dyDescent="0.25">
      <c r="B88" s="9">
        <v>43234.522556233635</v>
      </c>
      <c r="C88" s="9">
        <v>43191</v>
      </c>
      <c r="D88" s="9">
        <v>43234.522556233635</v>
      </c>
      <c r="E88" t="s">
        <v>34</v>
      </c>
      <c r="F88" t="s">
        <v>29</v>
      </c>
      <c r="G88" t="s">
        <v>364</v>
      </c>
      <c r="H88" s="10">
        <v>764</v>
      </c>
      <c r="I88">
        <f>IF(RegistroSaidas[[#This Row],[Data do Caixa Realizado]] = "", 0, MONTH(RegistroSaidas[[#This Row],[Data do Caixa Realizado]]))</f>
        <v>5</v>
      </c>
      <c r="J88">
        <f>IF(RegistroSaidas[[#This Row],[Data do Caixa Realizado]] = "",0,YEAR(RegistroSaidas[[#This Row],[Data do Caixa Realizado]]))</f>
        <v>2018</v>
      </c>
      <c r="K88" s="38">
        <f xml:space="preserve"> IF(RegistroSaidas[[#This Row],[Data da Competência]]="",0,MONTH(RegistroSaidas[[#This Row],[Data da Competência]]))</f>
        <v>4</v>
      </c>
      <c r="L88" s="38">
        <f xml:space="preserve"> IF(RegistroSaidas[[#This Row],[Data da Competência]]="",0,YEAR(RegistroSaidas[[#This Row],[Data da Competência]]))</f>
        <v>2018</v>
      </c>
      <c r="M88" s="38">
        <f xml:space="preserve"> IF(RegistroSaidas[[#This Row],[Data do Caixa Previsto]]="",0,MONTH(RegistroSaidas[[#This Row],[Data do Caixa Previsto]]))</f>
        <v>5</v>
      </c>
      <c r="N88" s="38">
        <f xml:space="preserve"> IF(RegistroSaidas[[#This Row],[Data do Caixa Previsto]]="",0,YEAR(RegistroSaidas[[#This Row],[Data do Caixa Previsto]]))</f>
        <v>2018</v>
      </c>
      <c r="O88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89" spans="2:15" ht="20.100000000000001" customHeight="1" x14ac:dyDescent="0.25">
      <c r="B89" s="9">
        <v>43202.116934975762</v>
      </c>
      <c r="C89" s="9">
        <v>43193</v>
      </c>
      <c r="D89" s="9">
        <v>43202.116934975762</v>
      </c>
      <c r="E89" t="s">
        <v>34</v>
      </c>
      <c r="F89" t="s">
        <v>30</v>
      </c>
      <c r="G89" t="s">
        <v>365</v>
      </c>
      <c r="H89" s="10">
        <v>2463</v>
      </c>
      <c r="I89">
        <f>IF(RegistroSaidas[[#This Row],[Data do Caixa Realizado]] = "", 0, MONTH(RegistroSaidas[[#This Row],[Data do Caixa Realizado]]))</f>
        <v>4</v>
      </c>
      <c r="J89">
        <f>IF(RegistroSaidas[[#This Row],[Data do Caixa Realizado]] = "",0,YEAR(RegistroSaidas[[#This Row],[Data do Caixa Realizado]]))</f>
        <v>2018</v>
      </c>
      <c r="K89" s="38">
        <f xml:space="preserve"> IF(RegistroSaidas[[#This Row],[Data da Competência]]="",0,MONTH(RegistroSaidas[[#This Row],[Data da Competência]]))</f>
        <v>4</v>
      </c>
      <c r="L89" s="38">
        <f xml:space="preserve"> IF(RegistroSaidas[[#This Row],[Data da Competência]]="",0,YEAR(RegistroSaidas[[#This Row],[Data da Competência]]))</f>
        <v>2018</v>
      </c>
      <c r="M89" s="38">
        <f xml:space="preserve"> IF(RegistroSaidas[[#This Row],[Data do Caixa Previsto]]="",0,MONTH(RegistroSaidas[[#This Row],[Data do Caixa Previsto]]))</f>
        <v>4</v>
      </c>
      <c r="N89" s="38">
        <f xml:space="preserve"> IF(RegistroSaidas[[#This Row],[Data do Caixa Previsto]]="",0,YEAR(RegistroSaidas[[#This Row],[Data do Caixa Previsto]]))</f>
        <v>2018</v>
      </c>
      <c r="O89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90" spans="2:15" ht="20.100000000000001" customHeight="1" x14ac:dyDescent="0.25">
      <c r="B90" s="9">
        <v>43220.080853168562</v>
      </c>
      <c r="C90" s="9">
        <v>43195</v>
      </c>
      <c r="D90" s="9">
        <v>43215.697364070438</v>
      </c>
      <c r="E90" t="s">
        <v>34</v>
      </c>
      <c r="F90" t="s">
        <v>31</v>
      </c>
      <c r="G90" t="s">
        <v>366</v>
      </c>
      <c r="H90" s="10">
        <v>2111</v>
      </c>
      <c r="I90">
        <f>IF(RegistroSaidas[[#This Row],[Data do Caixa Realizado]] = "", 0, MONTH(RegistroSaidas[[#This Row],[Data do Caixa Realizado]]))</f>
        <v>4</v>
      </c>
      <c r="J90">
        <f>IF(RegistroSaidas[[#This Row],[Data do Caixa Realizado]] = "",0,YEAR(RegistroSaidas[[#This Row],[Data do Caixa Realizado]]))</f>
        <v>2018</v>
      </c>
      <c r="K90" s="38">
        <f xml:space="preserve"> IF(RegistroSaidas[[#This Row],[Data da Competência]]="",0,MONTH(RegistroSaidas[[#This Row],[Data da Competência]]))</f>
        <v>4</v>
      </c>
      <c r="L90" s="38">
        <f xml:space="preserve"> IF(RegistroSaidas[[#This Row],[Data da Competência]]="",0,YEAR(RegistroSaidas[[#This Row],[Data da Competência]]))</f>
        <v>2018</v>
      </c>
      <c r="M90" s="38">
        <f xml:space="preserve"> IF(RegistroSaidas[[#This Row],[Data do Caixa Previsto]]="",0,MONTH(RegistroSaidas[[#This Row],[Data do Caixa Previsto]]))</f>
        <v>4</v>
      </c>
      <c r="N90" s="38">
        <f xml:space="preserve"> IF(RegistroSaidas[[#This Row],[Data do Caixa Previsto]]="",0,YEAR(RegistroSaidas[[#This Row],[Data do Caixa Previsto]]))</f>
        <v>2018</v>
      </c>
      <c r="O90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4.3834890981233912</v>
      </c>
    </row>
    <row r="91" spans="2:15" ht="20.100000000000001" customHeight="1" x14ac:dyDescent="0.25">
      <c r="B91" s="9">
        <v>43221.571171062293</v>
      </c>
      <c r="C91" s="9">
        <v>43196</v>
      </c>
      <c r="D91" s="9">
        <v>43221.571171062293</v>
      </c>
      <c r="E91" t="s">
        <v>34</v>
      </c>
      <c r="F91" t="s">
        <v>40</v>
      </c>
      <c r="G91" t="s">
        <v>367</v>
      </c>
      <c r="H91" s="10">
        <v>1144</v>
      </c>
      <c r="I91">
        <f>IF(RegistroSaidas[[#This Row],[Data do Caixa Realizado]] = "", 0, MONTH(RegistroSaidas[[#This Row],[Data do Caixa Realizado]]))</f>
        <v>5</v>
      </c>
      <c r="J91">
        <f>IF(RegistroSaidas[[#This Row],[Data do Caixa Realizado]] = "",0,YEAR(RegistroSaidas[[#This Row],[Data do Caixa Realizado]]))</f>
        <v>2018</v>
      </c>
      <c r="K91" s="38">
        <f xml:space="preserve"> IF(RegistroSaidas[[#This Row],[Data da Competência]]="",0,MONTH(RegistroSaidas[[#This Row],[Data da Competência]]))</f>
        <v>4</v>
      </c>
      <c r="L91" s="38">
        <f xml:space="preserve"> IF(RegistroSaidas[[#This Row],[Data da Competência]]="",0,YEAR(RegistroSaidas[[#This Row],[Data da Competência]]))</f>
        <v>2018</v>
      </c>
      <c r="M91" s="38">
        <f xml:space="preserve"> IF(RegistroSaidas[[#This Row],[Data do Caixa Previsto]]="",0,MONTH(RegistroSaidas[[#This Row],[Data do Caixa Previsto]]))</f>
        <v>5</v>
      </c>
      <c r="N91" s="38">
        <f xml:space="preserve"> IF(RegistroSaidas[[#This Row],[Data do Caixa Previsto]]="",0,YEAR(RegistroSaidas[[#This Row],[Data do Caixa Previsto]]))</f>
        <v>2018</v>
      </c>
      <c r="O91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92" spans="2:15" ht="20.100000000000001" customHeight="1" x14ac:dyDescent="0.25">
      <c r="B92" s="9">
        <v>43240.686796046153</v>
      </c>
      <c r="C92" s="9">
        <v>43200</v>
      </c>
      <c r="D92" s="9">
        <v>43240.686796046153</v>
      </c>
      <c r="E92" t="s">
        <v>34</v>
      </c>
      <c r="F92" t="s">
        <v>31</v>
      </c>
      <c r="G92" t="s">
        <v>368</v>
      </c>
      <c r="H92" s="10">
        <v>597</v>
      </c>
      <c r="I92">
        <f>IF(RegistroSaidas[[#This Row],[Data do Caixa Realizado]] = "", 0, MONTH(RegistroSaidas[[#This Row],[Data do Caixa Realizado]]))</f>
        <v>5</v>
      </c>
      <c r="J92">
        <f>IF(RegistroSaidas[[#This Row],[Data do Caixa Realizado]] = "",0,YEAR(RegistroSaidas[[#This Row],[Data do Caixa Realizado]]))</f>
        <v>2018</v>
      </c>
      <c r="K92" s="38">
        <f xml:space="preserve"> IF(RegistroSaidas[[#This Row],[Data da Competência]]="",0,MONTH(RegistroSaidas[[#This Row],[Data da Competência]]))</f>
        <v>4</v>
      </c>
      <c r="L92" s="38">
        <f xml:space="preserve"> IF(RegistroSaidas[[#This Row],[Data da Competência]]="",0,YEAR(RegistroSaidas[[#This Row],[Data da Competência]]))</f>
        <v>2018</v>
      </c>
      <c r="M92" s="38">
        <f xml:space="preserve"> IF(RegistroSaidas[[#This Row],[Data do Caixa Previsto]]="",0,MONTH(RegistroSaidas[[#This Row],[Data do Caixa Previsto]]))</f>
        <v>5</v>
      </c>
      <c r="N92" s="38">
        <f xml:space="preserve"> IF(RegistroSaidas[[#This Row],[Data do Caixa Previsto]]="",0,YEAR(RegistroSaidas[[#This Row],[Data do Caixa Previsto]]))</f>
        <v>2018</v>
      </c>
      <c r="O92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93" spans="2:15" ht="20.100000000000001" customHeight="1" x14ac:dyDescent="0.25">
      <c r="B93" s="9">
        <v>43290.30848134488</v>
      </c>
      <c r="C93" s="9">
        <v>43206</v>
      </c>
      <c r="D93" s="9">
        <v>43209.120587233294</v>
      </c>
      <c r="E93" t="s">
        <v>34</v>
      </c>
      <c r="F93" t="s">
        <v>40</v>
      </c>
      <c r="G93" t="s">
        <v>369</v>
      </c>
      <c r="H93" s="10">
        <v>3445</v>
      </c>
      <c r="I93">
        <f>IF(RegistroSaidas[[#This Row],[Data do Caixa Realizado]] = "", 0, MONTH(RegistroSaidas[[#This Row],[Data do Caixa Realizado]]))</f>
        <v>7</v>
      </c>
      <c r="J93">
        <f>IF(RegistroSaidas[[#This Row],[Data do Caixa Realizado]] = "",0,YEAR(RegistroSaidas[[#This Row],[Data do Caixa Realizado]]))</f>
        <v>2018</v>
      </c>
      <c r="K93" s="38">
        <f xml:space="preserve"> IF(RegistroSaidas[[#This Row],[Data da Competência]]="",0,MONTH(RegistroSaidas[[#This Row],[Data da Competência]]))</f>
        <v>4</v>
      </c>
      <c r="L93" s="38">
        <f xml:space="preserve"> IF(RegistroSaidas[[#This Row],[Data da Competência]]="",0,YEAR(RegistroSaidas[[#This Row],[Data da Competência]]))</f>
        <v>2018</v>
      </c>
      <c r="M93" s="38">
        <f xml:space="preserve"> IF(RegistroSaidas[[#This Row],[Data do Caixa Previsto]]="",0,MONTH(RegistroSaidas[[#This Row],[Data do Caixa Previsto]]))</f>
        <v>4</v>
      </c>
      <c r="N93" s="38">
        <f xml:space="preserve"> IF(RegistroSaidas[[#This Row],[Data do Caixa Previsto]]="",0,YEAR(RegistroSaidas[[#This Row],[Data do Caixa Previsto]]))</f>
        <v>2018</v>
      </c>
      <c r="O93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81.187894111586502</v>
      </c>
    </row>
    <row r="94" spans="2:15" ht="20.100000000000001" customHeight="1" x14ac:dyDescent="0.25">
      <c r="B94" s="9">
        <v>43222.305289041076</v>
      </c>
      <c r="C94" s="9">
        <v>43212</v>
      </c>
      <c r="D94" s="9">
        <v>43222.305289041076</v>
      </c>
      <c r="E94" t="s">
        <v>34</v>
      </c>
      <c r="F94" t="s">
        <v>29</v>
      </c>
      <c r="G94" t="s">
        <v>370</v>
      </c>
      <c r="H94" s="10">
        <v>1996</v>
      </c>
      <c r="I94">
        <f>IF(RegistroSaidas[[#This Row],[Data do Caixa Realizado]] = "", 0, MONTH(RegistroSaidas[[#This Row],[Data do Caixa Realizado]]))</f>
        <v>5</v>
      </c>
      <c r="J94">
        <f>IF(RegistroSaidas[[#This Row],[Data do Caixa Realizado]] = "",0,YEAR(RegistroSaidas[[#This Row],[Data do Caixa Realizado]]))</f>
        <v>2018</v>
      </c>
      <c r="K94" s="38">
        <f xml:space="preserve"> IF(RegistroSaidas[[#This Row],[Data da Competência]]="",0,MONTH(RegistroSaidas[[#This Row],[Data da Competência]]))</f>
        <v>4</v>
      </c>
      <c r="L94" s="38">
        <f xml:space="preserve"> IF(RegistroSaidas[[#This Row],[Data da Competência]]="",0,YEAR(RegistroSaidas[[#This Row],[Data da Competência]]))</f>
        <v>2018</v>
      </c>
      <c r="M94" s="38">
        <f xml:space="preserve"> IF(RegistroSaidas[[#This Row],[Data do Caixa Previsto]]="",0,MONTH(RegistroSaidas[[#This Row],[Data do Caixa Previsto]]))</f>
        <v>5</v>
      </c>
      <c r="N94" s="38">
        <f xml:space="preserve"> IF(RegistroSaidas[[#This Row],[Data do Caixa Previsto]]="",0,YEAR(RegistroSaidas[[#This Row],[Data do Caixa Previsto]]))</f>
        <v>2018</v>
      </c>
      <c r="O94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95" spans="2:15" ht="20.100000000000001" customHeight="1" x14ac:dyDescent="0.25">
      <c r="B95" s="9">
        <v>43232.768700738379</v>
      </c>
      <c r="C95" s="9">
        <v>43218</v>
      </c>
      <c r="D95" s="9">
        <v>43232.768700738379</v>
      </c>
      <c r="E95" t="s">
        <v>34</v>
      </c>
      <c r="F95" t="s">
        <v>31</v>
      </c>
      <c r="G95" t="s">
        <v>371</v>
      </c>
      <c r="H95" s="10">
        <v>1254</v>
      </c>
      <c r="I95">
        <f>IF(RegistroSaidas[[#This Row],[Data do Caixa Realizado]] = "", 0, MONTH(RegistroSaidas[[#This Row],[Data do Caixa Realizado]]))</f>
        <v>5</v>
      </c>
      <c r="J95">
        <f>IF(RegistroSaidas[[#This Row],[Data do Caixa Realizado]] = "",0,YEAR(RegistroSaidas[[#This Row],[Data do Caixa Realizado]]))</f>
        <v>2018</v>
      </c>
      <c r="K95" s="38">
        <f xml:space="preserve"> IF(RegistroSaidas[[#This Row],[Data da Competência]]="",0,MONTH(RegistroSaidas[[#This Row],[Data da Competência]]))</f>
        <v>4</v>
      </c>
      <c r="L95" s="38">
        <f xml:space="preserve"> IF(RegistroSaidas[[#This Row],[Data da Competência]]="",0,YEAR(RegistroSaidas[[#This Row],[Data da Competência]]))</f>
        <v>2018</v>
      </c>
      <c r="M95" s="38">
        <f xml:space="preserve"> IF(RegistroSaidas[[#This Row],[Data do Caixa Previsto]]="",0,MONTH(RegistroSaidas[[#This Row],[Data do Caixa Previsto]]))</f>
        <v>5</v>
      </c>
      <c r="N95" s="38">
        <f xml:space="preserve"> IF(RegistroSaidas[[#This Row],[Data do Caixa Previsto]]="",0,YEAR(RegistroSaidas[[#This Row],[Data do Caixa Previsto]]))</f>
        <v>2018</v>
      </c>
      <c r="O95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96" spans="2:15" ht="20.100000000000001" customHeight="1" x14ac:dyDescent="0.25">
      <c r="B96" s="9">
        <v>43241.145893950612</v>
      </c>
      <c r="C96" s="9">
        <v>43219</v>
      </c>
      <c r="D96" s="9">
        <v>43223.806256091018</v>
      </c>
      <c r="E96" t="s">
        <v>34</v>
      </c>
      <c r="F96" t="s">
        <v>31</v>
      </c>
      <c r="G96" t="s">
        <v>372</v>
      </c>
      <c r="H96" s="10">
        <v>905</v>
      </c>
      <c r="I96">
        <f>IF(RegistroSaidas[[#This Row],[Data do Caixa Realizado]] = "", 0, MONTH(RegistroSaidas[[#This Row],[Data do Caixa Realizado]]))</f>
        <v>5</v>
      </c>
      <c r="J96">
        <f>IF(RegistroSaidas[[#This Row],[Data do Caixa Realizado]] = "",0,YEAR(RegistroSaidas[[#This Row],[Data do Caixa Realizado]]))</f>
        <v>2018</v>
      </c>
      <c r="K96" s="38">
        <f xml:space="preserve"> IF(RegistroSaidas[[#This Row],[Data da Competência]]="",0,MONTH(RegistroSaidas[[#This Row],[Data da Competência]]))</f>
        <v>4</v>
      </c>
      <c r="L96" s="38">
        <f xml:space="preserve"> IF(RegistroSaidas[[#This Row],[Data da Competência]]="",0,YEAR(RegistroSaidas[[#This Row],[Data da Competência]]))</f>
        <v>2018</v>
      </c>
      <c r="M96" s="38">
        <f xml:space="preserve"> IF(RegistroSaidas[[#This Row],[Data do Caixa Previsto]]="",0,MONTH(RegistroSaidas[[#This Row],[Data do Caixa Previsto]]))</f>
        <v>5</v>
      </c>
      <c r="N96" s="38">
        <f xml:space="preserve"> IF(RegistroSaidas[[#This Row],[Data do Caixa Previsto]]="",0,YEAR(RegistroSaidas[[#This Row],[Data do Caixa Previsto]]))</f>
        <v>2018</v>
      </c>
      <c r="O96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17.339637859593495</v>
      </c>
    </row>
    <row r="97" spans="2:15" ht="20.100000000000001" customHeight="1" x14ac:dyDescent="0.25">
      <c r="B97" s="9">
        <v>43251.616600040084</v>
      </c>
      <c r="C97" s="9">
        <v>43222</v>
      </c>
      <c r="D97" s="9">
        <v>43251.616600040084</v>
      </c>
      <c r="E97" t="s">
        <v>34</v>
      </c>
      <c r="F97" t="s">
        <v>30</v>
      </c>
      <c r="G97" t="s">
        <v>373</v>
      </c>
      <c r="H97" s="10">
        <v>2975</v>
      </c>
      <c r="I97">
        <f>IF(RegistroSaidas[[#This Row],[Data do Caixa Realizado]] = "", 0, MONTH(RegistroSaidas[[#This Row],[Data do Caixa Realizado]]))</f>
        <v>5</v>
      </c>
      <c r="J97">
        <f>IF(RegistroSaidas[[#This Row],[Data do Caixa Realizado]] = "",0,YEAR(RegistroSaidas[[#This Row],[Data do Caixa Realizado]]))</f>
        <v>2018</v>
      </c>
      <c r="K97" s="38">
        <f xml:space="preserve"> IF(RegistroSaidas[[#This Row],[Data da Competência]]="",0,MONTH(RegistroSaidas[[#This Row],[Data da Competência]]))</f>
        <v>5</v>
      </c>
      <c r="L97" s="38">
        <f xml:space="preserve"> IF(RegistroSaidas[[#This Row],[Data da Competência]]="",0,YEAR(RegistroSaidas[[#This Row],[Data da Competência]]))</f>
        <v>2018</v>
      </c>
      <c r="M97" s="38">
        <f xml:space="preserve"> IF(RegistroSaidas[[#This Row],[Data do Caixa Previsto]]="",0,MONTH(RegistroSaidas[[#This Row],[Data do Caixa Previsto]]))</f>
        <v>5</v>
      </c>
      <c r="N97" s="38">
        <f xml:space="preserve"> IF(RegistroSaidas[[#This Row],[Data do Caixa Previsto]]="",0,YEAR(RegistroSaidas[[#This Row],[Data do Caixa Previsto]]))</f>
        <v>2018</v>
      </c>
      <c r="O97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98" spans="2:15" ht="20.100000000000001" customHeight="1" x14ac:dyDescent="0.25">
      <c r="B98" s="9">
        <v>43228.679133753983</v>
      </c>
      <c r="C98" s="9">
        <v>43223</v>
      </c>
      <c r="D98" s="9">
        <v>43228.679133753983</v>
      </c>
      <c r="E98" t="s">
        <v>34</v>
      </c>
      <c r="F98" t="s">
        <v>40</v>
      </c>
      <c r="G98" t="s">
        <v>374</v>
      </c>
      <c r="H98" s="10">
        <v>4807</v>
      </c>
      <c r="I98">
        <f>IF(RegistroSaidas[[#This Row],[Data do Caixa Realizado]] = "", 0, MONTH(RegistroSaidas[[#This Row],[Data do Caixa Realizado]]))</f>
        <v>5</v>
      </c>
      <c r="J98">
        <f>IF(RegistroSaidas[[#This Row],[Data do Caixa Realizado]] = "",0,YEAR(RegistroSaidas[[#This Row],[Data do Caixa Realizado]]))</f>
        <v>2018</v>
      </c>
      <c r="K98" s="38">
        <f xml:space="preserve"> IF(RegistroSaidas[[#This Row],[Data da Competência]]="",0,MONTH(RegistroSaidas[[#This Row],[Data da Competência]]))</f>
        <v>5</v>
      </c>
      <c r="L98" s="38">
        <f xml:space="preserve"> IF(RegistroSaidas[[#This Row],[Data da Competência]]="",0,YEAR(RegistroSaidas[[#This Row],[Data da Competência]]))</f>
        <v>2018</v>
      </c>
      <c r="M98" s="38">
        <f xml:space="preserve"> IF(RegistroSaidas[[#This Row],[Data do Caixa Previsto]]="",0,MONTH(RegistroSaidas[[#This Row],[Data do Caixa Previsto]]))</f>
        <v>5</v>
      </c>
      <c r="N98" s="38">
        <f xml:space="preserve"> IF(RegistroSaidas[[#This Row],[Data do Caixa Previsto]]="",0,YEAR(RegistroSaidas[[#This Row],[Data do Caixa Previsto]]))</f>
        <v>2018</v>
      </c>
      <c r="O98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99" spans="2:15" ht="20.100000000000001" customHeight="1" x14ac:dyDescent="0.25">
      <c r="B99" s="9">
        <v>43264.296949259209</v>
      </c>
      <c r="C99" s="9">
        <v>43230</v>
      </c>
      <c r="D99" s="9">
        <v>43264.296949259209</v>
      </c>
      <c r="E99" t="s">
        <v>34</v>
      </c>
      <c r="F99" t="s">
        <v>29</v>
      </c>
      <c r="G99" t="s">
        <v>375</v>
      </c>
      <c r="H99" s="10">
        <v>1882</v>
      </c>
      <c r="I99">
        <f>IF(RegistroSaidas[[#This Row],[Data do Caixa Realizado]] = "", 0, MONTH(RegistroSaidas[[#This Row],[Data do Caixa Realizado]]))</f>
        <v>6</v>
      </c>
      <c r="J99">
        <f>IF(RegistroSaidas[[#This Row],[Data do Caixa Realizado]] = "",0,YEAR(RegistroSaidas[[#This Row],[Data do Caixa Realizado]]))</f>
        <v>2018</v>
      </c>
      <c r="K99" s="38">
        <f xml:space="preserve"> IF(RegistroSaidas[[#This Row],[Data da Competência]]="",0,MONTH(RegistroSaidas[[#This Row],[Data da Competência]]))</f>
        <v>5</v>
      </c>
      <c r="L99" s="38">
        <f xml:space="preserve"> IF(RegistroSaidas[[#This Row],[Data da Competência]]="",0,YEAR(RegistroSaidas[[#This Row],[Data da Competência]]))</f>
        <v>2018</v>
      </c>
      <c r="M99" s="38">
        <f xml:space="preserve"> IF(RegistroSaidas[[#This Row],[Data do Caixa Previsto]]="",0,MONTH(RegistroSaidas[[#This Row],[Data do Caixa Previsto]]))</f>
        <v>6</v>
      </c>
      <c r="N99" s="38">
        <f xml:space="preserve"> IF(RegistroSaidas[[#This Row],[Data do Caixa Previsto]]="",0,YEAR(RegistroSaidas[[#This Row],[Data do Caixa Previsto]]))</f>
        <v>2018</v>
      </c>
      <c r="O99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100" spans="2:15" ht="20.100000000000001" customHeight="1" x14ac:dyDescent="0.25">
      <c r="B100" s="9">
        <v>43278.791757178202</v>
      </c>
      <c r="C100" s="9">
        <v>43235</v>
      </c>
      <c r="D100" s="9">
        <v>43278.791757178202</v>
      </c>
      <c r="E100" t="s">
        <v>34</v>
      </c>
      <c r="F100" t="s">
        <v>33</v>
      </c>
      <c r="G100" t="s">
        <v>376</v>
      </c>
      <c r="H100" s="10">
        <v>3932</v>
      </c>
      <c r="I100">
        <f>IF(RegistroSaidas[[#This Row],[Data do Caixa Realizado]] = "", 0, MONTH(RegistroSaidas[[#This Row],[Data do Caixa Realizado]]))</f>
        <v>6</v>
      </c>
      <c r="J100">
        <f>IF(RegistroSaidas[[#This Row],[Data do Caixa Realizado]] = "",0,YEAR(RegistroSaidas[[#This Row],[Data do Caixa Realizado]]))</f>
        <v>2018</v>
      </c>
      <c r="K100" s="38">
        <f xml:space="preserve"> IF(RegistroSaidas[[#This Row],[Data da Competência]]="",0,MONTH(RegistroSaidas[[#This Row],[Data da Competência]]))</f>
        <v>5</v>
      </c>
      <c r="L100" s="38">
        <f xml:space="preserve"> IF(RegistroSaidas[[#This Row],[Data da Competência]]="",0,YEAR(RegistroSaidas[[#This Row],[Data da Competência]]))</f>
        <v>2018</v>
      </c>
      <c r="M100" s="38">
        <f xml:space="preserve"> IF(RegistroSaidas[[#This Row],[Data do Caixa Previsto]]="",0,MONTH(RegistroSaidas[[#This Row],[Data do Caixa Previsto]]))</f>
        <v>6</v>
      </c>
      <c r="N100" s="38">
        <f xml:space="preserve"> IF(RegistroSaidas[[#This Row],[Data do Caixa Previsto]]="",0,YEAR(RegistroSaidas[[#This Row],[Data do Caixa Previsto]]))</f>
        <v>2018</v>
      </c>
      <c r="O100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101" spans="2:15" ht="20.100000000000001" customHeight="1" x14ac:dyDescent="0.25">
      <c r="B101" s="9" t="s">
        <v>64</v>
      </c>
      <c r="C101" s="9">
        <v>43238</v>
      </c>
      <c r="D101" s="9">
        <v>43253.101312636762</v>
      </c>
      <c r="E101" t="s">
        <v>34</v>
      </c>
      <c r="F101" t="s">
        <v>40</v>
      </c>
      <c r="G101" t="s">
        <v>377</v>
      </c>
      <c r="H101" s="10">
        <v>701</v>
      </c>
      <c r="I101">
        <f>IF(RegistroSaidas[[#This Row],[Data do Caixa Realizado]] = "", 0, MONTH(RegistroSaidas[[#This Row],[Data do Caixa Realizado]]))</f>
        <v>0</v>
      </c>
      <c r="J101">
        <f>IF(RegistroSaidas[[#This Row],[Data do Caixa Realizado]] = "",0,YEAR(RegistroSaidas[[#This Row],[Data do Caixa Realizado]]))</f>
        <v>0</v>
      </c>
      <c r="K101" s="38">
        <f xml:space="preserve"> IF(RegistroSaidas[[#This Row],[Data da Competência]]="",0,MONTH(RegistroSaidas[[#This Row],[Data da Competência]]))</f>
        <v>5</v>
      </c>
      <c r="L101" s="38">
        <f xml:space="preserve"> IF(RegistroSaidas[[#This Row],[Data da Competência]]="",0,YEAR(RegistroSaidas[[#This Row],[Data da Competência]]))</f>
        <v>2018</v>
      </c>
      <c r="M101" s="38">
        <f xml:space="preserve"> IF(RegistroSaidas[[#This Row],[Data do Caixa Previsto]]="",0,MONTH(RegistroSaidas[[#This Row],[Data do Caixa Previsto]]))</f>
        <v>6</v>
      </c>
      <c r="N101" s="38">
        <f xml:space="preserve"> IF(RegistroSaidas[[#This Row],[Data do Caixa Previsto]]="",0,YEAR(RegistroSaidas[[#This Row],[Data do Caixa Previsto]]))</f>
        <v>2018</v>
      </c>
      <c r="O101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1962.8986873632384</v>
      </c>
    </row>
    <row r="102" spans="2:15" ht="20.100000000000001" customHeight="1" x14ac:dyDescent="0.25">
      <c r="B102" s="9">
        <v>43278.250305144895</v>
      </c>
      <c r="C102" s="9">
        <v>43239</v>
      </c>
      <c r="D102" s="9">
        <v>43278.250305144895</v>
      </c>
      <c r="E102" t="s">
        <v>34</v>
      </c>
      <c r="F102" t="s">
        <v>40</v>
      </c>
      <c r="G102" t="s">
        <v>378</v>
      </c>
      <c r="H102" s="10">
        <v>2651</v>
      </c>
      <c r="I102">
        <f>IF(RegistroSaidas[[#This Row],[Data do Caixa Realizado]] = "", 0, MONTH(RegistroSaidas[[#This Row],[Data do Caixa Realizado]]))</f>
        <v>6</v>
      </c>
      <c r="J102">
        <f>IF(RegistroSaidas[[#This Row],[Data do Caixa Realizado]] = "",0,YEAR(RegistroSaidas[[#This Row],[Data do Caixa Realizado]]))</f>
        <v>2018</v>
      </c>
      <c r="K102" s="38">
        <f xml:space="preserve"> IF(RegistroSaidas[[#This Row],[Data da Competência]]="",0,MONTH(RegistroSaidas[[#This Row],[Data da Competência]]))</f>
        <v>5</v>
      </c>
      <c r="L102" s="38">
        <f xml:space="preserve"> IF(RegistroSaidas[[#This Row],[Data da Competência]]="",0,YEAR(RegistroSaidas[[#This Row],[Data da Competência]]))</f>
        <v>2018</v>
      </c>
      <c r="M102" s="38">
        <f xml:space="preserve"> IF(RegistroSaidas[[#This Row],[Data do Caixa Previsto]]="",0,MONTH(RegistroSaidas[[#This Row],[Data do Caixa Previsto]]))</f>
        <v>6</v>
      </c>
      <c r="N102" s="38">
        <f xml:space="preserve"> IF(RegistroSaidas[[#This Row],[Data do Caixa Previsto]]="",0,YEAR(RegistroSaidas[[#This Row],[Data do Caixa Previsto]]))</f>
        <v>2018</v>
      </c>
      <c r="O102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103" spans="2:15" ht="20.100000000000001" customHeight="1" x14ac:dyDescent="0.25">
      <c r="B103" s="9">
        <v>43350.331612666698</v>
      </c>
      <c r="C103" s="9">
        <v>43246</v>
      </c>
      <c r="D103" s="9">
        <v>43282.817543595353</v>
      </c>
      <c r="E103" t="s">
        <v>34</v>
      </c>
      <c r="F103" t="s">
        <v>40</v>
      </c>
      <c r="G103" t="s">
        <v>379</v>
      </c>
      <c r="H103" s="10">
        <v>3792</v>
      </c>
      <c r="I103">
        <f>IF(RegistroSaidas[[#This Row],[Data do Caixa Realizado]] = "", 0, MONTH(RegistroSaidas[[#This Row],[Data do Caixa Realizado]]))</f>
        <v>9</v>
      </c>
      <c r="J103">
        <f>IF(RegistroSaidas[[#This Row],[Data do Caixa Realizado]] = "",0,YEAR(RegistroSaidas[[#This Row],[Data do Caixa Realizado]]))</f>
        <v>2018</v>
      </c>
      <c r="K103" s="38">
        <f xml:space="preserve"> IF(RegistroSaidas[[#This Row],[Data da Competência]]="",0,MONTH(RegistroSaidas[[#This Row],[Data da Competência]]))</f>
        <v>5</v>
      </c>
      <c r="L103" s="38">
        <f xml:space="preserve"> IF(RegistroSaidas[[#This Row],[Data da Competência]]="",0,YEAR(RegistroSaidas[[#This Row],[Data da Competência]]))</f>
        <v>2018</v>
      </c>
      <c r="M103" s="38">
        <f xml:space="preserve"> IF(RegistroSaidas[[#This Row],[Data do Caixa Previsto]]="",0,MONTH(RegistroSaidas[[#This Row],[Data do Caixa Previsto]]))</f>
        <v>7</v>
      </c>
      <c r="N103" s="38">
        <f xml:space="preserve"> IF(RegistroSaidas[[#This Row],[Data do Caixa Previsto]]="",0,YEAR(RegistroSaidas[[#This Row],[Data do Caixa Previsto]]))</f>
        <v>2018</v>
      </c>
      <c r="O103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67.514069071345148</v>
      </c>
    </row>
    <row r="104" spans="2:15" ht="20.100000000000001" customHeight="1" x14ac:dyDescent="0.25">
      <c r="B104" s="9">
        <v>43334.039973021354</v>
      </c>
      <c r="C104" s="9">
        <v>43248</v>
      </c>
      <c r="D104" s="9">
        <v>43306.553383849692</v>
      </c>
      <c r="E104" t="s">
        <v>34</v>
      </c>
      <c r="F104" t="s">
        <v>33</v>
      </c>
      <c r="G104" t="s">
        <v>380</v>
      </c>
      <c r="H104" s="10">
        <v>611</v>
      </c>
      <c r="I104">
        <f>IF(RegistroSaidas[[#This Row],[Data do Caixa Realizado]] = "", 0, MONTH(RegistroSaidas[[#This Row],[Data do Caixa Realizado]]))</f>
        <v>8</v>
      </c>
      <c r="J104">
        <f>IF(RegistroSaidas[[#This Row],[Data do Caixa Realizado]] = "",0,YEAR(RegistroSaidas[[#This Row],[Data do Caixa Realizado]]))</f>
        <v>2018</v>
      </c>
      <c r="K104" s="38">
        <f xml:space="preserve"> IF(RegistroSaidas[[#This Row],[Data da Competência]]="",0,MONTH(RegistroSaidas[[#This Row],[Data da Competência]]))</f>
        <v>5</v>
      </c>
      <c r="L104" s="38">
        <f xml:space="preserve"> IF(RegistroSaidas[[#This Row],[Data da Competência]]="",0,YEAR(RegistroSaidas[[#This Row],[Data da Competência]]))</f>
        <v>2018</v>
      </c>
      <c r="M104" s="38">
        <f xml:space="preserve"> IF(RegistroSaidas[[#This Row],[Data do Caixa Previsto]]="",0,MONTH(RegistroSaidas[[#This Row],[Data do Caixa Previsto]]))</f>
        <v>7</v>
      </c>
      <c r="N104" s="38">
        <f xml:space="preserve"> IF(RegistroSaidas[[#This Row],[Data do Caixa Previsto]]="",0,YEAR(RegistroSaidas[[#This Row],[Data do Caixa Previsto]]))</f>
        <v>2018</v>
      </c>
      <c r="O104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27.486589171661763</v>
      </c>
    </row>
    <row r="105" spans="2:15" ht="20.100000000000001" customHeight="1" x14ac:dyDescent="0.25">
      <c r="B105" s="9">
        <v>43292.621992013512</v>
      </c>
      <c r="C105" s="9">
        <v>43251</v>
      </c>
      <c r="D105" s="9">
        <v>43292.621992013512</v>
      </c>
      <c r="E105" t="s">
        <v>34</v>
      </c>
      <c r="F105" t="s">
        <v>30</v>
      </c>
      <c r="G105" t="s">
        <v>381</v>
      </c>
      <c r="H105" s="10">
        <v>3431</v>
      </c>
      <c r="I105">
        <f>IF(RegistroSaidas[[#This Row],[Data do Caixa Realizado]] = "", 0, MONTH(RegistroSaidas[[#This Row],[Data do Caixa Realizado]]))</f>
        <v>7</v>
      </c>
      <c r="J105">
        <f>IF(RegistroSaidas[[#This Row],[Data do Caixa Realizado]] = "",0,YEAR(RegistroSaidas[[#This Row],[Data do Caixa Realizado]]))</f>
        <v>2018</v>
      </c>
      <c r="K105" s="38">
        <f xml:space="preserve"> IF(RegistroSaidas[[#This Row],[Data da Competência]]="",0,MONTH(RegistroSaidas[[#This Row],[Data da Competência]]))</f>
        <v>5</v>
      </c>
      <c r="L105" s="38">
        <f xml:space="preserve"> IF(RegistroSaidas[[#This Row],[Data da Competência]]="",0,YEAR(RegistroSaidas[[#This Row],[Data da Competência]]))</f>
        <v>2018</v>
      </c>
      <c r="M105" s="38">
        <f xml:space="preserve"> IF(RegistroSaidas[[#This Row],[Data do Caixa Previsto]]="",0,MONTH(RegistroSaidas[[#This Row],[Data do Caixa Previsto]]))</f>
        <v>7</v>
      </c>
      <c r="N105" s="38">
        <f xml:space="preserve"> IF(RegistroSaidas[[#This Row],[Data do Caixa Previsto]]="",0,YEAR(RegistroSaidas[[#This Row],[Data do Caixa Previsto]]))</f>
        <v>2018</v>
      </c>
      <c r="O105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106" spans="2:15" ht="20.100000000000001" customHeight="1" x14ac:dyDescent="0.25">
      <c r="B106" s="9">
        <v>43279.068040624879</v>
      </c>
      <c r="C106" s="9">
        <v>43253</v>
      </c>
      <c r="D106" s="9">
        <v>43279.068040624879</v>
      </c>
      <c r="E106" t="s">
        <v>34</v>
      </c>
      <c r="F106" t="s">
        <v>40</v>
      </c>
      <c r="G106" t="s">
        <v>382</v>
      </c>
      <c r="H106" s="10">
        <v>3670</v>
      </c>
      <c r="I106">
        <f>IF(RegistroSaidas[[#This Row],[Data do Caixa Realizado]] = "", 0, MONTH(RegistroSaidas[[#This Row],[Data do Caixa Realizado]]))</f>
        <v>6</v>
      </c>
      <c r="J106">
        <f>IF(RegistroSaidas[[#This Row],[Data do Caixa Realizado]] = "",0,YEAR(RegistroSaidas[[#This Row],[Data do Caixa Realizado]]))</f>
        <v>2018</v>
      </c>
      <c r="K106" s="38">
        <f xml:space="preserve"> IF(RegistroSaidas[[#This Row],[Data da Competência]]="",0,MONTH(RegistroSaidas[[#This Row],[Data da Competência]]))</f>
        <v>6</v>
      </c>
      <c r="L106" s="38">
        <f xml:space="preserve"> IF(RegistroSaidas[[#This Row],[Data da Competência]]="",0,YEAR(RegistroSaidas[[#This Row],[Data da Competência]]))</f>
        <v>2018</v>
      </c>
      <c r="M106" s="38">
        <f xml:space="preserve"> IF(RegistroSaidas[[#This Row],[Data do Caixa Previsto]]="",0,MONTH(RegistroSaidas[[#This Row],[Data do Caixa Previsto]]))</f>
        <v>6</v>
      </c>
      <c r="N106" s="38">
        <f xml:space="preserve"> IF(RegistroSaidas[[#This Row],[Data do Caixa Previsto]]="",0,YEAR(RegistroSaidas[[#This Row],[Data do Caixa Previsto]]))</f>
        <v>2018</v>
      </c>
      <c r="O106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107" spans="2:15" ht="20.100000000000001" customHeight="1" x14ac:dyDescent="0.25">
      <c r="B107" s="9">
        <v>43259.6666754662</v>
      </c>
      <c r="C107" s="9">
        <v>43255</v>
      </c>
      <c r="D107" s="9">
        <v>43259.6666754662</v>
      </c>
      <c r="E107" t="s">
        <v>34</v>
      </c>
      <c r="F107" t="s">
        <v>40</v>
      </c>
      <c r="G107" t="s">
        <v>383</v>
      </c>
      <c r="H107" s="10">
        <v>4320</v>
      </c>
      <c r="I107">
        <f>IF(RegistroSaidas[[#This Row],[Data do Caixa Realizado]] = "", 0, MONTH(RegistroSaidas[[#This Row],[Data do Caixa Realizado]]))</f>
        <v>6</v>
      </c>
      <c r="J107">
        <f>IF(RegistroSaidas[[#This Row],[Data do Caixa Realizado]] = "",0,YEAR(RegistroSaidas[[#This Row],[Data do Caixa Realizado]]))</f>
        <v>2018</v>
      </c>
      <c r="K107" s="38">
        <f xml:space="preserve"> IF(RegistroSaidas[[#This Row],[Data da Competência]]="",0,MONTH(RegistroSaidas[[#This Row],[Data da Competência]]))</f>
        <v>6</v>
      </c>
      <c r="L107" s="38">
        <f xml:space="preserve"> IF(RegistroSaidas[[#This Row],[Data da Competência]]="",0,YEAR(RegistroSaidas[[#This Row],[Data da Competência]]))</f>
        <v>2018</v>
      </c>
      <c r="M107" s="38">
        <f xml:space="preserve"> IF(RegistroSaidas[[#This Row],[Data do Caixa Previsto]]="",0,MONTH(RegistroSaidas[[#This Row],[Data do Caixa Previsto]]))</f>
        <v>6</v>
      </c>
      <c r="N107" s="38">
        <f xml:space="preserve"> IF(RegistroSaidas[[#This Row],[Data do Caixa Previsto]]="",0,YEAR(RegistroSaidas[[#This Row],[Data do Caixa Previsto]]))</f>
        <v>2018</v>
      </c>
      <c r="O107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108" spans="2:15" ht="20.100000000000001" customHeight="1" x14ac:dyDescent="0.25">
      <c r="B108" s="9">
        <v>43282.67946727157</v>
      </c>
      <c r="C108" s="9">
        <v>43256</v>
      </c>
      <c r="D108" s="9">
        <v>43282.67946727157</v>
      </c>
      <c r="E108" t="s">
        <v>34</v>
      </c>
      <c r="F108" t="s">
        <v>30</v>
      </c>
      <c r="G108" t="s">
        <v>384</v>
      </c>
      <c r="H108" s="10">
        <v>1809</v>
      </c>
      <c r="I108">
        <f>IF(RegistroSaidas[[#This Row],[Data do Caixa Realizado]] = "", 0, MONTH(RegistroSaidas[[#This Row],[Data do Caixa Realizado]]))</f>
        <v>7</v>
      </c>
      <c r="J108">
        <f>IF(RegistroSaidas[[#This Row],[Data do Caixa Realizado]] = "",0,YEAR(RegistroSaidas[[#This Row],[Data do Caixa Realizado]]))</f>
        <v>2018</v>
      </c>
      <c r="K108" s="38">
        <f xml:space="preserve"> IF(RegistroSaidas[[#This Row],[Data da Competência]]="",0,MONTH(RegistroSaidas[[#This Row],[Data da Competência]]))</f>
        <v>6</v>
      </c>
      <c r="L108" s="38">
        <f xml:space="preserve"> IF(RegistroSaidas[[#This Row],[Data da Competência]]="",0,YEAR(RegistroSaidas[[#This Row],[Data da Competência]]))</f>
        <v>2018</v>
      </c>
      <c r="M108" s="38">
        <f xml:space="preserve"> IF(RegistroSaidas[[#This Row],[Data do Caixa Previsto]]="",0,MONTH(RegistroSaidas[[#This Row],[Data do Caixa Previsto]]))</f>
        <v>7</v>
      </c>
      <c r="N108" s="38">
        <f xml:space="preserve"> IF(RegistroSaidas[[#This Row],[Data do Caixa Previsto]]="",0,YEAR(RegistroSaidas[[#This Row],[Data do Caixa Previsto]]))</f>
        <v>2018</v>
      </c>
      <c r="O108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109" spans="2:15" ht="20.100000000000001" customHeight="1" x14ac:dyDescent="0.25">
      <c r="B109" s="9">
        <v>43306.811336210056</v>
      </c>
      <c r="C109" s="9">
        <v>43258</v>
      </c>
      <c r="D109" s="9">
        <v>43306.811336210056</v>
      </c>
      <c r="E109" t="s">
        <v>34</v>
      </c>
      <c r="F109" t="s">
        <v>40</v>
      </c>
      <c r="G109" t="s">
        <v>385</v>
      </c>
      <c r="H109" s="10">
        <v>667</v>
      </c>
      <c r="I109">
        <f>IF(RegistroSaidas[[#This Row],[Data do Caixa Realizado]] = "", 0, MONTH(RegistroSaidas[[#This Row],[Data do Caixa Realizado]]))</f>
        <v>7</v>
      </c>
      <c r="J109">
        <f>IF(RegistroSaidas[[#This Row],[Data do Caixa Realizado]] = "",0,YEAR(RegistroSaidas[[#This Row],[Data do Caixa Realizado]]))</f>
        <v>2018</v>
      </c>
      <c r="K109" s="38">
        <f xml:space="preserve"> IF(RegistroSaidas[[#This Row],[Data da Competência]]="",0,MONTH(RegistroSaidas[[#This Row],[Data da Competência]]))</f>
        <v>6</v>
      </c>
      <c r="L109" s="38">
        <f xml:space="preserve"> IF(RegistroSaidas[[#This Row],[Data da Competência]]="",0,YEAR(RegistroSaidas[[#This Row],[Data da Competência]]))</f>
        <v>2018</v>
      </c>
      <c r="M109" s="38">
        <f xml:space="preserve"> IF(RegistroSaidas[[#This Row],[Data do Caixa Previsto]]="",0,MONTH(RegistroSaidas[[#This Row],[Data do Caixa Previsto]]))</f>
        <v>7</v>
      </c>
      <c r="N109" s="38">
        <f xml:space="preserve"> IF(RegistroSaidas[[#This Row],[Data do Caixa Previsto]]="",0,YEAR(RegistroSaidas[[#This Row],[Data do Caixa Previsto]]))</f>
        <v>2018</v>
      </c>
      <c r="O109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110" spans="2:15" ht="20.100000000000001" customHeight="1" x14ac:dyDescent="0.25">
      <c r="B110" s="9">
        <v>43269.791763204586</v>
      </c>
      <c r="C110" s="9">
        <v>43262</v>
      </c>
      <c r="D110" s="9">
        <v>43269.791763204586</v>
      </c>
      <c r="E110" t="s">
        <v>34</v>
      </c>
      <c r="F110" t="s">
        <v>29</v>
      </c>
      <c r="G110" t="s">
        <v>386</v>
      </c>
      <c r="H110" s="10">
        <v>1613</v>
      </c>
      <c r="I110">
        <f>IF(RegistroSaidas[[#This Row],[Data do Caixa Realizado]] = "", 0, MONTH(RegistroSaidas[[#This Row],[Data do Caixa Realizado]]))</f>
        <v>6</v>
      </c>
      <c r="J110">
        <f>IF(RegistroSaidas[[#This Row],[Data do Caixa Realizado]] = "",0,YEAR(RegistroSaidas[[#This Row],[Data do Caixa Realizado]]))</f>
        <v>2018</v>
      </c>
      <c r="K110" s="38">
        <f xml:space="preserve"> IF(RegistroSaidas[[#This Row],[Data da Competência]]="",0,MONTH(RegistroSaidas[[#This Row],[Data da Competência]]))</f>
        <v>6</v>
      </c>
      <c r="L110" s="38">
        <f xml:space="preserve"> IF(RegistroSaidas[[#This Row],[Data da Competência]]="",0,YEAR(RegistroSaidas[[#This Row],[Data da Competência]]))</f>
        <v>2018</v>
      </c>
      <c r="M110" s="38">
        <f xml:space="preserve"> IF(RegistroSaidas[[#This Row],[Data do Caixa Previsto]]="",0,MONTH(RegistroSaidas[[#This Row],[Data do Caixa Previsto]]))</f>
        <v>6</v>
      </c>
      <c r="N110" s="38">
        <f xml:space="preserve"> IF(RegistroSaidas[[#This Row],[Data do Caixa Previsto]]="",0,YEAR(RegistroSaidas[[#This Row],[Data do Caixa Previsto]]))</f>
        <v>2018</v>
      </c>
      <c r="O110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111" spans="2:15" ht="20.100000000000001" customHeight="1" x14ac:dyDescent="0.25">
      <c r="B111" s="9">
        <v>43309.241793705783</v>
      </c>
      <c r="C111" s="9">
        <v>43268</v>
      </c>
      <c r="D111" s="9">
        <v>43309.241793705783</v>
      </c>
      <c r="E111" t="s">
        <v>34</v>
      </c>
      <c r="F111" t="s">
        <v>33</v>
      </c>
      <c r="G111" t="s">
        <v>387</v>
      </c>
      <c r="H111" s="10">
        <v>3756</v>
      </c>
      <c r="I111">
        <f>IF(RegistroSaidas[[#This Row],[Data do Caixa Realizado]] = "", 0, MONTH(RegistroSaidas[[#This Row],[Data do Caixa Realizado]]))</f>
        <v>7</v>
      </c>
      <c r="J111">
        <f>IF(RegistroSaidas[[#This Row],[Data do Caixa Realizado]] = "",0,YEAR(RegistroSaidas[[#This Row],[Data do Caixa Realizado]]))</f>
        <v>2018</v>
      </c>
      <c r="K111" s="38">
        <f xml:space="preserve"> IF(RegistroSaidas[[#This Row],[Data da Competência]]="",0,MONTH(RegistroSaidas[[#This Row],[Data da Competência]]))</f>
        <v>6</v>
      </c>
      <c r="L111" s="38">
        <f xml:space="preserve"> IF(RegistroSaidas[[#This Row],[Data da Competência]]="",0,YEAR(RegistroSaidas[[#This Row],[Data da Competência]]))</f>
        <v>2018</v>
      </c>
      <c r="M111" s="38">
        <f xml:space="preserve"> IF(RegistroSaidas[[#This Row],[Data do Caixa Previsto]]="",0,MONTH(RegistroSaidas[[#This Row],[Data do Caixa Previsto]]))</f>
        <v>7</v>
      </c>
      <c r="N111" s="38">
        <f xml:space="preserve"> IF(RegistroSaidas[[#This Row],[Data do Caixa Previsto]]="",0,YEAR(RegistroSaidas[[#This Row],[Data do Caixa Previsto]]))</f>
        <v>2018</v>
      </c>
      <c r="O111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112" spans="2:15" ht="20.100000000000001" customHeight="1" x14ac:dyDescent="0.25">
      <c r="B112" s="9">
        <v>43328.010321588059</v>
      </c>
      <c r="C112" s="9">
        <v>43271</v>
      </c>
      <c r="D112" s="9">
        <v>43328.010321588059</v>
      </c>
      <c r="E112" t="s">
        <v>34</v>
      </c>
      <c r="F112" t="s">
        <v>30</v>
      </c>
      <c r="G112" t="s">
        <v>388</v>
      </c>
      <c r="H112" s="10">
        <v>3672</v>
      </c>
      <c r="I112">
        <f>IF(RegistroSaidas[[#This Row],[Data do Caixa Realizado]] = "", 0, MONTH(RegistroSaidas[[#This Row],[Data do Caixa Realizado]]))</f>
        <v>8</v>
      </c>
      <c r="J112">
        <f>IF(RegistroSaidas[[#This Row],[Data do Caixa Realizado]] = "",0,YEAR(RegistroSaidas[[#This Row],[Data do Caixa Realizado]]))</f>
        <v>2018</v>
      </c>
      <c r="K112" s="38">
        <f xml:space="preserve"> IF(RegistroSaidas[[#This Row],[Data da Competência]]="",0,MONTH(RegistroSaidas[[#This Row],[Data da Competência]]))</f>
        <v>6</v>
      </c>
      <c r="L112" s="38">
        <f xml:space="preserve"> IF(RegistroSaidas[[#This Row],[Data da Competência]]="",0,YEAR(RegistroSaidas[[#This Row],[Data da Competência]]))</f>
        <v>2018</v>
      </c>
      <c r="M112" s="38">
        <f xml:space="preserve"> IF(RegistroSaidas[[#This Row],[Data do Caixa Previsto]]="",0,MONTH(RegistroSaidas[[#This Row],[Data do Caixa Previsto]]))</f>
        <v>8</v>
      </c>
      <c r="N112" s="38">
        <f xml:space="preserve"> IF(RegistroSaidas[[#This Row],[Data do Caixa Previsto]]="",0,YEAR(RegistroSaidas[[#This Row],[Data do Caixa Previsto]]))</f>
        <v>2018</v>
      </c>
      <c r="O112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113" spans="2:15" ht="20.100000000000001" customHeight="1" x14ac:dyDescent="0.25">
      <c r="B113" s="9">
        <v>43329.109711177305</v>
      </c>
      <c r="C113" s="9">
        <v>43277</v>
      </c>
      <c r="D113" s="9">
        <v>43288.040879967026</v>
      </c>
      <c r="E113" t="s">
        <v>34</v>
      </c>
      <c r="F113" t="s">
        <v>40</v>
      </c>
      <c r="G113" t="s">
        <v>389</v>
      </c>
      <c r="H113" s="10">
        <v>658</v>
      </c>
      <c r="I113">
        <f>IF(RegistroSaidas[[#This Row],[Data do Caixa Realizado]] = "", 0, MONTH(RegistroSaidas[[#This Row],[Data do Caixa Realizado]]))</f>
        <v>8</v>
      </c>
      <c r="J113">
        <f>IF(RegistroSaidas[[#This Row],[Data do Caixa Realizado]] = "",0,YEAR(RegistroSaidas[[#This Row],[Data do Caixa Realizado]]))</f>
        <v>2018</v>
      </c>
      <c r="K113" s="38">
        <f xml:space="preserve"> IF(RegistroSaidas[[#This Row],[Data da Competência]]="",0,MONTH(RegistroSaidas[[#This Row],[Data da Competência]]))</f>
        <v>6</v>
      </c>
      <c r="L113" s="38">
        <f xml:space="preserve"> IF(RegistroSaidas[[#This Row],[Data da Competência]]="",0,YEAR(RegistroSaidas[[#This Row],[Data da Competência]]))</f>
        <v>2018</v>
      </c>
      <c r="M113" s="38">
        <f xml:space="preserve"> IF(RegistroSaidas[[#This Row],[Data do Caixa Previsto]]="",0,MONTH(RegistroSaidas[[#This Row],[Data do Caixa Previsto]]))</f>
        <v>7</v>
      </c>
      <c r="N113" s="38">
        <f xml:space="preserve"> IF(RegistroSaidas[[#This Row],[Data do Caixa Previsto]]="",0,YEAR(RegistroSaidas[[#This Row],[Data do Caixa Previsto]]))</f>
        <v>2018</v>
      </c>
      <c r="O113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41.068831210279313</v>
      </c>
    </row>
    <row r="114" spans="2:15" ht="20.100000000000001" customHeight="1" x14ac:dyDescent="0.25">
      <c r="B114" s="9">
        <v>43336.432893175937</v>
      </c>
      <c r="C114" s="9">
        <v>43280</v>
      </c>
      <c r="D114" s="9">
        <v>43336.432893175937</v>
      </c>
      <c r="E114" t="s">
        <v>34</v>
      </c>
      <c r="F114" t="s">
        <v>30</v>
      </c>
      <c r="G114" t="s">
        <v>390</v>
      </c>
      <c r="H114" s="10">
        <v>4762</v>
      </c>
      <c r="I114">
        <f>IF(RegistroSaidas[[#This Row],[Data do Caixa Realizado]] = "", 0, MONTH(RegistroSaidas[[#This Row],[Data do Caixa Realizado]]))</f>
        <v>8</v>
      </c>
      <c r="J114">
        <f>IF(RegistroSaidas[[#This Row],[Data do Caixa Realizado]] = "",0,YEAR(RegistroSaidas[[#This Row],[Data do Caixa Realizado]]))</f>
        <v>2018</v>
      </c>
      <c r="K114" s="38">
        <f xml:space="preserve"> IF(RegistroSaidas[[#This Row],[Data da Competência]]="",0,MONTH(RegistroSaidas[[#This Row],[Data da Competência]]))</f>
        <v>6</v>
      </c>
      <c r="L114" s="38">
        <f xml:space="preserve"> IF(RegistroSaidas[[#This Row],[Data da Competência]]="",0,YEAR(RegistroSaidas[[#This Row],[Data da Competência]]))</f>
        <v>2018</v>
      </c>
      <c r="M114" s="38">
        <f xml:space="preserve"> IF(RegistroSaidas[[#This Row],[Data do Caixa Previsto]]="",0,MONTH(RegistroSaidas[[#This Row],[Data do Caixa Previsto]]))</f>
        <v>8</v>
      </c>
      <c r="N114" s="38">
        <f xml:space="preserve"> IF(RegistroSaidas[[#This Row],[Data do Caixa Previsto]]="",0,YEAR(RegistroSaidas[[#This Row],[Data do Caixa Previsto]]))</f>
        <v>2018</v>
      </c>
      <c r="O114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115" spans="2:15" ht="20.100000000000001" customHeight="1" x14ac:dyDescent="0.25">
      <c r="B115" s="9">
        <v>43290.700268540626</v>
      </c>
      <c r="C115" s="9">
        <v>43283</v>
      </c>
      <c r="D115" s="9">
        <v>43290.700268540626</v>
      </c>
      <c r="E115" t="s">
        <v>34</v>
      </c>
      <c r="F115" t="s">
        <v>33</v>
      </c>
      <c r="G115" t="s">
        <v>391</v>
      </c>
      <c r="H115" s="10">
        <v>2186</v>
      </c>
      <c r="I115">
        <f>IF(RegistroSaidas[[#This Row],[Data do Caixa Realizado]] = "", 0, MONTH(RegistroSaidas[[#This Row],[Data do Caixa Realizado]]))</f>
        <v>7</v>
      </c>
      <c r="J115">
        <f>IF(RegistroSaidas[[#This Row],[Data do Caixa Realizado]] = "",0,YEAR(RegistroSaidas[[#This Row],[Data do Caixa Realizado]]))</f>
        <v>2018</v>
      </c>
      <c r="K115" s="38">
        <f xml:space="preserve"> IF(RegistroSaidas[[#This Row],[Data da Competência]]="",0,MONTH(RegistroSaidas[[#This Row],[Data da Competência]]))</f>
        <v>7</v>
      </c>
      <c r="L115" s="38">
        <f xml:space="preserve"> IF(RegistroSaidas[[#This Row],[Data da Competência]]="",0,YEAR(RegistroSaidas[[#This Row],[Data da Competência]]))</f>
        <v>2018</v>
      </c>
      <c r="M115" s="38">
        <f xml:space="preserve"> IF(RegistroSaidas[[#This Row],[Data do Caixa Previsto]]="",0,MONTH(RegistroSaidas[[#This Row],[Data do Caixa Previsto]]))</f>
        <v>7</v>
      </c>
      <c r="N115" s="38">
        <f xml:space="preserve"> IF(RegistroSaidas[[#This Row],[Data do Caixa Previsto]]="",0,YEAR(RegistroSaidas[[#This Row],[Data do Caixa Previsto]]))</f>
        <v>2018</v>
      </c>
      <c r="O115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116" spans="2:15" ht="20.100000000000001" customHeight="1" x14ac:dyDescent="0.25">
      <c r="B116" s="9">
        <v>43305.188654160578</v>
      </c>
      <c r="C116" s="9">
        <v>43284</v>
      </c>
      <c r="D116" s="9">
        <v>43305.188654160578</v>
      </c>
      <c r="E116" t="s">
        <v>34</v>
      </c>
      <c r="F116" t="s">
        <v>30</v>
      </c>
      <c r="G116" t="s">
        <v>392</v>
      </c>
      <c r="H116" s="10">
        <v>3411</v>
      </c>
      <c r="I116">
        <f>IF(RegistroSaidas[[#This Row],[Data do Caixa Realizado]] = "", 0, MONTH(RegistroSaidas[[#This Row],[Data do Caixa Realizado]]))</f>
        <v>7</v>
      </c>
      <c r="J116">
        <f>IF(RegistroSaidas[[#This Row],[Data do Caixa Realizado]] = "",0,YEAR(RegistroSaidas[[#This Row],[Data do Caixa Realizado]]))</f>
        <v>2018</v>
      </c>
      <c r="K116" s="38">
        <f xml:space="preserve"> IF(RegistroSaidas[[#This Row],[Data da Competência]]="",0,MONTH(RegistroSaidas[[#This Row],[Data da Competência]]))</f>
        <v>7</v>
      </c>
      <c r="L116" s="38">
        <f xml:space="preserve"> IF(RegistroSaidas[[#This Row],[Data da Competência]]="",0,YEAR(RegistroSaidas[[#This Row],[Data da Competência]]))</f>
        <v>2018</v>
      </c>
      <c r="M116" s="38">
        <f xml:space="preserve"> IF(RegistroSaidas[[#This Row],[Data do Caixa Previsto]]="",0,MONTH(RegistroSaidas[[#This Row],[Data do Caixa Previsto]]))</f>
        <v>7</v>
      </c>
      <c r="N116" s="38">
        <f xml:space="preserve"> IF(RegistroSaidas[[#This Row],[Data do Caixa Previsto]]="",0,YEAR(RegistroSaidas[[#This Row],[Data do Caixa Previsto]]))</f>
        <v>2018</v>
      </c>
      <c r="O116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117" spans="2:15" ht="20.100000000000001" customHeight="1" x14ac:dyDescent="0.25">
      <c r="B117" s="9">
        <v>43305.434626119764</v>
      </c>
      <c r="C117" s="9">
        <v>43289</v>
      </c>
      <c r="D117" s="9">
        <v>43305.434626119764</v>
      </c>
      <c r="E117" t="s">
        <v>34</v>
      </c>
      <c r="F117" t="s">
        <v>30</v>
      </c>
      <c r="G117" t="s">
        <v>393</v>
      </c>
      <c r="H117" s="10">
        <v>2524</v>
      </c>
      <c r="I117">
        <f>IF(RegistroSaidas[[#This Row],[Data do Caixa Realizado]] = "", 0, MONTH(RegistroSaidas[[#This Row],[Data do Caixa Realizado]]))</f>
        <v>7</v>
      </c>
      <c r="J117">
        <f>IF(RegistroSaidas[[#This Row],[Data do Caixa Realizado]] = "",0,YEAR(RegistroSaidas[[#This Row],[Data do Caixa Realizado]]))</f>
        <v>2018</v>
      </c>
      <c r="K117" s="38">
        <f xml:space="preserve"> IF(RegistroSaidas[[#This Row],[Data da Competência]]="",0,MONTH(RegistroSaidas[[#This Row],[Data da Competência]]))</f>
        <v>7</v>
      </c>
      <c r="L117" s="38">
        <f xml:space="preserve"> IF(RegistroSaidas[[#This Row],[Data da Competência]]="",0,YEAR(RegistroSaidas[[#This Row],[Data da Competência]]))</f>
        <v>2018</v>
      </c>
      <c r="M117" s="38">
        <f xml:space="preserve"> IF(RegistroSaidas[[#This Row],[Data do Caixa Previsto]]="",0,MONTH(RegistroSaidas[[#This Row],[Data do Caixa Previsto]]))</f>
        <v>7</v>
      </c>
      <c r="N117" s="38">
        <f xml:space="preserve"> IF(RegistroSaidas[[#This Row],[Data do Caixa Previsto]]="",0,YEAR(RegistroSaidas[[#This Row],[Data do Caixa Previsto]]))</f>
        <v>2018</v>
      </c>
      <c r="O117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118" spans="2:15" ht="20.100000000000001" customHeight="1" x14ac:dyDescent="0.25">
      <c r="B118" s="9">
        <v>43313.176696691356</v>
      </c>
      <c r="C118" s="9">
        <v>43291</v>
      </c>
      <c r="D118" s="9">
        <v>43313.176696691356</v>
      </c>
      <c r="E118" t="s">
        <v>34</v>
      </c>
      <c r="F118" t="s">
        <v>33</v>
      </c>
      <c r="G118" t="s">
        <v>394</v>
      </c>
      <c r="H118" s="10">
        <v>1709</v>
      </c>
      <c r="I118">
        <f>IF(RegistroSaidas[[#This Row],[Data do Caixa Realizado]] = "", 0, MONTH(RegistroSaidas[[#This Row],[Data do Caixa Realizado]]))</f>
        <v>8</v>
      </c>
      <c r="J118">
        <f>IF(RegistroSaidas[[#This Row],[Data do Caixa Realizado]] = "",0,YEAR(RegistroSaidas[[#This Row],[Data do Caixa Realizado]]))</f>
        <v>2018</v>
      </c>
      <c r="K118" s="38">
        <f xml:space="preserve"> IF(RegistroSaidas[[#This Row],[Data da Competência]]="",0,MONTH(RegistroSaidas[[#This Row],[Data da Competência]]))</f>
        <v>7</v>
      </c>
      <c r="L118" s="38">
        <f xml:space="preserve"> IF(RegistroSaidas[[#This Row],[Data da Competência]]="",0,YEAR(RegistroSaidas[[#This Row],[Data da Competência]]))</f>
        <v>2018</v>
      </c>
      <c r="M118" s="38">
        <f xml:space="preserve"> IF(RegistroSaidas[[#This Row],[Data do Caixa Previsto]]="",0,MONTH(RegistroSaidas[[#This Row],[Data do Caixa Previsto]]))</f>
        <v>8</v>
      </c>
      <c r="N118" s="38">
        <f xml:space="preserve"> IF(RegistroSaidas[[#This Row],[Data do Caixa Previsto]]="",0,YEAR(RegistroSaidas[[#This Row],[Data do Caixa Previsto]]))</f>
        <v>2018</v>
      </c>
      <c r="O118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119" spans="2:15" ht="20.100000000000001" customHeight="1" x14ac:dyDescent="0.25">
      <c r="B119" s="9">
        <v>43340.349295717155</v>
      </c>
      <c r="C119" s="9">
        <v>43296</v>
      </c>
      <c r="D119" s="9">
        <v>43340.349295717155</v>
      </c>
      <c r="E119" t="s">
        <v>34</v>
      </c>
      <c r="F119" t="s">
        <v>40</v>
      </c>
      <c r="G119" t="s">
        <v>395</v>
      </c>
      <c r="H119" s="10">
        <v>3181</v>
      </c>
      <c r="I119">
        <f>IF(RegistroSaidas[[#This Row],[Data do Caixa Realizado]] = "", 0, MONTH(RegistroSaidas[[#This Row],[Data do Caixa Realizado]]))</f>
        <v>8</v>
      </c>
      <c r="J119">
        <f>IF(RegistroSaidas[[#This Row],[Data do Caixa Realizado]] = "",0,YEAR(RegistroSaidas[[#This Row],[Data do Caixa Realizado]]))</f>
        <v>2018</v>
      </c>
      <c r="K119" s="38">
        <f xml:space="preserve"> IF(RegistroSaidas[[#This Row],[Data da Competência]]="",0,MONTH(RegistroSaidas[[#This Row],[Data da Competência]]))</f>
        <v>7</v>
      </c>
      <c r="L119" s="38">
        <f xml:space="preserve"> IF(RegistroSaidas[[#This Row],[Data da Competência]]="",0,YEAR(RegistroSaidas[[#This Row],[Data da Competência]]))</f>
        <v>2018</v>
      </c>
      <c r="M119" s="38">
        <f xml:space="preserve"> IF(RegistroSaidas[[#This Row],[Data do Caixa Previsto]]="",0,MONTH(RegistroSaidas[[#This Row],[Data do Caixa Previsto]]))</f>
        <v>8</v>
      </c>
      <c r="N119" s="38">
        <f xml:space="preserve"> IF(RegistroSaidas[[#This Row],[Data do Caixa Previsto]]="",0,YEAR(RegistroSaidas[[#This Row],[Data do Caixa Previsto]]))</f>
        <v>2018</v>
      </c>
      <c r="O119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120" spans="2:15" ht="20.100000000000001" customHeight="1" x14ac:dyDescent="0.25">
      <c r="B120" s="9">
        <v>43321.703958375911</v>
      </c>
      <c r="C120" s="9">
        <v>43297</v>
      </c>
      <c r="D120" s="9">
        <v>43321.703958375911</v>
      </c>
      <c r="E120" t="s">
        <v>34</v>
      </c>
      <c r="F120" t="s">
        <v>31</v>
      </c>
      <c r="G120" t="s">
        <v>396</v>
      </c>
      <c r="H120" s="10">
        <v>1108</v>
      </c>
      <c r="I120">
        <f>IF(RegistroSaidas[[#This Row],[Data do Caixa Realizado]] = "", 0, MONTH(RegistroSaidas[[#This Row],[Data do Caixa Realizado]]))</f>
        <v>8</v>
      </c>
      <c r="J120">
        <f>IF(RegistroSaidas[[#This Row],[Data do Caixa Realizado]] = "",0,YEAR(RegistroSaidas[[#This Row],[Data do Caixa Realizado]]))</f>
        <v>2018</v>
      </c>
      <c r="K120" s="38">
        <f xml:space="preserve"> IF(RegistroSaidas[[#This Row],[Data da Competência]]="",0,MONTH(RegistroSaidas[[#This Row],[Data da Competência]]))</f>
        <v>7</v>
      </c>
      <c r="L120" s="38">
        <f xml:space="preserve"> IF(RegistroSaidas[[#This Row],[Data da Competência]]="",0,YEAR(RegistroSaidas[[#This Row],[Data da Competência]]))</f>
        <v>2018</v>
      </c>
      <c r="M120" s="38">
        <f xml:space="preserve"> IF(RegistroSaidas[[#This Row],[Data do Caixa Previsto]]="",0,MONTH(RegistroSaidas[[#This Row],[Data do Caixa Previsto]]))</f>
        <v>8</v>
      </c>
      <c r="N120" s="38">
        <f xml:space="preserve"> IF(RegistroSaidas[[#This Row],[Data do Caixa Previsto]]="",0,YEAR(RegistroSaidas[[#This Row],[Data do Caixa Previsto]]))</f>
        <v>2018</v>
      </c>
      <c r="O120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121" spans="2:15" ht="20.100000000000001" customHeight="1" x14ac:dyDescent="0.25">
      <c r="B121" s="9">
        <v>43330.010675622812</v>
      </c>
      <c r="C121" s="9">
        <v>43298</v>
      </c>
      <c r="D121" s="9">
        <v>43330.010675622812</v>
      </c>
      <c r="E121" t="s">
        <v>34</v>
      </c>
      <c r="F121" t="s">
        <v>40</v>
      </c>
      <c r="G121" t="s">
        <v>397</v>
      </c>
      <c r="H121" s="10">
        <v>2777</v>
      </c>
      <c r="I121">
        <f>IF(RegistroSaidas[[#This Row],[Data do Caixa Realizado]] = "", 0, MONTH(RegistroSaidas[[#This Row],[Data do Caixa Realizado]]))</f>
        <v>8</v>
      </c>
      <c r="J121">
        <f>IF(RegistroSaidas[[#This Row],[Data do Caixa Realizado]] = "",0,YEAR(RegistroSaidas[[#This Row],[Data do Caixa Realizado]]))</f>
        <v>2018</v>
      </c>
      <c r="K121" s="38">
        <f xml:space="preserve"> IF(RegistroSaidas[[#This Row],[Data da Competência]]="",0,MONTH(RegistroSaidas[[#This Row],[Data da Competência]]))</f>
        <v>7</v>
      </c>
      <c r="L121" s="38">
        <f xml:space="preserve"> IF(RegistroSaidas[[#This Row],[Data da Competência]]="",0,YEAR(RegistroSaidas[[#This Row],[Data da Competência]]))</f>
        <v>2018</v>
      </c>
      <c r="M121" s="38">
        <f xml:space="preserve"> IF(RegistroSaidas[[#This Row],[Data do Caixa Previsto]]="",0,MONTH(RegistroSaidas[[#This Row],[Data do Caixa Previsto]]))</f>
        <v>8</v>
      </c>
      <c r="N121" s="38">
        <f xml:space="preserve"> IF(RegistroSaidas[[#This Row],[Data do Caixa Previsto]]="",0,YEAR(RegistroSaidas[[#This Row],[Data do Caixa Previsto]]))</f>
        <v>2018</v>
      </c>
      <c r="O121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122" spans="2:15" ht="20.100000000000001" customHeight="1" x14ac:dyDescent="0.25">
      <c r="B122" s="9">
        <v>43357.040894197533</v>
      </c>
      <c r="C122" s="9">
        <v>43300</v>
      </c>
      <c r="D122" s="9">
        <v>43357.040894197533</v>
      </c>
      <c r="E122" t="s">
        <v>34</v>
      </c>
      <c r="F122" t="s">
        <v>33</v>
      </c>
      <c r="G122" t="s">
        <v>398</v>
      </c>
      <c r="H122" s="10">
        <v>3793</v>
      </c>
      <c r="I122">
        <f>IF(RegistroSaidas[[#This Row],[Data do Caixa Realizado]] = "", 0, MONTH(RegistroSaidas[[#This Row],[Data do Caixa Realizado]]))</f>
        <v>9</v>
      </c>
      <c r="J122">
        <f>IF(RegistroSaidas[[#This Row],[Data do Caixa Realizado]] = "",0,YEAR(RegistroSaidas[[#This Row],[Data do Caixa Realizado]]))</f>
        <v>2018</v>
      </c>
      <c r="K122" s="38">
        <f xml:space="preserve"> IF(RegistroSaidas[[#This Row],[Data da Competência]]="",0,MONTH(RegistroSaidas[[#This Row],[Data da Competência]]))</f>
        <v>7</v>
      </c>
      <c r="L122" s="38">
        <f xml:space="preserve"> IF(RegistroSaidas[[#This Row],[Data da Competência]]="",0,YEAR(RegistroSaidas[[#This Row],[Data da Competência]]))</f>
        <v>2018</v>
      </c>
      <c r="M122" s="38">
        <f xml:space="preserve"> IF(RegistroSaidas[[#This Row],[Data do Caixa Previsto]]="",0,MONTH(RegistroSaidas[[#This Row],[Data do Caixa Previsto]]))</f>
        <v>9</v>
      </c>
      <c r="N122" s="38">
        <f xml:space="preserve"> IF(RegistroSaidas[[#This Row],[Data do Caixa Previsto]]="",0,YEAR(RegistroSaidas[[#This Row],[Data do Caixa Previsto]]))</f>
        <v>2018</v>
      </c>
      <c r="O122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123" spans="2:15" ht="20.100000000000001" customHeight="1" x14ac:dyDescent="0.25">
      <c r="B123" s="9" t="s">
        <v>64</v>
      </c>
      <c r="C123" s="9">
        <v>43302</v>
      </c>
      <c r="D123" s="9">
        <v>43324.888843781351</v>
      </c>
      <c r="E123" t="s">
        <v>34</v>
      </c>
      <c r="F123" t="s">
        <v>30</v>
      </c>
      <c r="G123" t="s">
        <v>399</v>
      </c>
      <c r="H123" s="10">
        <v>4217</v>
      </c>
      <c r="I123">
        <f>IF(RegistroSaidas[[#This Row],[Data do Caixa Realizado]] = "", 0, MONTH(RegistroSaidas[[#This Row],[Data do Caixa Realizado]]))</f>
        <v>0</v>
      </c>
      <c r="J123">
        <f>IF(RegistroSaidas[[#This Row],[Data do Caixa Realizado]] = "",0,YEAR(RegistroSaidas[[#This Row],[Data do Caixa Realizado]]))</f>
        <v>0</v>
      </c>
      <c r="K123" s="38">
        <f xml:space="preserve"> IF(RegistroSaidas[[#This Row],[Data da Competência]]="",0,MONTH(RegistroSaidas[[#This Row],[Data da Competência]]))</f>
        <v>7</v>
      </c>
      <c r="L123" s="38">
        <f xml:space="preserve"> IF(RegistroSaidas[[#This Row],[Data da Competência]]="",0,YEAR(RegistroSaidas[[#This Row],[Data da Competência]]))</f>
        <v>2018</v>
      </c>
      <c r="M123" s="38">
        <f xml:space="preserve"> IF(RegistroSaidas[[#This Row],[Data do Caixa Previsto]]="",0,MONTH(RegistroSaidas[[#This Row],[Data do Caixa Previsto]]))</f>
        <v>8</v>
      </c>
      <c r="N123" s="38">
        <f xml:space="preserve"> IF(RegistroSaidas[[#This Row],[Data do Caixa Previsto]]="",0,YEAR(RegistroSaidas[[#This Row],[Data do Caixa Previsto]]))</f>
        <v>2018</v>
      </c>
      <c r="O123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1891.1111562186488</v>
      </c>
    </row>
    <row r="124" spans="2:15" ht="20.100000000000001" customHeight="1" x14ac:dyDescent="0.25">
      <c r="B124" s="9">
        <v>43342.623492549312</v>
      </c>
      <c r="C124" s="9">
        <v>43309</v>
      </c>
      <c r="D124" s="9">
        <v>43342.623492549312</v>
      </c>
      <c r="E124" t="s">
        <v>34</v>
      </c>
      <c r="F124" t="s">
        <v>40</v>
      </c>
      <c r="G124" t="s">
        <v>400</v>
      </c>
      <c r="H124" s="10">
        <v>4850</v>
      </c>
      <c r="I124">
        <f>IF(RegistroSaidas[[#This Row],[Data do Caixa Realizado]] = "", 0, MONTH(RegistroSaidas[[#This Row],[Data do Caixa Realizado]]))</f>
        <v>8</v>
      </c>
      <c r="J124">
        <f>IF(RegistroSaidas[[#This Row],[Data do Caixa Realizado]] = "",0,YEAR(RegistroSaidas[[#This Row],[Data do Caixa Realizado]]))</f>
        <v>2018</v>
      </c>
      <c r="K124" s="38">
        <f xml:space="preserve"> IF(RegistroSaidas[[#This Row],[Data da Competência]]="",0,MONTH(RegistroSaidas[[#This Row],[Data da Competência]]))</f>
        <v>7</v>
      </c>
      <c r="L124" s="38">
        <f xml:space="preserve"> IF(RegistroSaidas[[#This Row],[Data da Competência]]="",0,YEAR(RegistroSaidas[[#This Row],[Data da Competência]]))</f>
        <v>2018</v>
      </c>
      <c r="M124" s="38">
        <f xml:space="preserve"> IF(RegistroSaidas[[#This Row],[Data do Caixa Previsto]]="",0,MONTH(RegistroSaidas[[#This Row],[Data do Caixa Previsto]]))</f>
        <v>8</v>
      </c>
      <c r="N124" s="38">
        <f xml:space="preserve"> IF(RegistroSaidas[[#This Row],[Data do Caixa Previsto]]="",0,YEAR(RegistroSaidas[[#This Row],[Data do Caixa Previsto]]))</f>
        <v>2018</v>
      </c>
      <c r="O124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125" spans="2:15" ht="20.100000000000001" customHeight="1" x14ac:dyDescent="0.25">
      <c r="B125" s="9">
        <v>43354.968085716326</v>
      </c>
      <c r="C125" s="9">
        <v>43311</v>
      </c>
      <c r="D125" s="9">
        <v>43331.330507155544</v>
      </c>
      <c r="E125" t="s">
        <v>34</v>
      </c>
      <c r="F125" t="s">
        <v>30</v>
      </c>
      <c r="G125" t="s">
        <v>401</v>
      </c>
      <c r="H125" s="10">
        <v>4309</v>
      </c>
      <c r="I125">
        <f>IF(RegistroSaidas[[#This Row],[Data do Caixa Realizado]] = "", 0, MONTH(RegistroSaidas[[#This Row],[Data do Caixa Realizado]]))</f>
        <v>9</v>
      </c>
      <c r="J125">
        <f>IF(RegistroSaidas[[#This Row],[Data do Caixa Realizado]] = "",0,YEAR(RegistroSaidas[[#This Row],[Data do Caixa Realizado]]))</f>
        <v>2018</v>
      </c>
      <c r="K125" s="38">
        <f xml:space="preserve"> IF(RegistroSaidas[[#This Row],[Data da Competência]]="",0,MONTH(RegistroSaidas[[#This Row],[Data da Competência]]))</f>
        <v>7</v>
      </c>
      <c r="L125" s="38">
        <f xml:space="preserve"> IF(RegistroSaidas[[#This Row],[Data da Competência]]="",0,YEAR(RegistroSaidas[[#This Row],[Data da Competência]]))</f>
        <v>2018</v>
      </c>
      <c r="M125" s="38">
        <f xml:space="preserve"> IF(RegistroSaidas[[#This Row],[Data do Caixa Previsto]]="",0,MONTH(RegistroSaidas[[#This Row],[Data do Caixa Previsto]]))</f>
        <v>8</v>
      </c>
      <c r="N125" s="38">
        <f xml:space="preserve"> IF(RegistroSaidas[[#This Row],[Data do Caixa Previsto]]="",0,YEAR(RegistroSaidas[[#This Row],[Data do Caixa Previsto]]))</f>
        <v>2018</v>
      </c>
      <c r="O125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23.637578560781549</v>
      </c>
    </row>
    <row r="126" spans="2:15" ht="20.100000000000001" customHeight="1" x14ac:dyDescent="0.25">
      <c r="B126" s="9">
        <v>43374.615784892369</v>
      </c>
      <c r="C126" s="9">
        <v>43313</v>
      </c>
      <c r="D126" s="9">
        <v>43314.576092684139</v>
      </c>
      <c r="E126" t="s">
        <v>34</v>
      </c>
      <c r="F126" t="s">
        <v>31</v>
      </c>
      <c r="G126" t="s">
        <v>402</v>
      </c>
      <c r="H126" s="10">
        <v>4462</v>
      </c>
      <c r="I126">
        <f>IF(RegistroSaidas[[#This Row],[Data do Caixa Realizado]] = "", 0, MONTH(RegistroSaidas[[#This Row],[Data do Caixa Realizado]]))</f>
        <v>10</v>
      </c>
      <c r="J126">
        <f>IF(RegistroSaidas[[#This Row],[Data do Caixa Realizado]] = "",0,YEAR(RegistroSaidas[[#This Row],[Data do Caixa Realizado]]))</f>
        <v>2018</v>
      </c>
      <c r="K126" s="38">
        <f xml:space="preserve"> IF(RegistroSaidas[[#This Row],[Data da Competência]]="",0,MONTH(RegistroSaidas[[#This Row],[Data da Competência]]))</f>
        <v>8</v>
      </c>
      <c r="L126" s="38">
        <f xml:space="preserve"> IF(RegistroSaidas[[#This Row],[Data da Competência]]="",0,YEAR(RegistroSaidas[[#This Row],[Data da Competência]]))</f>
        <v>2018</v>
      </c>
      <c r="M126" s="38">
        <f xml:space="preserve"> IF(RegistroSaidas[[#This Row],[Data do Caixa Previsto]]="",0,MONTH(RegistroSaidas[[#This Row],[Data do Caixa Previsto]]))</f>
        <v>8</v>
      </c>
      <c r="N126" s="38">
        <f xml:space="preserve"> IF(RegistroSaidas[[#This Row],[Data do Caixa Previsto]]="",0,YEAR(RegistroSaidas[[#This Row],[Data do Caixa Previsto]]))</f>
        <v>2018</v>
      </c>
      <c r="O126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60.039692208229098</v>
      </c>
    </row>
    <row r="127" spans="2:15" ht="20.100000000000001" customHeight="1" x14ac:dyDescent="0.25">
      <c r="B127" s="9">
        <v>43375.491443107414</v>
      </c>
      <c r="C127" s="9">
        <v>43319</v>
      </c>
      <c r="D127" s="9">
        <v>43375.491443107414</v>
      </c>
      <c r="E127" t="s">
        <v>34</v>
      </c>
      <c r="F127" t="s">
        <v>29</v>
      </c>
      <c r="G127" t="s">
        <v>403</v>
      </c>
      <c r="H127" s="10">
        <v>4947</v>
      </c>
      <c r="I127">
        <f>IF(RegistroSaidas[[#This Row],[Data do Caixa Realizado]] = "", 0, MONTH(RegistroSaidas[[#This Row],[Data do Caixa Realizado]]))</f>
        <v>10</v>
      </c>
      <c r="J127">
        <f>IF(RegistroSaidas[[#This Row],[Data do Caixa Realizado]] = "",0,YEAR(RegistroSaidas[[#This Row],[Data do Caixa Realizado]]))</f>
        <v>2018</v>
      </c>
      <c r="K127" s="38">
        <f xml:space="preserve"> IF(RegistroSaidas[[#This Row],[Data da Competência]]="",0,MONTH(RegistroSaidas[[#This Row],[Data da Competência]]))</f>
        <v>8</v>
      </c>
      <c r="L127" s="38">
        <f xml:space="preserve"> IF(RegistroSaidas[[#This Row],[Data da Competência]]="",0,YEAR(RegistroSaidas[[#This Row],[Data da Competência]]))</f>
        <v>2018</v>
      </c>
      <c r="M127" s="38">
        <f xml:space="preserve"> IF(RegistroSaidas[[#This Row],[Data do Caixa Previsto]]="",0,MONTH(RegistroSaidas[[#This Row],[Data do Caixa Previsto]]))</f>
        <v>10</v>
      </c>
      <c r="N127" s="38">
        <f xml:space="preserve"> IF(RegistroSaidas[[#This Row],[Data do Caixa Previsto]]="",0,YEAR(RegistroSaidas[[#This Row],[Data do Caixa Previsto]]))</f>
        <v>2018</v>
      </c>
      <c r="O127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128" spans="2:15" ht="20.100000000000001" customHeight="1" x14ac:dyDescent="0.25">
      <c r="B128" s="9">
        <v>43368.704862392784</v>
      </c>
      <c r="C128" s="9">
        <v>43322</v>
      </c>
      <c r="D128" s="9">
        <v>43368.704862392784</v>
      </c>
      <c r="E128" t="s">
        <v>34</v>
      </c>
      <c r="F128" t="s">
        <v>33</v>
      </c>
      <c r="G128" t="s">
        <v>404</v>
      </c>
      <c r="H128" s="10">
        <v>902</v>
      </c>
      <c r="I128">
        <f>IF(RegistroSaidas[[#This Row],[Data do Caixa Realizado]] = "", 0, MONTH(RegistroSaidas[[#This Row],[Data do Caixa Realizado]]))</f>
        <v>9</v>
      </c>
      <c r="J128">
        <f>IF(RegistroSaidas[[#This Row],[Data do Caixa Realizado]] = "",0,YEAR(RegistroSaidas[[#This Row],[Data do Caixa Realizado]]))</f>
        <v>2018</v>
      </c>
      <c r="K128" s="38">
        <f xml:space="preserve"> IF(RegistroSaidas[[#This Row],[Data da Competência]]="",0,MONTH(RegistroSaidas[[#This Row],[Data da Competência]]))</f>
        <v>8</v>
      </c>
      <c r="L128" s="38">
        <f xml:space="preserve"> IF(RegistroSaidas[[#This Row],[Data da Competência]]="",0,YEAR(RegistroSaidas[[#This Row],[Data da Competência]]))</f>
        <v>2018</v>
      </c>
      <c r="M128" s="38">
        <f xml:space="preserve"> IF(RegistroSaidas[[#This Row],[Data do Caixa Previsto]]="",0,MONTH(RegistroSaidas[[#This Row],[Data do Caixa Previsto]]))</f>
        <v>9</v>
      </c>
      <c r="N128" s="38">
        <f xml:space="preserve"> IF(RegistroSaidas[[#This Row],[Data do Caixa Previsto]]="",0,YEAR(RegistroSaidas[[#This Row],[Data do Caixa Previsto]]))</f>
        <v>2018</v>
      </c>
      <c r="O128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129" spans="2:15" ht="20.100000000000001" customHeight="1" x14ac:dyDescent="0.25">
      <c r="B129" s="9">
        <v>43366.872016051886</v>
      </c>
      <c r="C129" s="9">
        <v>43324</v>
      </c>
      <c r="D129" s="9">
        <v>43366.872016051886</v>
      </c>
      <c r="E129" t="s">
        <v>34</v>
      </c>
      <c r="F129" t="s">
        <v>29</v>
      </c>
      <c r="G129" t="s">
        <v>405</v>
      </c>
      <c r="H129" s="10">
        <v>432</v>
      </c>
      <c r="I129">
        <f>IF(RegistroSaidas[[#This Row],[Data do Caixa Realizado]] = "", 0, MONTH(RegistroSaidas[[#This Row],[Data do Caixa Realizado]]))</f>
        <v>9</v>
      </c>
      <c r="J129">
        <f>IF(RegistroSaidas[[#This Row],[Data do Caixa Realizado]] = "",0,YEAR(RegistroSaidas[[#This Row],[Data do Caixa Realizado]]))</f>
        <v>2018</v>
      </c>
      <c r="K129" s="38">
        <f xml:space="preserve"> IF(RegistroSaidas[[#This Row],[Data da Competência]]="",0,MONTH(RegistroSaidas[[#This Row],[Data da Competência]]))</f>
        <v>8</v>
      </c>
      <c r="L129" s="38">
        <f xml:space="preserve"> IF(RegistroSaidas[[#This Row],[Data da Competência]]="",0,YEAR(RegistroSaidas[[#This Row],[Data da Competência]]))</f>
        <v>2018</v>
      </c>
      <c r="M129" s="38">
        <f xml:space="preserve"> IF(RegistroSaidas[[#This Row],[Data do Caixa Previsto]]="",0,MONTH(RegistroSaidas[[#This Row],[Data do Caixa Previsto]]))</f>
        <v>9</v>
      </c>
      <c r="N129" s="38">
        <f xml:space="preserve"> IF(RegistroSaidas[[#This Row],[Data do Caixa Previsto]]="",0,YEAR(RegistroSaidas[[#This Row],[Data do Caixa Previsto]]))</f>
        <v>2018</v>
      </c>
      <c r="O129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130" spans="2:15" ht="20.100000000000001" customHeight="1" x14ac:dyDescent="0.25">
      <c r="B130" s="9">
        <v>43356.956112414089</v>
      </c>
      <c r="C130" s="9">
        <v>43327</v>
      </c>
      <c r="D130" s="9">
        <v>43356.956112414089</v>
      </c>
      <c r="E130" t="s">
        <v>34</v>
      </c>
      <c r="F130" t="s">
        <v>30</v>
      </c>
      <c r="G130" t="s">
        <v>406</v>
      </c>
      <c r="H130" s="10">
        <v>4084</v>
      </c>
      <c r="I130">
        <f>IF(RegistroSaidas[[#This Row],[Data do Caixa Realizado]] = "", 0, MONTH(RegistroSaidas[[#This Row],[Data do Caixa Realizado]]))</f>
        <v>9</v>
      </c>
      <c r="J130">
        <f>IF(RegistroSaidas[[#This Row],[Data do Caixa Realizado]] = "",0,YEAR(RegistroSaidas[[#This Row],[Data do Caixa Realizado]]))</f>
        <v>2018</v>
      </c>
      <c r="K130" s="38">
        <f xml:space="preserve"> IF(RegistroSaidas[[#This Row],[Data da Competência]]="",0,MONTH(RegistroSaidas[[#This Row],[Data da Competência]]))</f>
        <v>8</v>
      </c>
      <c r="L130" s="38">
        <f xml:space="preserve"> IF(RegistroSaidas[[#This Row],[Data da Competência]]="",0,YEAR(RegistroSaidas[[#This Row],[Data da Competência]]))</f>
        <v>2018</v>
      </c>
      <c r="M130" s="38">
        <f xml:space="preserve"> IF(RegistroSaidas[[#This Row],[Data do Caixa Previsto]]="",0,MONTH(RegistroSaidas[[#This Row],[Data do Caixa Previsto]]))</f>
        <v>9</v>
      </c>
      <c r="N130" s="38">
        <f xml:space="preserve"> IF(RegistroSaidas[[#This Row],[Data do Caixa Previsto]]="",0,YEAR(RegistroSaidas[[#This Row],[Data do Caixa Previsto]]))</f>
        <v>2018</v>
      </c>
      <c r="O130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131" spans="2:15" ht="20.100000000000001" customHeight="1" x14ac:dyDescent="0.25">
      <c r="B131" s="9">
        <v>43433.012235706425</v>
      </c>
      <c r="C131" s="9">
        <v>43334</v>
      </c>
      <c r="D131" s="9">
        <v>43359.016635810432</v>
      </c>
      <c r="E131" t="s">
        <v>34</v>
      </c>
      <c r="F131" t="s">
        <v>40</v>
      </c>
      <c r="G131" t="s">
        <v>407</v>
      </c>
      <c r="H131" s="10">
        <v>1054</v>
      </c>
      <c r="I131">
        <f>IF(RegistroSaidas[[#This Row],[Data do Caixa Realizado]] = "", 0, MONTH(RegistroSaidas[[#This Row],[Data do Caixa Realizado]]))</f>
        <v>11</v>
      </c>
      <c r="J131">
        <f>IF(RegistroSaidas[[#This Row],[Data do Caixa Realizado]] = "",0,YEAR(RegistroSaidas[[#This Row],[Data do Caixa Realizado]]))</f>
        <v>2018</v>
      </c>
      <c r="K131" s="38">
        <f xml:space="preserve"> IF(RegistroSaidas[[#This Row],[Data da Competência]]="",0,MONTH(RegistroSaidas[[#This Row],[Data da Competência]]))</f>
        <v>8</v>
      </c>
      <c r="L131" s="38">
        <f xml:space="preserve"> IF(RegistroSaidas[[#This Row],[Data da Competência]]="",0,YEAR(RegistroSaidas[[#This Row],[Data da Competência]]))</f>
        <v>2018</v>
      </c>
      <c r="M131" s="38">
        <f xml:space="preserve"> IF(RegistroSaidas[[#This Row],[Data do Caixa Previsto]]="",0,MONTH(RegistroSaidas[[#This Row],[Data do Caixa Previsto]]))</f>
        <v>9</v>
      </c>
      <c r="N131" s="38">
        <f xml:space="preserve"> IF(RegistroSaidas[[#This Row],[Data do Caixa Previsto]]="",0,YEAR(RegistroSaidas[[#This Row],[Data do Caixa Previsto]]))</f>
        <v>2018</v>
      </c>
      <c r="O131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73.9955998959922</v>
      </c>
    </row>
    <row r="132" spans="2:15" ht="20.100000000000001" customHeight="1" x14ac:dyDescent="0.25">
      <c r="B132" s="9">
        <v>43352.077398814596</v>
      </c>
      <c r="C132" s="9">
        <v>43335</v>
      </c>
      <c r="D132" s="9">
        <v>43352.077398814596</v>
      </c>
      <c r="E132" t="s">
        <v>34</v>
      </c>
      <c r="F132" t="s">
        <v>29</v>
      </c>
      <c r="G132" t="s">
        <v>408</v>
      </c>
      <c r="H132" s="10">
        <v>4608</v>
      </c>
      <c r="I132">
        <f>IF(RegistroSaidas[[#This Row],[Data do Caixa Realizado]] = "", 0, MONTH(RegistroSaidas[[#This Row],[Data do Caixa Realizado]]))</f>
        <v>9</v>
      </c>
      <c r="J132">
        <f>IF(RegistroSaidas[[#This Row],[Data do Caixa Realizado]] = "",0,YEAR(RegistroSaidas[[#This Row],[Data do Caixa Realizado]]))</f>
        <v>2018</v>
      </c>
      <c r="K132" s="38">
        <f xml:space="preserve"> IF(RegistroSaidas[[#This Row],[Data da Competência]]="",0,MONTH(RegistroSaidas[[#This Row],[Data da Competência]]))</f>
        <v>8</v>
      </c>
      <c r="L132" s="38">
        <f xml:space="preserve"> IF(RegistroSaidas[[#This Row],[Data da Competência]]="",0,YEAR(RegistroSaidas[[#This Row],[Data da Competência]]))</f>
        <v>2018</v>
      </c>
      <c r="M132" s="38">
        <f xml:space="preserve"> IF(RegistroSaidas[[#This Row],[Data do Caixa Previsto]]="",0,MONTH(RegistroSaidas[[#This Row],[Data do Caixa Previsto]]))</f>
        <v>9</v>
      </c>
      <c r="N132" s="38">
        <f xml:space="preserve"> IF(RegistroSaidas[[#This Row],[Data do Caixa Previsto]]="",0,YEAR(RegistroSaidas[[#This Row],[Data do Caixa Previsto]]))</f>
        <v>2018</v>
      </c>
      <c r="O132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133" spans="2:15" ht="20.100000000000001" customHeight="1" x14ac:dyDescent="0.25">
      <c r="B133" s="9">
        <v>43363.149663367352</v>
      </c>
      <c r="C133" s="9">
        <v>43340</v>
      </c>
      <c r="D133" s="9">
        <v>43363.149663367352</v>
      </c>
      <c r="E133" t="s">
        <v>34</v>
      </c>
      <c r="F133" t="s">
        <v>33</v>
      </c>
      <c r="G133" t="s">
        <v>409</v>
      </c>
      <c r="H133" s="10">
        <v>1238</v>
      </c>
      <c r="I133">
        <f>IF(RegistroSaidas[[#This Row],[Data do Caixa Realizado]] = "", 0, MONTH(RegistroSaidas[[#This Row],[Data do Caixa Realizado]]))</f>
        <v>9</v>
      </c>
      <c r="J133">
        <f>IF(RegistroSaidas[[#This Row],[Data do Caixa Realizado]] = "",0,YEAR(RegistroSaidas[[#This Row],[Data do Caixa Realizado]]))</f>
        <v>2018</v>
      </c>
      <c r="K133" s="38">
        <f xml:space="preserve"> IF(RegistroSaidas[[#This Row],[Data da Competência]]="",0,MONTH(RegistroSaidas[[#This Row],[Data da Competência]]))</f>
        <v>8</v>
      </c>
      <c r="L133" s="38">
        <f xml:space="preserve"> IF(RegistroSaidas[[#This Row],[Data da Competência]]="",0,YEAR(RegistroSaidas[[#This Row],[Data da Competência]]))</f>
        <v>2018</v>
      </c>
      <c r="M133" s="38">
        <f xml:space="preserve"> IF(RegistroSaidas[[#This Row],[Data do Caixa Previsto]]="",0,MONTH(RegistroSaidas[[#This Row],[Data do Caixa Previsto]]))</f>
        <v>9</v>
      </c>
      <c r="N133" s="38">
        <f xml:space="preserve"> IF(RegistroSaidas[[#This Row],[Data do Caixa Previsto]]="",0,YEAR(RegistroSaidas[[#This Row],[Data do Caixa Previsto]]))</f>
        <v>2018</v>
      </c>
      <c r="O133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134" spans="2:15" ht="20.100000000000001" customHeight="1" x14ac:dyDescent="0.25">
      <c r="B134" s="9">
        <v>43370.729955212279</v>
      </c>
      <c r="C134" s="9">
        <v>43346</v>
      </c>
      <c r="D134" s="9">
        <v>43370.729955212279</v>
      </c>
      <c r="E134" t="s">
        <v>34</v>
      </c>
      <c r="F134" t="s">
        <v>40</v>
      </c>
      <c r="G134" t="s">
        <v>410</v>
      </c>
      <c r="H134" s="10">
        <v>1342</v>
      </c>
      <c r="I134">
        <f>IF(RegistroSaidas[[#This Row],[Data do Caixa Realizado]] = "", 0, MONTH(RegistroSaidas[[#This Row],[Data do Caixa Realizado]]))</f>
        <v>9</v>
      </c>
      <c r="J134">
        <f>IF(RegistroSaidas[[#This Row],[Data do Caixa Realizado]] = "",0,YEAR(RegistroSaidas[[#This Row],[Data do Caixa Realizado]]))</f>
        <v>2018</v>
      </c>
      <c r="K134" s="38">
        <f xml:space="preserve"> IF(RegistroSaidas[[#This Row],[Data da Competência]]="",0,MONTH(RegistroSaidas[[#This Row],[Data da Competência]]))</f>
        <v>9</v>
      </c>
      <c r="L134" s="38">
        <f xml:space="preserve"> IF(RegistroSaidas[[#This Row],[Data da Competência]]="",0,YEAR(RegistroSaidas[[#This Row],[Data da Competência]]))</f>
        <v>2018</v>
      </c>
      <c r="M134" s="38">
        <f xml:space="preserve"> IF(RegistroSaidas[[#This Row],[Data do Caixa Previsto]]="",0,MONTH(RegistroSaidas[[#This Row],[Data do Caixa Previsto]]))</f>
        <v>9</v>
      </c>
      <c r="N134" s="38">
        <f xml:space="preserve"> IF(RegistroSaidas[[#This Row],[Data do Caixa Previsto]]="",0,YEAR(RegistroSaidas[[#This Row],[Data do Caixa Previsto]]))</f>
        <v>2018</v>
      </c>
      <c r="O134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135" spans="2:15" ht="20.100000000000001" customHeight="1" x14ac:dyDescent="0.25">
      <c r="B135" s="9">
        <v>43438.840632706146</v>
      </c>
      <c r="C135" s="9">
        <v>43350</v>
      </c>
      <c r="D135" s="9">
        <v>43402.779511524925</v>
      </c>
      <c r="E135" t="s">
        <v>34</v>
      </c>
      <c r="F135" t="s">
        <v>29</v>
      </c>
      <c r="G135" t="s">
        <v>411</v>
      </c>
      <c r="H135" s="10">
        <v>2936</v>
      </c>
      <c r="I135">
        <f>IF(RegistroSaidas[[#This Row],[Data do Caixa Realizado]] = "", 0, MONTH(RegistroSaidas[[#This Row],[Data do Caixa Realizado]]))</f>
        <v>12</v>
      </c>
      <c r="J135">
        <f>IF(RegistroSaidas[[#This Row],[Data do Caixa Realizado]] = "",0,YEAR(RegistroSaidas[[#This Row],[Data do Caixa Realizado]]))</f>
        <v>2018</v>
      </c>
      <c r="K135" s="38">
        <f xml:space="preserve"> IF(RegistroSaidas[[#This Row],[Data da Competência]]="",0,MONTH(RegistroSaidas[[#This Row],[Data da Competência]]))</f>
        <v>9</v>
      </c>
      <c r="L135" s="38">
        <f xml:space="preserve"> IF(RegistroSaidas[[#This Row],[Data da Competência]]="",0,YEAR(RegistroSaidas[[#This Row],[Data da Competência]]))</f>
        <v>2018</v>
      </c>
      <c r="M135" s="38">
        <f xml:space="preserve"> IF(RegistroSaidas[[#This Row],[Data do Caixa Previsto]]="",0,MONTH(RegistroSaidas[[#This Row],[Data do Caixa Previsto]]))</f>
        <v>10</v>
      </c>
      <c r="N135" s="38">
        <f xml:space="preserve"> IF(RegistroSaidas[[#This Row],[Data do Caixa Previsto]]="",0,YEAR(RegistroSaidas[[#This Row],[Data do Caixa Previsto]]))</f>
        <v>2018</v>
      </c>
      <c r="O135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36.061121181221097</v>
      </c>
    </row>
    <row r="136" spans="2:15" ht="20.100000000000001" customHeight="1" x14ac:dyDescent="0.25">
      <c r="B136" s="9">
        <v>43381.142100455778</v>
      </c>
      <c r="C136" s="9">
        <v>43351</v>
      </c>
      <c r="D136" s="9">
        <v>43381.142100455778</v>
      </c>
      <c r="E136" t="s">
        <v>34</v>
      </c>
      <c r="F136" t="s">
        <v>40</v>
      </c>
      <c r="G136" t="s">
        <v>412</v>
      </c>
      <c r="H136" s="10">
        <v>875</v>
      </c>
      <c r="I136">
        <f>IF(RegistroSaidas[[#This Row],[Data do Caixa Realizado]] = "", 0, MONTH(RegistroSaidas[[#This Row],[Data do Caixa Realizado]]))</f>
        <v>10</v>
      </c>
      <c r="J136">
        <f>IF(RegistroSaidas[[#This Row],[Data do Caixa Realizado]] = "",0,YEAR(RegistroSaidas[[#This Row],[Data do Caixa Realizado]]))</f>
        <v>2018</v>
      </c>
      <c r="K136" s="38">
        <f xml:space="preserve"> IF(RegistroSaidas[[#This Row],[Data da Competência]]="",0,MONTH(RegistroSaidas[[#This Row],[Data da Competência]]))</f>
        <v>9</v>
      </c>
      <c r="L136" s="38">
        <f xml:space="preserve"> IF(RegistroSaidas[[#This Row],[Data da Competência]]="",0,YEAR(RegistroSaidas[[#This Row],[Data da Competência]]))</f>
        <v>2018</v>
      </c>
      <c r="M136" s="38">
        <f xml:space="preserve"> IF(RegistroSaidas[[#This Row],[Data do Caixa Previsto]]="",0,MONTH(RegistroSaidas[[#This Row],[Data do Caixa Previsto]]))</f>
        <v>10</v>
      </c>
      <c r="N136" s="38">
        <f xml:space="preserve"> IF(RegistroSaidas[[#This Row],[Data do Caixa Previsto]]="",0,YEAR(RegistroSaidas[[#This Row],[Data do Caixa Previsto]]))</f>
        <v>2018</v>
      </c>
      <c r="O136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137" spans="2:15" ht="20.100000000000001" customHeight="1" x14ac:dyDescent="0.25">
      <c r="B137" s="9">
        <v>43355.021702138809</v>
      </c>
      <c r="C137" s="9">
        <v>43353</v>
      </c>
      <c r="D137" s="9">
        <v>43355.021702138809</v>
      </c>
      <c r="E137" t="s">
        <v>34</v>
      </c>
      <c r="F137" t="s">
        <v>31</v>
      </c>
      <c r="G137" t="s">
        <v>413</v>
      </c>
      <c r="H137" s="10">
        <v>159</v>
      </c>
      <c r="I137">
        <f>IF(RegistroSaidas[[#This Row],[Data do Caixa Realizado]] = "", 0, MONTH(RegistroSaidas[[#This Row],[Data do Caixa Realizado]]))</f>
        <v>9</v>
      </c>
      <c r="J137">
        <f>IF(RegistroSaidas[[#This Row],[Data do Caixa Realizado]] = "",0,YEAR(RegistroSaidas[[#This Row],[Data do Caixa Realizado]]))</f>
        <v>2018</v>
      </c>
      <c r="K137" s="38">
        <f xml:space="preserve"> IF(RegistroSaidas[[#This Row],[Data da Competência]]="",0,MONTH(RegistroSaidas[[#This Row],[Data da Competência]]))</f>
        <v>9</v>
      </c>
      <c r="L137" s="38">
        <f xml:space="preserve"> IF(RegistroSaidas[[#This Row],[Data da Competência]]="",0,YEAR(RegistroSaidas[[#This Row],[Data da Competência]]))</f>
        <v>2018</v>
      </c>
      <c r="M137" s="38">
        <f xml:space="preserve"> IF(RegistroSaidas[[#This Row],[Data do Caixa Previsto]]="",0,MONTH(RegistroSaidas[[#This Row],[Data do Caixa Previsto]]))</f>
        <v>9</v>
      </c>
      <c r="N137" s="38">
        <f xml:space="preserve"> IF(RegistroSaidas[[#This Row],[Data do Caixa Previsto]]="",0,YEAR(RegistroSaidas[[#This Row],[Data do Caixa Previsto]]))</f>
        <v>2018</v>
      </c>
      <c r="O137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138" spans="2:15" ht="20.100000000000001" customHeight="1" x14ac:dyDescent="0.25">
      <c r="B138" s="9">
        <v>43382.641285204452</v>
      </c>
      <c r="C138" s="9">
        <v>43358</v>
      </c>
      <c r="D138" s="9">
        <v>43382.641285204452</v>
      </c>
      <c r="E138" t="s">
        <v>34</v>
      </c>
      <c r="F138" t="s">
        <v>40</v>
      </c>
      <c r="G138" t="s">
        <v>414</v>
      </c>
      <c r="H138" s="10">
        <v>2933</v>
      </c>
      <c r="I138">
        <f>IF(RegistroSaidas[[#This Row],[Data do Caixa Realizado]] = "", 0, MONTH(RegistroSaidas[[#This Row],[Data do Caixa Realizado]]))</f>
        <v>10</v>
      </c>
      <c r="J138">
        <f>IF(RegistroSaidas[[#This Row],[Data do Caixa Realizado]] = "",0,YEAR(RegistroSaidas[[#This Row],[Data do Caixa Realizado]]))</f>
        <v>2018</v>
      </c>
      <c r="K138" s="38">
        <f xml:space="preserve"> IF(RegistroSaidas[[#This Row],[Data da Competência]]="",0,MONTH(RegistroSaidas[[#This Row],[Data da Competência]]))</f>
        <v>9</v>
      </c>
      <c r="L138" s="38">
        <f xml:space="preserve"> IF(RegistroSaidas[[#This Row],[Data da Competência]]="",0,YEAR(RegistroSaidas[[#This Row],[Data da Competência]]))</f>
        <v>2018</v>
      </c>
      <c r="M138" s="38">
        <f xml:space="preserve"> IF(RegistroSaidas[[#This Row],[Data do Caixa Previsto]]="",0,MONTH(RegistroSaidas[[#This Row],[Data do Caixa Previsto]]))</f>
        <v>10</v>
      </c>
      <c r="N138" s="38">
        <f xml:space="preserve"> IF(RegistroSaidas[[#This Row],[Data do Caixa Previsto]]="",0,YEAR(RegistroSaidas[[#This Row],[Data do Caixa Previsto]]))</f>
        <v>2018</v>
      </c>
      <c r="O138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139" spans="2:15" ht="20.100000000000001" customHeight="1" x14ac:dyDescent="0.25">
      <c r="B139" s="9">
        <v>43405.129639238316</v>
      </c>
      <c r="C139" s="9">
        <v>43358</v>
      </c>
      <c r="D139" s="9">
        <v>43405.129639238316</v>
      </c>
      <c r="E139" t="s">
        <v>34</v>
      </c>
      <c r="F139" t="s">
        <v>40</v>
      </c>
      <c r="G139" t="s">
        <v>415</v>
      </c>
      <c r="H139" s="10">
        <v>4944</v>
      </c>
      <c r="I139">
        <f>IF(RegistroSaidas[[#This Row],[Data do Caixa Realizado]] = "", 0, MONTH(RegistroSaidas[[#This Row],[Data do Caixa Realizado]]))</f>
        <v>11</v>
      </c>
      <c r="J139">
        <f>IF(RegistroSaidas[[#This Row],[Data do Caixa Realizado]] = "",0,YEAR(RegistroSaidas[[#This Row],[Data do Caixa Realizado]]))</f>
        <v>2018</v>
      </c>
      <c r="K139" s="38">
        <f xml:space="preserve"> IF(RegistroSaidas[[#This Row],[Data da Competência]]="",0,MONTH(RegistroSaidas[[#This Row],[Data da Competência]]))</f>
        <v>9</v>
      </c>
      <c r="L139" s="38">
        <f xml:space="preserve"> IF(RegistroSaidas[[#This Row],[Data da Competência]]="",0,YEAR(RegistroSaidas[[#This Row],[Data da Competência]]))</f>
        <v>2018</v>
      </c>
      <c r="M139" s="38">
        <f xml:space="preserve"> IF(RegistroSaidas[[#This Row],[Data do Caixa Previsto]]="",0,MONTH(RegistroSaidas[[#This Row],[Data do Caixa Previsto]]))</f>
        <v>11</v>
      </c>
      <c r="N139" s="38">
        <f xml:space="preserve"> IF(RegistroSaidas[[#This Row],[Data do Caixa Previsto]]="",0,YEAR(RegistroSaidas[[#This Row],[Data do Caixa Previsto]]))</f>
        <v>2018</v>
      </c>
      <c r="O139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140" spans="2:15" ht="20.100000000000001" customHeight="1" x14ac:dyDescent="0.25">
      <c r="B140" s="9">
        <v>43377.659993656314</v>
      </c>
      <c r="C140" s="9">
        <v>43362</v>
      </c>
      <c r="D140" s="9">
        <v>43377.659993656314</v>
      </c>
      <c r="E140" t="s">
        <v>34</v>
      </c>
      <c r="F140" t="s">
        <v>33</v>
      </c>
      <c r="G140" t="s">
        <v>416</v>
      </c>
      <c r="H140" s="10">
        <v>4173</v>
      </c>
      <c r="I140">
        <f>IF(RegistroSaidas[[#This Row],[Data do Caixa Realizado]] = "", 0, MONTH(RegistroSaidas[[#This Row],[Data do Caixa Realizado]]))</f>
        <v>10</v>
      </c>
      <c r="J140">
        <f>IF(RegistroSaidas[[#This Row],[Data do Caixa Realizado]] = "",0,YEAR(RegistroSaidas[[#This Row],[Data do Caixa Realizado]]))</f>
        <v>2018</v>
      </c>
      <c r="K140" s="38">
        <f xml:space="preserve"> IF(RegistroSaidas[[#This Row],[Data da Competência]]="",0,MONTH(RegistroSaidas[[#This Row],[Data da Competência]]))</f>
        <v>9</v>
      </c>
      <c r="L140" s="38">
        <f xml:space="preserve"> IF(RegistroSaidas[[#This Row],[Data da Competência]]="",0,YEAR(RegistroSaidas[[#This Row],[Data da Competência]]))</f>
        <v>2018</v>
      </c>
      <c r="M140" s="38">
        <f xml:space="preserve"> IF(RegistroSaidas[[#This Row],[Data do Caixa Previsto]]="",0,MONTH(RegistroSaidas[[#This Row],[Data do Caixa Previsto]]))</f>
        <v>10</v>
      </c>
      <c r="N140" s="38">
        <f xml:space="preserve"> IF(RegistroSaidas[[#This Row],[Data do Caixa Previsto]]="",0,YEAR(RegistroSaidas[[#This Row],[Data do Caixa Previsto]]))</f>
        <v>2018</v>
      </c>
      <c r="O140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141" spans="2:15" ht="20.100000000000001" customHeight="1" x14ac:dyDescent="0.25">
      <c r="B141" s="9">
        <v>43375.186046774324</v>
      </c>
      <c r="C141" s="9">
        <v>43367</v>
      </c>
      <c r="D141" s="9">
        <v>43375.186046774324</v>
      </c>
      <c r="E141" t="s">
        <v>34</v>
      </c>
      <c r="F141" t="s">
        <v>29</v>
      </c>
      <c r="G141" t="s">
        <v>417</v>
      </c>
      <c r="H141" s="10">
        <v>2065</v>
      </c>
      <c r="I141">
        <f>IF(RegistroSaidas[[#This Row],[Data do Caixa Realizado]] = "", 0, MONTH(RegistroSaidas[[#This Row],[Data do Caixa Realizado]]))</f>
        <v>10</v>
      </c>
      <c r="J141">
        <f>IF(RegistroSaidas[[#This Row],[Data do Caixa Realizado]] = "",0,YEAR(RegistroSaidas[[#This Row],[Data do Caixa Realizado]]))</f>
        <v>2018</v>
      </c>
      <c r="K141" s="38">
        <f xml:space="preserve"> IF(RegistroSaidas[[#This Row],[Data da Competência]]="",0,MONTH(RegistroSaidas[[#This Row],[Data da Competência]]))</f>
        <v>9</v>
      </c>
      <c r="L141" s="38">
        <f xml:space="preserve"> IF(RegistroSaidas[[#This Row],[Data da Competência]]="",0,YEAR(RegistroSaidas[[#This Row],[Data da Competência]]))</f>
        <v>2018</v>
      </c>
      <c r="M141" s="38">
        <f xml:space="preserve"> IF(RegistroSaidas[[#This Row],[Data do Caixa Previsto]]="",0,MONTH(RegistroSaidas[[#This Row],[Data do Caixa Previsto]]))</f>
        <v>10</v>
      </c>
      <c r="N141" s="38">
        <f xml:space="preserve"> IF(RegistroSaidas[[#This Row],[Data do Caixa Previsto]]="",0,YEAR(RegistroSaidas[[#This Row],[Data do Caixa Previsto]]))</f>
        <v>2018</v>
      </c>
      <c r="O141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142" spans="2:15" ht="20.100000000000001" customHeight="1" x14ac:dyDescent="0.25">
      <c r="B142" s="9">
        <v>43422.470077078746</v>
      </c>
      <c r="C142" s="9">
        <v>43371</v>
      </c>
      <c r="D142" s="9">
        <v>43422.470077078746</v>
      </c>
      <c r="E142" t="s">
        <v>34</v>
      </c>
      <c r="F142" t="s">
        <v>30</v>
      </c>
      <c r="G142" t="s">
        <v>418</v>
      </c>
      <c r="H142" s="10">
        <v>521</v>
      </c>
      <c r="I142">
        <f>IF(RegistroSaidas[[#This Row],[Data do Caixa Realizado]] = "", 0, MONTH(RegistroSaidas[[#This Row],[Data do Caixa Realizado]]))</f>
        <v>11</v>
      </c>
      <c r="J142">
        <f>IF(RegistroSaidas[[#This Row],[Data do Caixa Realizado]] = "",0,YEAR(RegistroSaidas[[#This Row],[Data do Caixa Realizado]]))</f>
        <v>2018</v>
      </c>
      <c r="K142" s="38">
        <f xml:space="preserve"> IF(RegistroSaidas[[#This Row],[Data da Competência]]="",0,MONTH(RegistroSaidas[[#This Row],[Data da Competência]]))</f>
        <v>9</v>
      </c>
      <c r="L142" s="38">
        <f xml:space="preserve"> IF(RegistroSaidas[[#This Row],[Data da Competência]]="",0,YEAR(RegistroSaidas[[#This Row],[Data da Competência]]))</f>
        <v>2018</v>
      </c>
      <c r="M142" s="38">
        <f xml:space="preserve"> IF(RegistroSaidas[[#This Row],[Data do Caixa Previsto]]="",0,MONTH(RegistroSaidas[[#This Row],[Data do Caixa Previsto]]))</f>
        <v>11</v>
      </c>
      <c r="N142" s="38">
        <f xml:space="preserve"> IF(RegistroSaidas[[#This Row],[Data do Caixa Previsto]]="",0,YEAR(RegistroSaidas[[#This Row],[Data do Caixa Previsto]]))</f>
        <v>2018</v>
      </c>
      <c r="O142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143" spans="2:15" ht="20.100000000000001" customHeight="1" x14ac:dyDescent="0.25">
      <c r="B143" s="9">
        <v>43417.82681558784</v>
      </c>
      <c r="C143" s="9">
        <v>43374</v>
      </c>
      <c r="D143" s="9">
        <v>43417.82681558784</v>
      </c>
      <c r="E143" t="s">
        <v>34</v>
      </c>
      <c r="F143" t="s">
        <v>30</v>
      </c>
      <c r="G143" t="s">
        <v>419</v>
      </c>
      <c r="H143" s="10">
        <v>819</v>
      </c>
      <c r="I143">
        <f>IF(RegistroSaidas[[#This Row],[Data do Caixa Realizado]] = "", 0, MONTH(RegistroSaidas[[#This Row],[Data do Caixa Realizado]]))</f>
        <v>11</v>
      </c>
      <c r="J143">
        <f>IF(RegistroSaidas[[#This Row],[Data do Caixa Realizado]] = "",0,YEAR(RegistroSaidas[[#This Row],[Data do Caixa Realizado]]))</f>
        <v>2018</v>
      </c>
      <c r="K143" s="38">
        <f xml:space="preserve"> IF(RegistroSaidas[[#This Row],[Data da Competência]]="",0,MONTH(RegistroSaidas[[#This Row],[Data da Competência]]))</f>
        <v>10</v>
      </c>
      <c r="L143" s="38">
        <f xml:space="preserve"> IF(RegistroSaidas[[#This Row],[Data da Competência]]="",0,YEAR(RegistroSaidas[[#This Row],[Data da Competência]]))</f>
        <v>2018</v>
      </c>
      <c r="M143" s="38">
        <f xml:space="preserve"> IF(RegistroSaidas[[#This Row],[Data do Caixa Previsto]]="",0,MONTH(RegistroSaidas[[#This Row],[Data do Caixa Previsto]]))</f>
        <v>11</v>
      </c>
      <c r="N143" s="38">
        <f xml:space="preserve"> IF(RegistroSaidas[[#This Row],[Data do Caixa Previsto]]="",0,YEAR(RegistroSaidas[[#This Row],[Data do Caixa Previsto]]))</f>
        <v>2018</v>
      </c>
      <c r="O143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144" spans="2:15" ht="20.100000000000001" customHeight="1" x14ac:dyDescent="0.25">
      <c r="B144" s="9">
        <v>43433.158712252123</v>
      </c>
      <c r="C144" s="9">
        <v>43377</v>
      </c>
      <c r="D144" s="9">
        <v>43433.158712252123</v>
      </c>
      <c r="E144" t="s">
        <v>34</v>
      </c>
      <c r="F144" t="s">
        <v>33</v>
      </c>
      <c r="G144" t="s">
        <v>420</v>
      </c>
      <c r="H144" s="10">
        <v>1260</v>
      </c>
      <c r="I144">
        <f>IF(RegistroSaidas[[#This Row],[Data do Caixa Realizado]] = "", 0, MONTH(RegistroSaidas[[#This Row],[Data do Caixa Realizado]]))</f>
        <v>11</v>
      </c>
      <c r="J144">
        <f>IF(RegistroSaidas[[#This Row],[Data do Caixa Realizado]] = "",0,YEAR(RegistroSaidas[[#This Row],[Data do Caixa Realizado]]))</f>
        <v>2018</v>
      </c>
      <c r="K144" s="38">
        <f xml:space="preserve"> IF(RegistroSaidas[[#This Row],[Data da Competência]]="",0,MONTH(RegistroSaidas[[#This Row],[Data da Competência]]))</f>
        <v>10</v>
      </c>
      <c r="L144" s="38">
        <f xml:space="preserve"> IF(RegistroSaidas[[#This Row],[Data da Competência]]="",0,YEAR(RegistroSaidas[[#This Row],[Data da Competência]]))</f>
        <v>2018</v>
      </c>
      <c r="M144" s="38">
        <f xml:space="preserve"> IF(RegistroSaidas[[#This Row],[Data do Caixa Previsto]]="",0,MONTH(RegistroSaidas[[#This Row],[Data do Caixa Previsto]]))</f>
        <v>11</v>
      </c>
      <c r="N144" s="38">
        <f xml:space="preserve"> IF(RegistroSaidas[[#This Row],[Data do Caixa Previsto]]="",0,YEAR(RegistroSaidas[[#This Row],[Data do Caixa Previsto]]))</f>
        <v>2018</v>
      </c>
      <c r="O144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145" spans="2:15" ht="20.100000000000001" customHeight="1" x14ac:dyDescent="0.25">
      <c r="B145" s="9">
        <v>43389.890057350683</v>
      </c>
      <c r="C145" s="9">
        <v>43383</v>
      </c>
      <c r="D145" s="9">
        <v>43389.890057350683</v>
      </c>
      <c r="E145" t="s">
        <v>34</v>
      </c>
      <c r="F145" t="s">
        <v>29</v>
      </c>
      <c r="G145" t="s">
        <v>421</v>
      </c>
      <c r="H145" s="10">
        <v>2998</v>
      </c>
      <c r="I145">
        <f>IF(RegistroSaidas[[#This Row],[Data do Caixa Realizado]] = "", 0, MONTH(RegistroSaidas[[#This Row],[Data do Caixa Realizado]]))</f>
        <v>10</v>
      </c>
      <c r="J145">
        <f>IF(RegistroSaidas[[#This Row],[Data do Caixa Realizado]] = "",0,YEAR(RegistroSaidas[[#This Row],[Data do Caixa Realizado]]))</f>
        <v>2018</v>
      </c>
      <c r="K145" s="38">
        <f xml:space="preserve"> IF(RegistroSaidas[[#This Row],[Data da Competência]]="",0,MONTH(RegistroSaidas[[#This Row],[Data da Competência]]))</f>
        <v>10</v>
      </c>
      <c r="L145" s="38">
        <f xml:space="preserve"> IF(RegistroSaidas[[#This Row],[Data da Competência]]="",0,YEAR(RegistroSaidas[[#This Row],[Data da Competência]]))</f>
        <v>2018</v>
      </c>
      <c r="M145" s="38">
        <f xml:space="preserve"> IF(RegistroSaidas[[#This Row],[Data do Caixa Previsto]]="",0,MONTH(RegistroSaidas[[#This Row],[Data do Caixa Previsto]]))</f>
        <v>10</v>
      </c>
      <c r="N145" s="38">
        <f xml:space="preserve"> IF(RegistroSaidas[[#This Row],[Data do Caixa Previsto]]="",0,YEAR(RegistroSaidas[[#This Row],[Data do Caixa Previsto]]))</f>
        <v>2018</v>
      </c>
      <c r="O145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146" spans="2:15" ht="20.100000000000001" customHeight="1" x14ac:dyDescent="0.25">
      <c r="B146" s="9">
        <v>43404.046693214259</v>
      </c>
      <c r="C146" s="9">
        <v>43385</v>
      </c>
      <c r="D146" s="9">
        <v>43404.046693214259</v>
      </c>
      <c r="E146" t="s">
        <v>34</v>
      </c>
      <c r="F146" t="s">
        <v>29</v>
      </c>
      <c r="G146" t="s">
        <v>422</v>
      </c>
      <c r="H146" s="10">
        <v>4287</v>
      </c>
      <c r="I146">
        <f>IF(RegistroSaidas[[#This Row],[Data do Caixa Realizado]] = "", 0, MONTH(RegistroSaidas[[#This Row],[Data do Caixa Realizado]]))</f>
        <v>10</v>
      </c>
      <c r="J146">
        <f>IF(RegistroSaidas[[#This Row],[Data do Caixa Realizado]] = "",0,YEAR(RegistroSaidas[[#This Row],[Data do Caixa Realizado]]))</f>
        <v>2018</v>
      </c>
      <c r="K146" s="38">
        <f xml:space="preserve"> IF(RegistroSaidas[[#This Row],[Data da Competência]]="",0,MONTH(RegistroSaidas[[#This Row],[Data da Competência]]))</f>
        <v>10</v>
      </c>
      <c r="L146" s="38">
        <f xml:space="preserve"> IF(RegistroSaidas[[#This Row],[Data da Competência]]="",0,YEAR(RegistroSaidas[[#This Row],[Data da Competência]]))</f>
        <v>2018</v>
      </c>
      <c r="M146" s="38">
        <f xml:space="preserve"> IF(RegistroSaidas[[#This Row],[Data do Caixa Previsto]]="",0,MONTH(RegistroSaidas[[#This Row],[Data do Caixa Previsto]]))</f>
        <v>10</v>
      </c>
      <c r="N146" s="38">
        <f xml:space="preserve"> IF(RegistroSaidas[[#This Row],[Data do Caixa Previsto]]="",0,YEAR(RegistroSaidas[[#This Row],[Data do Caixa Previsto]]))</f>
        <v>2018</v>
      </c>
      <c r="O146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147" spans="2:15" ht="20.100000000000001" customHeight="1" x14ac:dyDescent="0.25">
      <c r="B147" s="9">
        <v>43507.755970956488</v>
      </c>
      <c r="C147" s="9">
        <v>43387</v>
      </c>
      <c r="D147" s="9">
        <v>43428.148562697053</v>
      </c>
      <c r="E147" t="s">
        <v>34</v>
      </c>
      <c r="F147" t="s">
        <v>31</v>
      </c>
      <c r="G147" t="s">
        <v>423</v>
      </c>
      <c r="H147" s="10">
        <v>2015</v>
      </c>
      <c r="I147">
        <f>IF(RegistroSaidas[[#This Row],[Data do Caixa Realizado]] = "", 0, MONTH(RegistroSaidas[[#This Row],[Data do Caixa Realizado]]))</f>
        <v>2</v>
      </c>
      <c r="J147">
        <f>IF(RegistroSaidas[[#This Row],[Data do Caixa Realizado]] = "",0,YEAR(RegistroSaidas[[#This Row],[Data do Caixa Realizado]]))</f>
        <v>2019</v>
      </c>
      <c r="K147" s="38">
        <f xml:space="preserve"> IF(RegistroSaidas[[#This Row],[Data da Competência]]="",0,MONTH(RegistroSaidas[[#This Row],[Data da Competência]]))</f>
        <v>10</v>
      </c>
      <c r="L147" s="38">
        <f xml:space="preserve"> IF(RegistroSaidas[[#This Row],[Data da Competência]]="",0,YEAR(RegistroSaidas[[#This Row],[Data da Competência]]))</f>
        <v>2018</v>
      </c>
      <c r="M147" s="38">
        <f xml:space="preserve"> IF(RegistroSaidas[[#This Row],[Data do Caixa Previsto]]="",0,MONTH(RegistroSaidas[[#This Row],[Data do Caixa Previsto]]))</f>
        <v>11</v>
      </c>
      <c r="N147" s="38">
        <f xml:space="preserve"> IF(RegistroSaidas[[#This Row],[Data do Caixa Previsto]]="",0,YEAR(RegistroSaidas[[#This Row],[Data do Caixa Previsto]]))</f>
        <v>2018</v>
      </c>
      <c r="O147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79.607408259435033</v>
      </c>
    </row>
    <row r="148" spans="2:15" ht="20.100000000000001" customHeight="1" x14ac:dyDescent="0.25">
      <c r="B148" s="9">
        <v>43449.211879770926</v>
      </c>
      <c r="C148" s="9">
        <v>43393</v>
      </c>
      <c r="D148" s="9">
        <v>43449.211879770926</v>
      </c>
      <c r="E148" t="s">
        <v>34</v>
      </c>
      <c r="F148" t="s">
        <v>31</v>
      </c>
      <c r="G148" t="s">
        <v>424</v>
      </c>
      <c r="H148" s="10">
        <v>3369</v>
      </c>
      <c r="I148">
        <f>IF(RegistroSaidas[[#This Row],[Data do Caixa Realizado]] = "", 0, MONTH(RegistroSaidas[[#This Row],[Data do Caixa Realizado]]))</f>
        <v>12</v>
      </c>
      <c r="J148">
        <f>IF(RegistroSaidas[[#This Row],[Data do Caixa Realizado]] = "",0,YEAR(RegistroSaidas[[#This Row],[Data do Caixa Realizado]]))</f>
        <v>2018</v>
      </c>
      <c r="K148" s="38">
        <f xml:space="preserve"> IF(RegistroSaidas[[#This Row],[Data da Competência]]="",0,MONTH(RegistroSaidas[[#This Row],[Data da Competência]]))</f>
        <v>10</v>
      </c>
      <c r="L148" s="38">
        <f xml:space="preserve"> IF(RegistroSaidas[[#This Row],[Data da Competência]]="",0,YEAR(RegistroSaidas[[#This Row],[Data da Competência]]))</f>
        <v>2018</v>
      </c>
      <c r="M148" s="38">
        <f xml:space="preserve"> IF(RegistroSaidas[[#This Row],[Data do Caixa Previsto]]="",0,MONTH(RegistroSaidas[[#This Row],[Data do Caixa Previsto]]))</f>
        <v>12</v>
      </c>
      <c r="N148" s="38">
        <f xml:space="preserve"> IF(RegistroSaidas[[#This Row],[Data do Caixa Previsto]]="",0,YEAR(RegistroSaidas[[#This Row],[Data do Caixa Previsto]]))</f>
        <v>2018</v>
      </c>
      <c r="O148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149" spans="2:15" ht="20.100000000000001" customHeight="1" x14ac:dyDescent="0.25">
      <c r="B149" s="9">
        <v>43404.811332468627</v>
      </c>
      <c r="C149" s="9">
        <v>43394</v>
      </c>
      <c r="D149" s="9">
        <v>43404.811332468627</v>
      </c>
      <c r="E149" t="s">
        <v>34</v>
      </c>
      <c r="F149" t="s">
        <v>40</v>
      </c>
      <c r="G149" t="s">
        <v>425</v>
      </c>
      <c r="H149" s="10">
        <v>4851</v>
      </c>
      <c r="I149">
        <f>IF(RegistroSaidas[[#This Row],[Data do Caixa Realizado]] = "", 0, MONTH(RegistroSaidas[[#This Row],[Data do Caixa Realizado]]))</f>
        <v>10</v>
      </c>
      <c r="J149">
        <f>IF(RegistroSaidas[[#This Row],[Data do Caixa Realizado]] = "",0,YEAR(RegistroSaidas[[#This Row],[Data do Caixa Realizado]]))</f>
        <v>2018</v>
      </c>
      <c r="K149" s="38">
        <f xml:space="preserve"> IF(RegistroSaidas[[#This Row],[Data da Competência]]="",0,MONTH(RegistroSaidas[[#This Row],[Data da Competência]]))</f>
        <v>10</v>
      </c>
      <c r="L149" s="38">
        <f xml:space="preserve"> IF(RegistroSaidas[[#This Row],[Data da Competência]]="",0,YEAR(RegistroSaidas[[#This Row],[Data da Competência]]))</f>
        <v>2018</v>
      </c>
      <c r="M149" s="38">
        <f xml:space="preserve"> IF(RegistroSaidas[[#This Row],[Data do Caixa Previsto]]="",0,MONTH(RegistroSaidas[[#This Row],[Data do Caixa Previsto]]))</f>
        <v>10</v>
      </c>
      <c r="N149" s="38">
        <f xml:space="preserve"> IF(RegistroSaidas[[#This Row],[Data do Caixa Previsto]]="",0,YEAR(RegistroSaidas[[#This Row],[Data do Caixa Previsto]]))</f>
        <v>2018</v>
      </c>
      <c r="O149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150" spans="2:15" ht="20.100000000000001" customHeight="1" x14ac:dyDescent="0.25">
      <c r="B150" s="9">
        <v>43456.031618147535</v>
      </c>
      <c r="C150" s="9">
        <v>43398</v>
      </c>
      <c r="D150" s="9">
        <v>43449.013472196442</v>
      </c>
      <c r="E150" t="s">
        <v>34</v>
      </c>
      <c r="F150" t="s">
        <v>40</v>
      </c>
      <c r="G150" t="s">
        <v>426</v>
      </c>
      <c r="H150" s="10">
        <v>2178</v>
      </c>
      <c r="I150">
        <f>IF(RegistroSaidas[[#This Row],[Data do Caixa Realizado]] = "", 0, MONTH(RegistroSaidas[[#This Row],[Data do Caixa Realizado]]))</f>
        <v>12</v>
      </c>
      <c r="J150">
        <f>IF(RegistroSaidas[[#This Row],[Data do Caixa Realizado]] = "",0,YEAR(RegistroSaidas[[#This Row],[Data do Caixa Realizado]]))</f>
        <v>2018</v>
      </c>
      <c r="K150" s="38">
        <f xml:space="preserve"> IF(RegistroSaidas[[#This Row],[Data da Competência]]="",0,MONTH(RegistroSaidas[[#This Row],[Data da Competência]]))</f>
        <v>10</v>
      </c>
      <c r="L150" s="38">
        <f xml:space="preserve"> IF(RegistroSaidas[[#This Row],[Data da Competência]]="",0,YEAR(RegistroSaidas[[#This Row],[Data da Competência]]))</f>
        <v>2018</v>
      </c>
      <c r="M150" s="38">
        <f xml:space="preserve"> IF(RegistroSaidas[[#This Row],[Data do Caixa Previsto]]="",0,MONTH(RegistroSaidas[[#This Row],[Data do Caixa Previsto]]))</f>
        <v>12</v>
      </c>
      <c r="N150" s="38">
        <f xml:space="preserve"> IF(RegistroSaidas[[#This Row],[Data do Caixa Previsto]]="",0,YEAR(RegistroSaidas[[#This Row],[Data do Caixa Previsto]]))</f>
        <v>2018</v>
      </c>
      <c r="O150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7.0181459510931745</v>
      </c>
    </row>
    <row r="151" spans="2:15" ht="20.100000000000001" customHeight="1" x14ac:dyDescent="0.25">
      <c r="B151" s="9">
        <v>43424.062053727328</v>
      </c>
      <c r="C151" s="9">
        <v>43400</v>
      </c>
      <c r="D151" s="9">
        <v>43424.062053727328</v>
      </c>
      <c r="E151" t="s">
        <v>34</v>
      </c>
      <c r="F151" t="s">
        <v>31</v>
      </c>
      <c r="G151" t="s">
        <v>427</v>
      </c>
      <c r="H151" s="10">
        <v>4052</v>
      </c>
      <c r="I151">
        <f>IF(RegistroSaidas[[#This Row],[Data do Caixa Realizado]] = "", 0, MONTH(RegistroSaidas[[#This Row],[Data do Caixa Realizado]]))</f>
        <v>11</v>
      </c>
      <c r="J151">
        <f>IF(RegistroSaidas[[#This Row],[Data do Caixa Realizado]] = "",0,YEAR(RegistroSaidas[[#This Row],[Data do Caixa Realizado]]))</f>
        <v>2018</v>
      </c>
      <c r="K151" s="38">
        <f xml:space="preserve"> IF(RegistroSaidas[[#This Row],[Data da Competência]]="",0,MONTH(RegistroSaidas[[#This Row],[Data da Competência]]))</f>
        <v>10</v>
      </c>
      <c r="L151" s="38">
        <f xml:space="preserve"> IF(RegistroSaidas[[#This Row],[Data da Competência]]="",0,YEAR(RegistroSaidas[[#This Row],[Data da Competência]]))</f>
        <v>2018</v>
      </c>
      <c r="M151" s="38">
        <f xml:space="preserve"> IF(RegistroSaidas[[#This Row],[Data do Caixa Previsto]]="",0,MONTH(RegistroSaidas[[#This Row],[Data do Caixa Previsto]]))</f>
        <v>11</v>
      </c>
      <c r="N151" s="38">
        <f xml:space="preserve"> IF(RegistroSaidas[[#This Row],[Data do Caixa Previsto]]="",0,YEAR(RegistroSaidas[[#This Row],[Data do Caixa Previsto]]))</f>
        <v>2018</v>
      </c>
      <c r="O151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152" spans="2:15" ht="20.100000000000001" customHeight="1" x14ac:dyDescent="0.25">
      <c r="B152" s="9">
        <v>43420.587272347206</v>
      </c>
      <c r="C152" s="9">
        <v>43403</v>
      </c>
      <c r="D152" s="9">
        <v>43420.587272347206</v>
      </c>
      <c r="E152" t="s">
        <v>34</v>
      </c>
      <c r="F152" t="s">
        <v>29</v>
      </c>
      <c r="G152" t="s">
        <v>428</v>
      </c>
      <c r="H152" s="10">
        <v>2864</v>
      </c>
      <c r="I152">
        <f>IF(RegistroSaidas[[#This Row],[Data do Caixa Realizado]] = "", 0, MONTH(RegistroSaidas[[#This Row],[Data do Caixa Realizado]]))</f>
        <v>11</v>
      </c>
      <c r="J152">
        <f>IF(RegistroSaidas[[#This Row],[Data do Caixa Realizado]] = "",0,YEAR(RegistroSaidas[[#This Row],[Data do Caixa Realizado]]))</f>
        <v>2018</v>
      </c>
      <c r="K152" s="38">
        <f xml:space="preserve"> IF(RegistroSaidas[[#This Row],[Data da Competência]]="",0,MONTH(RegistroSaidas[[#This Row],[Data da Competência]]))</f>
        <v>10</v>
      </c>
      <c r="L152" s="38">
        <f xml:space="preserve"> IF(RegistroSaidas[[#This Row],[Data da Competência]]="",0,YEAR(RegistroSaidas[[#This Row],[Data da Competência]]))</f>
        <v>2018</v>
      </c>
      <c r="M152" s="38">
        <f xml:space="preserve"> IF(RegistroSaidas[[#This Row],[Data do Caixa Previsto]]="",0,MONTH(RegistroSaidas[[#This Row],[Data do Caixa Previsto]]))</f>
        <v>11</v>
      </c>
      <c r="N152" s="38">
        <f xml:space="preserve"> IF(RegistroSaidas[[#This Row],[Data do Caixa Previsto]]="",0,YEAR(RegistroSaidas[[#This Row],[Data do Caixa Previsto]]))</f>
        <v>2018</v>
      </c>
      <c r="O152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153" spans="2:15" ht="20.100000000000001" customHeight="1" x14ac:dyDescent="0.25">
      <c r="B153" s="9">
        <v>43461.891878681301</v>
      </c>
      <c r="C153" s="9">
        <v>43405</v>
      </c>
      <c r="D153" s="9">
        <v>43461.891878681301</v>
      </c>
      <c r="E153" t="s">
        <v>34</v>
      </c>
      <c r="F153" t="s">
        <v>40</v>
      </c>
      <c r="G153" t="s">
        <v>429</v>
      </c>
      <c r="H153" s="10">
        <v>2425</v>
      </c>
      <c r="I153">
        <f>IF(RegistroSaidas[[#This Row],[Data do Caixa Realizado]] = "", 0, MONTH(RegistroSaidas[[#This Row],[Data do Caixa Realizado]]))</f>
        <v>12</v>
      </c>
      <c r="J153">
        <f>IF(RegistroSaidas[[#This Row],[Data do Caixa Realizado]] = "",0,YEAR(RegistroSaidas[[#This Row],[Data do Caixa Realizado]]))</f>
        <v>2018</v>
      </c>
      <c r="K153" s="38">
        <f xml:space="preserve"> IF(RegistroSaidas[[#This Row],[Data da Competência]]="",0,MONTH(RegistroSaidas[[#This Row],[Data da Competência]]))</f>
        <v>11</v>
      </c>
      <c r="L153" s="38">
        <f xml:space="preserve"> IF(RegistroSaidas[[#This Row],[Data da Competência]]="",0,YEAR(RegistroSaidas[[#This Row],[Data da Competência]]))</f>
        <v>2018</v>
      </c>
      <c r="M153" s="38">
        <f xml:space="preserve"> IF(RegistroSaidas[[#This Row],[Data do Caixa Previsto]]="",0,MONTH(RegistroSaidas[[#This Row],[Data do Caixa Previsto]]))</f>
        <v>12</v>
      </c>
      <c r="N153" s="38">
        <f xml:space="preserve"> IF(RegistroSaidas[[#This Row],[Data do Caixa Previsto]]="",0,YEAR(RegistroSaidas[[#This Row],[Data do Caixa Previsto]]))</f>
        <v>2018</v>
      </c>
      <c r="O153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154" spans="2:15" ht="20.100000000000001" customHeight="1" x14ac:dyDescent="0.25">
      <c r="B154" s="9">
        <v>43491.131651867006</v>
      </c>
      <c r="C154" s="9">
        <v>43407</v>
      </c>
      <c r="D154" s="9">
        <v>43466.552162254069</v>
      </c>
      <c r="E154" t="s">
        <v>34</v>
      </c>
      <c r="F154" t="s">
        <v>29</v>
      </c>
      <c r="G154" t="s">
        <v>347</v>
      </c>
      <c r="H154" s="10">
        <v>1542</v>
      </c>
      <c r="I154">
        <f>IF(RegistroSaidas[[#This Row],[Data do Caixa Realizado]] = "", 0, MONTH(RegistroSaidas[[#This Row],[Data do Caixa Realizado]]))</f>
        <v>1</v>
      </c>
      <c r="J154">
        <f>IF(RegistroSaidas[[#This Row],[Data do Caixa Realizado]] = "",0,YEAR(RegistroSaidas[[#This Row],[Data do Caixa Realizado]]))</f>
        <v>2019</v>
      </c>
      <c r="K154" s="38">
        <f xml:space="preserve"> IF(RegistroSaidas[[#This Row],[Data da Competência]]="",0,MONTH(RegistroSaidas[[#This Row],[Data da Competência]]))</f>
        <v>11</v>
      </c>
      <c r="L154" s="38">
        <f xml:space="preserve"> IF(RegistroSaidas[[#This Row],[Data da Competência]]="",0,YEAR(RegistroSaidas[[#This Row],[Data da Competência]]))</f>
        <v>2018</v>
      </c>
      <c r="M154" s="38">
        <f xml:space="preserve"> IF(RegistroSaidas[[#This Row],[Data do Caixa Previsto]]="",0,MONTH(RegistroSaidas[[#This Row],[Data do Caixa Previsto]]))</f>
        <v>1</v>
      </c>
      <c r="N154" s="38">
        <f xml:space="preserve"> IF(RegistroSaidas[[#This Row],[Data do Caixa Previsto]]="",0,YEAR(RegistroSaidas[[#This Row],[Data do Caixa Previsto]]))</f>
        <v>2019</v>
      </c>
      <c r="O154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24.579489612937323</v>
      </c>
    </row>
    <row r="155" spans="2:15" ht="20.100000000000001" customHeight="1" x14ac:dyDescent="0.25">
      <c r="B155" s="9">
        <v>43446.7351960983</v>
      </c>
      <c r="C155" s="9">
        <v>43412</v>
      </c>
      <c r="D155" s="9">
        <v>43446.7351960983</v>
      </c>
      <c r="E155" t="s">
        <v>34</v>
      </c>
      <c r="F155" t="s">
        <v>40</v>
      </c>
      <c r="G155" t="s">
        <v>430</v>
      </c>
      <c r="H155" s="10">
        <v>1736</v>
      </c>
      <c r="I155">
        <f>IF(RegistroSaidas[[#This Row],[Data do Caixa Realizado]] = "", 0, MONTH(RegistroSaidas[[#This Row],[Data do Caixa Realizado]]))</f>
        <v>12</v>
      </c>
      <c r="J155">
        <f>IF(RegistroSaidas[[#This Row],[Data do Caixa Realizado]] = "",0,YEAR(RegistroSaidas[[#This Row],[Data do Caixa Realizado]]))</f>
        <v>2018</v>
      </c>
      <c r="K155" s="38">
        <f xml:space="preserve"> IF(RegistroSaidas[[#This Row],[Data da Competência]]="",0,MONTH(RegistroSaidas[[#This Row],[Data da Competência]]))</f>
        <v>11</v>
      </c>
      <c r="L155" s="38">
        <f xml:space="preserve"> IF(RegistroSaidas[[#This Row],[Data da Competência]]="",0,YEAR(RegistroSaidas[[#This Row],[Data da Competência]]))</f>
        <v>2018</v>
      </c>
      <c r="M155" s="38">
        <f xml:space="preserve"> IF(RegistroSaidas[[#This Row],[Data do Caixa Previsto]]="",0,MONTH(RegistroSaidas[[#This Row],[Data do Caixa Previsto]]))</f>
        <v>12</v>
      </c>
      <c r="N155" s="38">
        <f xml:space="preserve"> IF(RegistroSaidas[[#This Row],[Data do Caixa Previsto]]="",0,YEAR(RegistroSaidas[[#This Row],[Data do Caixa Previsto]]))</f>
        <v>2018</v>
      </c>
      <c r="O155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156" spans="2:15" ht="20.100000000000001" customHeight="1" x14ac:dyDescent="0.25">
      <c r="B156" s="9">
        <v>43474.679630611819</v>
      </c>
      <c r="C156" s="9">
        <v>43415</v>
      </c>
      <c r="D156" s="9">
        <v>43474.679630611819</v>
      </c>
      <c r="E156" t="s">
        <v>34</v>
      </c>
      <c r="F156" t="s">
        <v>30</v>
      </c>
      <c r="G156" t="s">
        <v>431</v>
      </c>
      <c r="H156" s="10">
        <v>1628</v>
      </c>
      <c r="I156">
        <f>IF(RegistroSaidas[[#This Row],[Data do Caixa Realizado]] = "", 0, MONTH(RegistroSaidas[[#This Row],[Data do Caixa Realizado]]))</f>
        <v>1</v>
      </c>
      <c r="J156">
        <f>IF(RegistroSaidas[[#This Row],[Data do Caixa Realizado]] = "",0,YEAR(RegistroSaidas[[#This Row],[Data do Caixa Realizado]]))</f>
        <v>2019</v>
      </c>
      <c r="K156" s="38">
        <f xml:space="preserve"> IF(RegistroSaidas[[#This Row],[Data da Competência]]="",0,MONTH(RegistroSaidas[[#This Row],[Data da Competência]]))</f>
        <v>11</v>
      </c>
      <c r="L156" s="38">
        <f xml:space="preserve"> IF(RegistroSaidas[[#This Row],[Data da Competência]]="",0,YEAR(RegistroSaidas[[#This Row],[Data da Competência]]))</f>
        <v>2018</v>
      </c>
      <c r="M156" s="38">
        <f xml:space="preserve"> IF(RegistroSaidas[[#This Row],[Data do Caixa Previsto]]="",0,MONTH(RegistroSaidas[[#This Row],[Data do Caixa Previsto]]))</f>
        <v>1</v>
      </c>
      <c r="N156" s="38">
        <f xml:space="preserve"> IF(RegistroSaidas[[#This Row],[Data do Caixa Previsto]]="",0,YEAR(RegistroSaidas[[#This Row],[Data do Caixa Previsto]]))</f>
        <v>2019</v>
      </c>
      <c r="O156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157" spans="2:15" ht="20.100000000000001" customHeight="1" x14ac:dyDescent="0.25">
      <c r="B157" s="9">
        <v>43420.10775852378</v>
      </c>
      <c r="C157" s="9">
        <v>43417</v>
      </c>
      <c r="D157" s="9">
        <v>43420.10775852378</v>
      </c>
      <c r="E157" t="s">
        <v>34</v>
      </c>
      <c r="F157" t="s">
        <v>40</v>
      </c>
      <c r="G157" t="s">
        <v>432</v>
      </c>
      <c r="H157" s="10">
        <v>3853</v>
      </c>
      <c r="I157">
        <f>IF(RegistroSaidas[[#This Row],[Data do Caixa Realizado]] = "", 0, MONTH(RegistroSaidas[[#This Row],[Data do Caixa Realizado]]))</f>
        <v>11</v>
      </c>
      <c r="J157">
        <f>IF(RegistroSaidas[[#This Row],[Data do Caixa Realizado]] = "",0,YEAR(RegistroSaidas[[#This Row],[Data do Caixa Realizado]]))</f>
        <v>2018</v>
      </c>
      <c r="K157" s="38">
        <f xml:space="preserve"> IF(RegistroSaidas[[#This Row],[Data da Competência]]="",0,MONTH(RegistroSaidas[[#This Row],[Data da Competência]]))</f>
        <v>11</v>
      </c>
      <c r="L157" s="38">
        <f xml:space="preserve"> IF(RegistroSaidas[[#This Row],[Data da Competência]]="",0,YEAR(RegistroSaidas[[#This Row],[Data da Competência]]))</f>
        <v>2018</v>
      </c>
      <c r="M157" s="38">
        <f xml:space="preserve"> IF(RegistroSaidas[[#This Row],[Data do Caixa Previsto]]="",0,MONTH(RegistroSaidas[[#This Row],[Data do Caixa Previsto]]))</f>
        <v>11</v>
      </c>
      <c r="N157" s="38">
        <f xml:space="preserve"> IF(RegistroSaidas[[#This Row],[Data do Caixa Previsto]]="",0,YEAR(RegistroSaidas[[#This Row],[Data do Caixa Previsto]]))</f>
        <v>2018</v>
      </c>
      <c r="O157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158" spans="2:15" ht="20.100000000000001" customHeight="1" x14ac:dyDescent="0.25">
      <c r="B158" s="9">
        <v>43451.20401159949</v>
      </c>
      <c r="C158" s="9">
        <v>43421</v>
      </c>
      <c r="D158" s="9">
        <v>43451.20401159949</v>
      </c>
      <c r="E158" t="s">
        <v>34</v>
      </c>
      <c r="F158" t="s">
        <v>30</v>
      </c>
      <c r="G158" t="s">
        <v>433</v>
      </c>
      <c r="H158" s="10">
        <v>883</v>
      </c>
      <c r="I158">
        <f>IF(RegistroSaidas[[#This Row],[Data do Caixa Realizado]] = "", 0, MONTH(RegistroSaidas[[#This Row],[Data do Caixa Realizado]]))</f>
        <v>12</v>
      </c>
      <c r="J158">
        <f>IF(RegistroSaidas[[#This Row],[Data do Caixa Realizado]] = "",0,YEAR(RegistroSaidas[[#This Row],[Data do Caixa Realizado]]))</f>
        <v>2018</v>
      </c>
      <c r="K158" s="38">
        <f xml:space="preserve"> IF(RegistroSaidas[[#This Row],[Data da Competência]]="",0,MONTH(RegistroSaidas[[#This Row],[Data da Competência]]))</f>
        <v>11</v>
      </c>
      <c r="L158" s="38">
        <f xml:space="preserve"> IF(RegistroSaidas[[#This Row],[Data da Competência]]="",0,YEAR(RegistroSaidas[[#This Row],[Data da Competência]]))</f>
        <v>2018</v>
      </c>
      <c r="M158" s="38">
        <f xml:space="preserve"> IF(RegistroSaidas[[#This Row],[Data do Caixa Previsto]]="",0,MONTH(RegistroSaidas[[#This Row],[Data do Caixa Previsto]]))</f>
        <v>12</v>
      </c>
      <c r="N158" s="38">
        <f xml:space="preserve"> IF(RegistroSaidas[[#This Row],[Data do Caixa Previsto]]="",0,YEAR(RegistroSaidas[[#This Row],[Data do Caixa Previsto]]))</f>
        <v>2018</v>
      </c>
      <c r="O158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159" spans="2:15" ht="20.100000000000001" customHeight="1" x14ac:dyDescent="0.25">
      <c r="B159" s="9">
        <v>43441.762171101494</v>
      </c>
      <c r="C159" s="9">
        <v>43421</v>
      </c>
      <c r="D159" s="9">
        <v>43441.762171101494</v>
      </c>
      <c r="E159" t="s">
        <v>34</v>
      </c>
      <c r="F159" t="s">
        <v>40</v>
      </c>
      <c r="G159" t="s">
        <v>434</v>
      </c>
      <c r="H159" s="10">
        <v>976</v>
      </c>
      <c r="I159">
        <f>IF(RegistroSaidas[[#This Row],[Data do Caixa Realizado]] = "", 0, MONTH(RegistroSaidas[[#This Row],[Data do Caixa Realizado]]))</f>
        <v>12</v>
      </c>
      <c r="J159">
        <f>IF(RegistroSaidas[[#This Row],[Data do Caixa Realizado]] = "",0,YEAR(RegistroSaidas[[#This Row],[Data do Caixa Realizado]]))</f>
        <v>2018</v>
      </c>
      <c r="K159" s="38">
        <f xml:space="preserve"> IF(RegistroSaidas[[#This Row],[Data da Competência]]="",0,MONTH(RegistroSaidas[[#This Row],[Data da Competência]]))</f>
        <v>11</v>
      </c>
      <c r="L159" s="38">
        <f xml:space="preserve"> IF(RegistroSaidas[[#This Row],[Data da Competência]]="",0,YEAR(RegistroSaidas[[#This Row],[Data da Competência]]))</f>
        <v>2018</v>
      </c>
      <c r="M159" s="38">
        <f xml:space="preserve"> IF(RegistroSaidas[[#This Row],[Data do Caixa Previsto]]="",0,MONTH(RegistroSaidas[[#This Row],[Data do Caixa Previsto]]))</f>
        <v>12</v>
      </c>
      <c r="N159" s="38">
        <f xml:space="preserve"> IF(RegistroSaidas[[#This Row],[Data do Caixa Previsto]]="",0,YEAR(RegistroSaidas[[#This Row],[Data do Caixa Previsto]]))</f>
        <v>2018</v>
      </c>
      <c r="O159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160" spans="2:15" ht="20.100000000000001" customHeight="1" x14ac:dyDescent="0.25">
      <c r="B160" s="9">
        <v>43465.942395888327</v>
      </c>
      <c r="C160" s="9">
        <v>43424</v>
      </c>
      <c r="D160" s="9">
        <v>43465.942395888327</v>
      </c>
      <c r="E160" t="s">
        <v>34</v>
      </c>
      <c r="F160" t="s">
        <v>30</v>
      </c>
      <c r="G160" t="s">
        <v>435</v>
      </c>
      <c r="H160" s="10">
        <v>2663</v>
      </c>
      <c r="I160">
        <f>IF(RegistroSaidas[[#This Row],[Data do Caixa Realizado]] = "", 0, MONTH(RegistroSaidas[[#This Row],[Data do Caixa Realizado]]))</f>
        <v>12</v>
      </c>
      <c r="J160">
        <f>IF(RegistroSaidas[[#This Row],[Data do Caixa Realizado]] = "",0,YEAR(RegistroSaidas[[#This Row],[Data do Caixa Realizado]]))</f>
        <v>2018</v>
      </c>
      <c r="K160" s="38">
        <f xml:space="preserve"> IF(RegistroSaidas[[#This Row],[Data da Competência]]="",0,MONTH(RegistroSaidas[[#This Row],[Data da Competência]]))</f>
        <v>11</v>
      </c>
      <c r="L160" s="38">
        <f xml:space="preserve"> IF(RegistroSaidas[[#This Row],[Data da Competência]]="",0,YEAR(RegistroSaidas[[#This Row],[Data da Competência]]))</f>
        <v>2018</v>
      </c>
      <c r="M160" s="38">
        <f xml:space="preserve"> IF(RegistroSaidas[[#This Row],[Data do Caixa Previsto]]="",0,MONTH(RegistroSaidas[[#This Row],[Data do Caixa Previsto]]))</f>
        <v>12</v>
      </c>
      <c r="N160" s="38">
        <f xml:space="preserve"> IF(RegistroSaidas[[#This Row],[Data do Caixa Previsto]]="",0,YEAR(RegistroSaidas[[#This Row],[Data do Caixa Previsto]]))</f>
        <v>2018</v>
      </c>
      <c r="O160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161" spans="2:15" ht="20.100000000000001" customHeight="1" x14ac:dyDescent="0.25">
      <c r="B161" s="9">
        <v>43430.953637786966</v>
      </c>
      <c r="C161" s="9">
        <v>43430</v>
      </c>
      <c r="D161" s="9">
        <v>43430.953637786966</v>
      </c>
      <c r="E161" t="s">
        <v>34</v>
      </c>
      <c r="F161" t="s">
        <v>40</v>
      </c>
      <c r="G161" t="s">
        <v>436</v>
      </c>
      <c r="H161" s="10">
        <v>4888</v>
      </c>
      <c r="I161">
        <f>IF(RegistroSaidas[[#This Row],[Data do Caixa Realizado]] = "", 0, MONTH(RegistroSaidas[[#This Row],[Data do Caixa Realizado]]))</f>
        <v>11</v>
      </c>
      <c r="J161">
        <f>IF(RegistroSaidas[[#This Row],[Data do Caixa Realizado]] = "",0,YEAR(RegistroSaidas[[#This Row],[Data do Caixa Realizado]]))</f>
        <v>2018</v>
      </c>
      <c r="K161" s="38">
        <f xml:space="preserve"> IF(RegistroSaidas[[#This Row],[Data da Competência]]="",0,MONTH(RegistroSaidas[[#This Row],[Data da Competência]]))</f>
        <v>11</v>
      </c>
      <c r="L161" s="38">
        <f xml:space="preserve"> IF(RegistroSaidas[[#This Row],[Data da Competência]]="",0,YEAR(RegistroSaidas[[#This Row],[Data da Competência]]))</f>
        <v>2018</v>
      </c>
      <c r="M161" s="38">
        <f xml:space="preserve"> IF(RegistroSaidas[[#This Row],[Data do Caixa Previsto]]="",0,MONTH(RegistroSaidas[[#This Row],[Data do Caixa Previsto]]))</f>
        <v>11</v>
      </c>
      <c r="N161" s="38">
        <f xml:space="preserve"> IF(RegistroSaidas[[#This Row],[Data do Caixa Previsto]]="",0,YEAR(RegistroSaidas[[#This Row],[Data do Caixa Previsto]]))</f>
        <v>2018</v>
      </c>
      <c r="O161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162" spans="2:15" ht="20.100000000000001" customHeight="1" x14ac:dyDescent="0.25">
      <c r="B162" s="9">
        <v>43517.76387190332</v>
      </c>
      <c r="C162" s="9">
        <v>43433</v>
      </c>
      <c r="D162" s="9">
        <v>43478.804327652433</v>
      </c>
      <c r="E162" t="s">
        <v>34</v>
      </c>
      <c r="F162" t="s">
        <v>30</v>
      </c>
      <c r="G162" t="s">
        <v>437</v>
      </c>
      <c r="H162" s="10">
        <v>2030</v>
      </c>
      <c r="I162">
        <f>IF(RegistroSaidas[[#This Row],[Data do Caixa Realizado]] = "", 0, MONTH(RegistroSaidas[[#This Row],[Data do Caixa Realizado]]))</f>
        <v>2</v>
      </c>
      <c r="J162">
        <f>IF(RegistroSaidas[[#This Row],[Data do Caixa Realizado]] = "",0,YEAR(RegistroSaidas[[#This Row],[Data do Caixa Realizado]]))</f>
        <v>2019</v>
      </c>
      <c r="K162" s="38">
        <f xml:space="preserve"> IF(RegistroSaidas[[#This Row],[Data da Competência]]="",0,MONTH(RegistroSaidas[[#This Row],[Data da Competência]]))</f>
        <v>11</v>
      </c>
      <c r="L162" s="38">
        <f xml:space="preserve"> IF(RegistroSaidas[[#This Row],[Data da Competência]]="",0,YEAR(RegistroSaidas[[#This Row],[Data da Competência]]))</f>
        <v>2018</v>
      </c>
      <c r="M162" s="38">
        <f xml:space="preserve"> IF(RegistroSaidas[[#This Row],[Data do Caixa Previsto]]="",0,MONTH(RegistroSaidas[[#This Row],[Data do Caixa Previsto]]))</f>
        <v>1</v>
      </c>
      <c r="N162" s="38">
        <f xml:space="preserve"> IF(RegistroSaidas[[#This Row],[Data do Caixa Previsto]]="",0,YEAR(RegistroSaidas[[#This Row],[Data do Caixa Previsto]]))</f>
        <v>2019</v>
      </c>
      <c r="O162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38.95954425088712</v>
      </c>
    </row>
    <row r="163" spans="2:15" ht="20.100000000000001" customHeight="1" x14ac:dyDescent="0.25">
      <c r="B163" s="9" t="s">
        <v>64</v>
      </c>
      <c r="C163" s="9">
        <v>43436</v>
      </c>
      <c r="D163" s="9">
        <v>43485.820929970221</v>
      </c>
      <c r="E163" t="s">
        <v>34</v>
      </c>
      <c r="F163" t="s">
        <v>40</v>
      </c>
      <c r="G163" t="s">
        <v>438</v>
      </c>
      <c r="H163" s="10">
        <v>2117</v>
      </c>
      <c r="I163">
        <f>IF(RegistroSaidas[[#This Row],[Data do Caixa Realizado]] = "", 0, MONTH(RegistroSaidas[[#This Row],[Data do Caixa Realizado]]))</f>
        <v>0</v>
      </c>
      <c r="J163">
        <f>IF(RegistroSaidas[[#This Row],[Data do Caixa Realizado]] = "",0,YEAR(RegistroSaidas[[#This Row],[Data do Caixa Realizado]]))</f>
        <v>0</v>
      </c>
      <c r="K163" s="38">
        <f xml:space="preserve"> IF(RegistroSaidas[[#This Row],[Data da Competência]]="",0,MONTH(RegistroSaidas[[#This Row],[Data da Competência]]))</f>
        <v>12</v>
      </c>
      <c r="L163" s="38">
        <f xml:space="preserve"> IF(RegistroSaidas[[#This Row],[Data da Competência]]="",0,YEAR(RegistroSaidas[[#This Row],[Data da Competência]]))</f>
        <v>2018</v>
      </c>
      <c r="M163" s="38">
        <f xml:space="preserve"> IF(RegistroSaidas[[#This Row],[Data do Caixa Previsto]]="",0,MONTH(RegistroSaidas[[#This Row],[Data do Caixa Previsto]]))</f>
        <v>1</v>
      </c>
      <c r="N163" s="38">
        <f xml:space="preserve"> IF(RegistroSaidas[[#This Row],[Data do Caixa Previsto]]="",0,YEAR(RegistroSaidas[[#This Row],[Data do Caixa Previsto]]))</f>
        <v>2019</v>
      </c>
      <c r="O163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1730.1790700297788</v>
      </c>
    </row>
    <row r="164" spans="2:15" ht="20.100000000000001" customHeight="1" x14ac:dyDescent="0.25">
      <c r="B164" s="9">
        <v>43576.35130395602</v>
      </c>
      <c r="C164" s="9">
        <v>43438</v>
      </c>
      <c r="D164" s="9">
        <v>43494.750065134205</v>
      </c>
      <c r="E164" t="s">
        <v>34</v>
      </c>
      <c r="F164" t="s">
        <v>40</v>
      </c>
      <c r="G164" t="s">
        <v>439</v>
      </c>
      <c r="H164" s="10">
        <v>1236</v>
      </c>
      <c r="I164">
        <f>IF(RegistroSaidas[[#This Row],[Data do Caixa Realizado]] = "", 0, MONTH(RegistroSaidas[[#This Row],[Data do Caixa Realizado]]))</f>
        <v>4</v>
      </c>
      <c r="J164">
        <f>IF(RegistroSaidas[[#This Row],[Data do Caixa Realizado]] = "",0,YEAR(RegistroSaidas[[#This Row],[Data do Caixa Realizado]]))</f>
        <v>2019</v>
      </c>
      <c r="K164" s="38">
        <f xml:space="preserve"> IF(RegistroSaidas[[#This Row],[Data da Competência]]="",0,MONTH(RegistroSaidas[[#This Row],[Data da Competência]]))</f>
        <v>12</v>
      </c>
      <c r="L164" s="38">
        <f xml:space="preserve"> IF(RegistroSaidas[[#This Row],[Data da Competência]]="",0,YEAR(RegistroSaidas[[#This Row],[Data da Competência]]))</f>
        <v>2018</v>
      </c>
      <c r="M164" s="38">
        <f xml:space="preserve"> IF(RegistroSaidas[[#This Row],[Data do Caixa Previsto]]="",0,MONTH(RegistroSaidas[[#This Row],[Data do Caixa Previsto]]))</f>
        <v>1</v>
      </c>
      <c r="N164" s="38">
        <f xml:space="preserve"> IF(RegistroSaidas[[#This Row],[Data do Caixa Previsto]]="",0,YEAR(RegistroSaidas[[#This Row],[Data do Caixa Previsto]]))</f>
        <v>2019</v>
      </c>
      <c r="O164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81.601238821815059</v>
      </c>
    </row>
    <row r="165" spans="2:15" ht="20.100000000000001" customHeight="1" x14ac:dyDescent="0.25">
      <c r="B165" s="9">
        <v>43465.7468934922</v>
      </c>
      <c r="C165" s="9">
        <v>43443</v>
      </c>
      <c r="D165" s="9">
        <v>43465.7468934922</v>
      </c>
      <c r="E165" t="s">
        <v>34</v>
      </c>
      <c r="F165" t="s">
        <v>40</v>
      </c>
      <c r="G165" t="s">
        <v>440</v>
      </c>
      <c r="H165" s="10">
        <v>426</v>
      </c>
      <c r="I165">
        <f>IF(RegistroSaidas[[#This Row],[Data do Caixa Realizado]] = "", 0, MONTH(RegistroSaidas[[#This Row],[Data do Caixa Realizado]]))</f>
        <v>12</v>
      </c>
      <c r="J165">
        <f>IF(RegistroSaidas[[#This Row],[Data do Caixa Realizado]] = "",0,YEAR(RegistroSaidas[[#This Row],[Data do Caixa Realizado]]))</f>
        <v>2018</v>
      </c>
      <c r="K165" s="38">
        <f xml:space="preserve"> IF(RegistroSaidas[[#This Row],[Data da Competência]]="",0,MONTH(RegistroSaidas[[#This Row],[Data da Competência]]))</f>
        <v>12</v>
      </c>
      <c r="L165" s="38">
        <f xml:space="preserve"> IF(RegistroSaidas[[#This Row],[Data da Competência]]="",0,YEAR(RegistroSaidas[[#This Row],[Data da Competência]]))</f>
        <v>2018</v>
      </c>
      <c r="M165" s="38">
        <f xml:space="preserve"> IF(RegistroSaidas[[#This Row],[Data do Caixa Previsto]]="",0,MONTH(RegistroSaidas[[#This Row],[Data do Caixa Previsto]]))</f>
        <v>12</v>
      </c>
      <c r="N165" s="38">
        <f xml:space="preserve"> IF(RegistroSaidas[[#This Row],[Data do Caixa Previsto]]="",0,YEAR(RegistroSaidas[[#This Row],[Data do Caixa Previsto]]))</f>
        <v>2018</v>
      </c>
      <c r="O165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166" spans="2:15" ht="20.100000000000001" customHeight="1" x14ac:dyDescent="0.25">
      <c r="B166" s="9">
        <v>43465.107280855569</v>
      </c>
      <c r="C166" s="9">
        <v>43444</v>
      </c>
      <c r="D166" s="9">
        <v>43458.160574156776</v>
      </c>
      <c r="E166" t="s">
        <v>34</v>
      </c>
      <c r="F166" t="s">
        <v>29</v>
      </c>
      <c r="G166" t="s">
        <v>441</v>
      </c>
      <c r="H166" s="10">
        <v>3956</v>
      </c>
      <c r="I166">
        <f>IF(RegistroSaidas[[#This Row],[Data do Caixa Realizado]] = "", 0, MONTH(RegistroSaidas[[#This Row],[Data do Caixa Realizado]]))</f>
        <v>12</v>
      </c>
      <c r="J166">
        <f>IF(RegistroSaidas[[#This Row],[Data do Caixa Realizado]] = "",0,YEAR(RegistroSaidas[[#This Row],[Data do Caixa Realizado]]))</f>
        <v>2018</v>
      </c>
      <c r="K166" s="38">
        <f xml:space="preserve"> IF(RegistroSaidas[[#This Row],[Data da Competência]]="",0,MONTH(RegistroSaidas[[#This Row],[Data da Competência]]))</f>
        <v>12</v>
      </c>
      <c r="L166" s="38">
        <f xml:space="preserve"> IF(RegistroSaidas[[#This Row],[Data da Competência]]="",0,YEAR(RegistroSaidas[[#This Row],[Data da Competência]]))</f>
        <v>2018</v>
      </c>
      <c r="M166" s="38">
        <f xml:space="preserve"> IF(RegistroSaidas[[#This Row],[Data do Caixa Previsto]]="",0,MONTH(RegistroSaidas[[#This Row],[Data do Caixa Previsto]]))</f>
        <v>12</v>
      </c>
      <c r="N166" s="38">
        <f xml:space="preserve"> IF(RegistroSaidas[[#This Row],[Data do Caixa Previsto]]="",0,YEAR(RegistroSaidas[[#This Row],[Data do Caixa Previsto]]))</f>
        <v>2018</v>
      </c>
      <c r="O166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6.9467066987926955</v>
      </c>
    </row>
    <row r="167" spans="2:15" ht="20.100000000000001" customHeight="1" x14ac:dyDescent="0.25">
      <c r="B167" s="9" t="s">
        <v>64</v>
      </c>
      <c r="C167" s="9">
        <v>43448</v>
      </c>
      <c r="D167" s="9">
        <v>43480.746977784853</v>
      </c>
      <c r="E167" t="s">
        <v>34</v>
      </c>
      <c r="F167" t="s">
        <v>40</v>
      </c>
      <c r="G167" t="s">
        <v>442</v>
      </c>
      <c r="H167" s="10">
        <v>3042</v>
      </c>
      <c r="I167">
        <f>IF(RegistroSaidas[[#This Row],[Data do Caixa Realizado]] = "", 0, MONTH(RegistroSaidas[[#This Row],[Data do Caixa Realizado]]))</f>
        <v>0</v>
      </c>
      <c r="J167">
        <f>IF(RegistroSaidas[[#This Row],[Data do Caixa Realizado]] = "",0,YEAR(RegistroSaidas[[#This Row],[Data do Caixa Realizado]]))</f>
        <v>0</v>
      </c>
      <c r="K167" s="38">
        <f xml:space="preserve"> IF(RegistroSaidas[[#This Row],[Data da Competência]]="",0,MONTH(RegistroSaidas[[#This Row],[Data da Competência]]))</f>
        <v>12</v>
      </c>
      <c r="L167" s="38">
        <f xml:space="preserve"> IF(RegistroSaidas[[#This Row],[Data da Competência]]="",0,YEAR(RegistroSaidas[[#This Row],[Data da Competência]]))</f>
        <v>2018</v>
      </c>
      <c r="M167" s="38">
        <f xml:space="preserve"> IF(RegistroSaidas[[#This Row],[Data do Caixa Previsto]]="",0,MONTH(RegistroSaidas[[#This Row],[Data do Caixa Previsto]]))</f>
        <v>1</v>
      </c>
      <c r="N167" s="38">
        <f xml:space="preserve"> IF(RegistroSaidas[[#This Row],[Data do Caixa Previsto]]="",0,YEAR(RegistroSaidas[[#This Row],[Data do Caixa Previsto]]))</f>
        <v>2019</v>
      </c>
      <c r="O167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1735.2530222151472</v>
      </c>
    </row>
    <row r="168" spans="2:15" ht="20.100000000000001" customHeight="1" x14ac:dyDescent="0.25">
      <c r="B168" s="9">
        <v>43506.264597842761</v>
      </c>
      <c r="C168" s="9">
        <v>43449</v>
      </c>
      <c r="D168" s="9">
        <v>43489.335938548378</v>
      </c>
      <c r="E168" t="s">
        <v>34</v>
      </c>
      <c r="F168" t="s">
        <v>40</v>
      </c>
      <c r="G168" t="s">
        <v>443</v>
      </c>
      <c r="H168" s="10">
        <v>1434</v>
      </c>
      <c r="I168">
        <f>IF(RegistroSaidas[[#This Row],[Data do Caixa Realizado]] = "", 0, MONTH(RegistroSaidas[[#This Row],[Data do Caixa Realizado]]))</f>
        <v>2</v>
      </c>
      <c r="J168">
        <f>IF(RegistroSaidas[[#This Row],[Data do Caixa Realizado]] = "",0,YEAR(RegistroSaidas[[#This Row],[Data do Caixa Realizado]]))</f>
        <v>2019</v>
      </c>
      <c r="K168" s="38">
        <f xml:space="preserve"> IF(RegistroSaidas[[#This Row],[Data da Competência]]="",0,MONTH(RegistroSaidas[[#This Row],[Data da Competência]]))</f>
        <v>12</v>
      </c>
      <c r="L168" s="38">
        <f xml:space="preserve"> IF(RegistroSaidas[[#This Row],[Data da Competência]]="",0,YEAR(RegistroSaidas[[#This Row],[Data da Competência]]))</f>
        <v>2018</v>
      </c>
      <c r="M168" s="38">
        <f xml:space="preserve"> IF(RegistroSaidas[[#This Row],[Data do Caixa Previsto]]="",0,MONTH(RegistroSaidas[[#This Row],[Data do Caixa Previsto]]))</f>
        <v>1</v>
      </c>
      <c r="N168" s="38">
        <f xml:space="preserve"> IF(RegistroSaidas[[#This Row],[Data do Caixa Previsto]]="",0,YEAR(RegistroSaidas[[#This Row],[Data do Caixa Previsto]]))</f>
        <v>2019</v>
      </c>
      <c r="O168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16.928659294382669</v>
      </c>
    </row>
    <row r="169" spans="2:15" ht="20.100000000000001" customHeight="1" x14ac:dyDescent="0.25">
      <c r="B169" s="9">
        <v>43487.188431641203</v>
      </c>
      <c r="C169" s="9">
        <v>43452</v>
      </c>
      <c r="D169" s="9">
        <v>43487.188431641203</v>
      </c>
      <c r="E169" t="s">
        <v>34</v>
      </c>
      <c r="F169" t="s">
        <v>33</v>
      </c>
      <c r="G169" t="s">
        <v>444</v>
      </c>
      <c r="H169" s="10">
        <v>1782</v>
      </c>
      <c r="I169">
        <f>IF(RegistroSaidas[[#This Row],[Data do Caixa Realizado]] = "", 0, MONTH(RegistroSaidas[[#This Row],[Data do Caixa Realizado]]))</f>
        <v>1</v>
      </c>
      <c r="J169">
        <f>IF(RegistroSaidas[[#This Row],[Data do Caixa Realizado]] = "",0,YEAR(RegistroSaidas[[#This Row],[Data do Caixa Realizado]]))</f>
        <v>2019</v>
      </c>
      <c r="K169" s="38">
        <f xml:space="preserve"> IF(RegistroSaidas[[#This Row],[Data da Competência]]="",0,MONTH(RegistroSaidas[[#This Row],[Data da Competência]]))</f>
        <v>12</v>
      </c>
      <c r="L169" s="38">
        <f xml:space="preserve"> IF(RegistroSaidas[[#This Row],[Data da Competência]]="",0,YEAR(RegistroSaidas[[#This Row],[Data da Competência]]))</f>
        <v>2018</v>
      </c>
      <c r="M169" s="38">
        <f xml:space="preserve"> IF(RegistroSaidas[[#This Row],[Data do Caixa Previsto]]="",0,MONTH(RegistroSaidas[[#This Row],[Data do Caixa Previsto]]))</f>
        <v>1</v>
      </c>
      <c r="N169" s="38">
        <f xml:space="preserve"> IF(RegistroSaidas[[#This Row],[Data do Caixa Previsto]]="",0,YEAR(RegistroSaidas[[#This Row],[Data do Caixa Previsto]]))</f>
        <v>2019</v>
      </c>
      <c r="O169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170" spans="2:15" ht="20.100000000000001" customHeight="1" x14ac:dyDescent="0.25">
      <c r="B170" s="9">
        <v>43514.403187421965</v>
      </c>
      <c r="C170" s="9">
        <v>43459</v>
      </c>
      <c r="D170" s="9">
        <v>43514.403187421965</v>
      </c>
      <c r="E170" t="s">
        <v>34</v>
      </c>
      <c r="F170" t="s">
        <v>40</v>
      </c>
      <c r="G170" t="s">
        <v>445</v>
      </c>
      <c r="H170" s="10">
        <v>365</v>
      </c>
      <c r="I170">
        <f>IF(RegistroSaidas[[#This Row],[Data do Caixa Realizado]] = "", 0, MONTH(RegistroSaidas[[#This Row],[Data do Caixa Realizado]]))</f>
        <v>2</v>
      </c>
      <c r="J170">
        <f>IF(RegistroSaidas[[#This Row],[Data do Caixa Realizado]] = "",0,YEAR(RegistroSaidas[[#This Row],[Data do Caixa Realizado]]))</f>
        <v>2019</v>
      </c>
      <c r="K170" s="38">
        <f xml:space="preserve"> IF(RegistroSaidas[[#This Row],[Data da Competência]]="",0,MONTH(RegistroSaidas[[#This Row],[Data da Competência]]))</f>
        <v>12</v>
      </c>
      <c r="L170" s="38">
        <f xml:space="preserve"> IF(RegistroSaidas[[#This Row],[Data da Competência]]="",0,YEAR(RegistroSaidas[[#This Row],[Data da Competência]]))</f>
        <v>2018</v>
      </c>
      <c r="M170" s="38">
        <f xml:space="preserve"> IF(RegistroSaidas[[#This Row],[Data do Caixa Previsto]]="",0,MONTH(RegistroSaidas[[#This Row],[Data do Caixa Previsto]]))</f>
        <v>2</v>
      </c>
      <c r="N170" s="38">
        <f xml:space="preserve"> IF(RegistroSaidas[[#This Row],[Data do Caixa Previsto]]="",0,YEAR(RegistroSaidas[[#This Row],[Data do Caixa Previsto]]))</f>
        <v>2019</v>
      </c>
      <c r="O170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171" spans="2:15" ht="20.100000000000001" customHeight="1" x14ac:dyDescent="0.25">
      <c r="B171" s="9">
        <v>43491.679228472654</v>
      </c>
      <c r="C171" s="9">
        <v>43461</v>
      </c>
      <c r="D171" s="9">
        <v>43491.679228472654</v>
      </c>
      <c r="E171" t="s">
        <v>34</v>
      </c>
      <c r="F171" t="s">
        <v>40</v>
      </c>
      <c r="G171" t="s">
        <v>446</v>
      </c>
      <c r="H171" s="10">
        <v>2757</v>
      </c>
      <c r="I171">
        <f>IF(RegistroSaidas[[#This Row],[Data do Caixa Realizado]] = "", 0, MONTH(RegistroSaidas[[#This Row],[Data do Caixa Realizado]]))</f>
        <v>1</v>
      </c>
      <c r="J171">
        <f>IF(RegistroSaidas[[#This Row],[Data do Caixa Realizado]] = "",0,YEAR(RegistroSaidas[[#This Row],[Data do Caixa Realizado]]))</f>
        <v>2019</v>
      </c>
      <c r="K171" s="38">
        <f xml:space="preserve"> IF(RegistroSaidas[[#This Row],[Data da Competência]]="",0,MONTH(RegistroSaidas[[#This Row],[Data da Competência]]))</f>
        <v>12</v>
      </c>
      <c r="L171" s="38">
        <f xml:space="preserve"> IF(RegistroSaidas[[#This Row],[Data da Competência]]="",0,YEAR(RegistroSaidas[[#This Row],[Data da Competência]]))</f>
        <v>2018</v>
      </c>
      <c r="M171" s="38">
        <f xml:space="preserve"> IF(RegistroSaidas[[#This Row],[Data do Caixa Previsto]]="",0,MONTH(RegistroSaidas[[#This Row],[Data do Caixa Previsto]]))</f>
        <v>1</v>
      </c>
      <c r="N171" s="38">
        <f xml:space="preserve"> IF(RegistroSaidas[[#This Row],[Data do Caixa Previsto]]="",0,YEAR(RegistroSaidas[[#This Row],[Data do Caixa Previsto]]))</f>
        <v>2019</v>
      </c>
      <c r="O171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172" spans="2:15" ht="20.100000000000001" customHeight="1" x14ac:dyDescent="0.25">
      <c r="B172" s="9">
        <v>43515.206907104708</v>
      </c>
      <c r="C172" s="9">
        <v>43464</v>
      </c>
      <c r="D172" s="9">
        <v>43515.206907104708</v>
      </c>
      <c r="E172" t="s">
        <v>34</v>
      </c>
      <c r="F172" t="s">
        <v>33</v>
      </c>
      <c r="G172" t="s">
        <v>447</v>
      </c>
      <c r="H172" s="10">
        <v>2112</v>
      </c>
      <c r="I172">
        <f>IF(RegistroSaidas[[#This Row],[Data do Caixa Realizado]] = "", 0, MONTH(RegistroSaidas[[#This Row],[Data do Caixa Realizado]]))</f>
        <v>2</v>
      </c>
      <c r="J172">
        <f>IF(RegistroSaidas[[#This Row],[Data do Caixa Realizado]] = "",0,YEAR(RegistroSaidas[[#This Row],[Data do Caixa Realizado]]))</f>
        <v>2019</v>
      </c>
      <c r="K172" s="38">
        <f xml:space="preserve"> IF(RegistroSaidas[[#This Row],[Data da Competência]]="",0,MONTH(RegistroSaidas[[#This Row],[Data da Competência]]))</f>
        <v>12</v>
      </c>
      <c r="L172" s="38">
        <f xml:space="preserve"> IF(RegistroSaidas[[#This Row],[Data da Competência]]="",0,YEAR(RegistroSaidas[[#This Row],[Data da Competência]]))</f>
        <v>2018</v>
      </c>
      <c r="M172" s="38">
        <f xml:space="preserve"> IF(RegistroSaidas[[#This Row],[Data do Caixa Previsto]]="",0,MONTH(RegistroSaidas[[#This Row],[Data do Caixa Previsto]]))</f>
        <v>2</v>
      </c>
      <c r="N172" s="38">
        <f xml:space="preserve"> IF(RegistroSaidas[[#This Row],[Data do Caixa Previsto]]="",0,YEAR(RegistroSaidas[[#This Row],[Data do Caixa Previsto]]))</f>
        <v>2019</v>
      </c>
      <c r="O172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173" spans="2:15" ht="20.100000000000001" customHeight="1" x14ac:dyDescent="0.25">
      <c r="B173" s="9">
        <v>43573.207294267304</v>
      </c>
      <c r="C173" s="9">
        <v>43467</v>
      </c>
      <c r="D173" s="9">
        <v>43483.579939553441</v>
      </c>
      <c r="E173" t="s">
        <v>34</v>
      </c>
      <c r="F173" t="s">
        <v>33</v>
      </c>
      <c r="G173" t="s">
        <v>448</v>
      </c>
      <c r="H173" s="10">
        <v>2190</v>
      </c>
      <c r="I173">
        <f>IF(RegistroSaidas[[#This Row],[Data do Caixa Realizado]] = "", 0, MONTH(RegistroSaidas[[#This Row],[Data do Caixa Realizado]]))</f>
        <v>4</v>
      </c>
      <c r="J173">
        <f>IF(RegistroSaidas[[#This Row],[Data do Caixa Realizado]] = "",0,YEAR(RegistroSaidas[[#This Row],[Data do Caixa Realizado]]))</f>
        <v>2019</v>
      </c>
      <c r="K173" s="38">
        <f xml:space="preserve"> IF(RegistroSaidas[[#This Row],[Data da Competência]]="",0,MONTH(RegistroSaidas[[#This Row],[Data da Competência]]))</f>
        <v>1</v>
      </c>
      <c r="L173" s="38">
        <f xml:space="preserve"> IF(RegistroSaidas[[#This Row],[Data da Competência]]="",0,YEAR(RegistroSaidas[[#This Row],[Data da Competência]]))</f>
        <v>2019</v>
      </c>
      <c r="M173" s="38">
        <f xml:space="preserve"> IF(RegistroSaidas[[#This Row],[Data do Caixa Previsto]]="",0,MONTH(RegistroSaidas[[#This Row],[Data do Caixa Previsto]]))</f>
        <v>1</v>
      </c>
      <c r="N173" s="38">
        <f xml:space="preserve"> IF(RegistroSaidas[[#This Row],[Data do Caixa Previsto]]="",0,YEAR(RegistroSaidas[[#This Row],[Data do Caixa Previsto]]))</f>
        <v>2019</v>
      </c>
      <c r="O173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89.627354713862587</v>
      </c>
    </row>
    <row r="174" spans="2:15" ht="20.100000000000001" customHeight="1" x14ac:dyDescent="0.25">
      <c r="B174" s="9">
        <v>43485.642328387614</v>
      </c>
      <c r="C174" s="9">
        <v>43469</v>
      </c>
      <c r="D174" s="9">
        <v>43485.642328387614</v>
      </c>
      <c r="E174" t="s">
        <v>34</v>
      </c>
      <c r="F174" t="s">
        <v>40</v>
      </c>
      <c r="G174" t="s">
        <v>449</v>
      </c>
      <c r="H174" s="10">
        <v>2998</v>
      </c>
      <c r="I174">
        <f>IF(RegistroSaidas[[#This Row],[Data do Caixa Realizado]] = "", 0, MONTH(RegistroSaidas[[#This Row],[Data do Caixa Realizado]]))</f>
        <v>1</v>
      </c>
      <c r="J174">
        <f>IF(RegistroSaidas[[#This Row],[Data do Caixa Realizado]] = "",0,YEAR(RegistroSaidas[[#This Row],[Data do Caixa Realizado]]))</f>
        <v>2019</v>
      </c>
      <c r="K174" s="38">
        <f xml:space="preserve"> IF(RegistroSaidas[[#This Row],[Data da Competência]]="",0,MONTH(RegistroSaidas[[#This Row],[Data da Competência]]))</f>
        <v>1</v>
      </c>
      <c r="L174" s="38">
        <f xml:space="preserve"> IF(RegistroSaidas[[#This Row],[Data da Competência]]="",0,YEAR(RegistroSaidas[[#This Row],[Data da Competência]]))</f>
        <v>2019</v>
      </c>
      <c r="M174" s="38">
        <f xml:space="preserve"> IF(RegistroSaidas[[#This Row],[Data do Caixa Previsto]]="",0,MONTH(RegistroSaidas[[#This Row],[Data do Caixa Previsto]]))</f>
        <v>1</v>
      </c>
      <c r="N174" s="38">
        <f xml:space="preserve"> IF(RegistroSaidas[[#This Row],[Data do Caixa Previsto]]="",0,YEAR(RegistroSaidas[[#This Row],[Data do Caixa Previsto]]))</f>
        <v>2019</v>
      </c>
      <c r="O174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175" spans="2:15" ht="20.100000000000001" customHeight="1" x14ac:dyDescent="0.25">
      <c r="B175" s="9">
        <v>43501.032672097659</v>
      </c>
      <c r="C175" s="9">
        <v>43476</v>
      </c>
      <c r="D175" s="9">
        <v>43501.032672097659</v>
      </c>
      <c r="E175" t="s">
        <v>34</v>
      </c>
      <c r="F175" t="s">
        <v>40</v>
      </c>
      <c r="G175" t="s">
        <v>450</v>
      </c>
      <c r="H175" s="10">
        <v>3808</v>
      </c>
      <c r="I175">
        <f>IF(RegistroSaidas[[#This Row],[Data do Caixa Realizado]] = "", 0, MONTH(RegistroSaidas[[#This Row],[Data do Caixa Realizado]]))</f>
        <v>2</v>
      </c>
      <c r="J175">
        <f>IF(RegistroSaidas[[#This Row],[Data do Caixa Realizado]] = "",0,YEAR(RegistroSaidas[[#This Row],[Data do Caixa Realizado]]))</f>
        <v>2019</v>
      </c>
      <c r="K175" s="38">
        <f xml:space="preserve"> IF(RegistroSaidas[[#This Row],[Data da Competência]]="",0,MONTH(RegistroSaidas[[#This Row],[Data da Competência]]))</f>
        <v>1</v>
      </c>
      <c r="L175" s="38">
        <f xml:space="preserve"> IF(RegistroSaidas[[#This Row],[Data da Competência]]="",0,YEAR(RegistroSaidas[[#This Row],[Data da Competência]]))</f>
        <v>2019</v>
      </c>
      <c r="M175" s="38">
        <f xml:space="preserve"> IF(RegistroSaidas[[#This Row],[Data do Caixa Previsto]]="",0,MONTH(RegistroSaidas[[#This Row],[Data do Caixa Previsto]]))</f>
        <v>2</v>
      </c>
      <c r="N175" s="38">
        <f xml:space="preserve"> IF(RegistroSaidas[[#This Row],[Data do Caixa Previsto]]="",0,YEAR(RegistroSaidas[[#This Row],[Data do Caixa Previsto]]))</f>
        <v>2019</v>
      </c>
      <c r="O175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176" spans="2:15" ht="20.100000000000001" customHeight="1" x14ac:dyDescent="0.25">
      <c r="B176" s="9">
        <v>43495.478907818499</v>
      </c>
      <c r="C176" s="9">
        <v>43479</v>
      </c>
      <c r="D176" s="9">
        <v>43495.478907818499</v>
      </c>
      <c r="E176" t="s">
        <v>34</v>
      </c>
      <c r="F176" t="s">
        <v>40</v>
      </c>
      <c r="G176" t="s">
        <v>451</v>
      </c>
      <c r="H176" s="10">
        <v>4928</v>
      </c>
      <c r="I176">
        <f>IF(RegistroSaidas[[#This Row],[Data do Caixa Realizado]] = "", 0, MONTH(RegistroSaidas[[#This Row],[Data do Caixa Realizado]]))</f>
        <v>1</v>
      </c>
      <c r="J176">
        <f>IF(RegistroSaidas[[#This Row],[Data do Caixa Realizado]] = "",0,YEAR(RegistroSaidas[[#This Row],[Data do Caixa Realizado]]))</f>
        <v>2019</v>
      </c>
      <c r="K176" s="38">
        <f xml:space="preserve"> IF(RegistroSaidas[[#This Row],[Data da Competência]]="",0,MONTH(RegistroSaidas[[#This Row],[Data da Competência]]))</f>
        <v>1</v>
      </c>
      <c r="L176" s="38">
        <f xml:space="preserve"> IF(RegistroSaidas[[#This Row],[Data da Competência]]="",0,YEAR(RegistroSaidas[[#This Row],[Data da Competência]]))</f>
        <v>2019</v>
      </c>
      <c r="M176" s="38">
        <f xml:space="preserve"> IF(RegistroSaidas[[#This Row],[Data do Caixa Previsto]]="",0,MONTH(RegistroSaidas[[#This Row],[Data do Caixa Previsto]]))</f>
        <v>1</v>
      </c>
      <c r="N176" s="38">
        <f xml:space="preserve"> IF(RegistroSaidas[[#This Row],[Data do Caixa Previsto]]="",0,YEAR(RegistroSaidas[[#This Row],[Data do Caixa Previsto]]))</f>
        <v>2019</v>
      </c>
      <c r="O176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177" spans="2:15" ht="20.100000000000001" customHeight="1" x14ac:dyDescent="0.25">
      <c r="B177" s="9">
        <v>43536.025611727033</v>
      </c>
      <c r="C177" s="9">
        <v>43482</v>
      </c>
      <c r="D177" s="9">
        <v>43536.025611727033</v>
      </c>
      <c r="E177" t="s">
        <v>34</v>
      </c>
      <c r="F177" t="s">
        <v>33</v>
      </c>
      <c r="G177" t="s">
        <v>452</v>
      </c>
      <c r="H177" s="10">
        <v>4179</v>
      </c>
      <c r="I177">
        <f>IF(RegistroSaidas[[#This Row],[Data do Caixa Realizado]] = "", 0, MONTH(RegistroSaidas[[#This Row],[Data do Caixa Realizado]]))</f>
        <v>3</v>
      </c>
      <c r="J177">
        <f>IF(RegistroSaidas[[#This Row],[Data do Caixa Realizado]] = "",0,YEAR(RegistroSaidas[[#This Row],[Data do Caixa Realizado]]))</f>
        <v>2019</v>
      </c>
      <c r="K177" s="38">
        <f xml:space="preserve"> IF(RegistroSaidas[[#This Row],[Data da Competência]]="",0,MONTH(RegistroSaidas[[#This Row],[Data da Competência]]))</f>
        <v>1</v>
      </c>
      <c r="L177" s="38">
        <f xml:space="preserve"> IF(RegistroSaidas[[#This Row],[Data da Competência]]="",0,YEAR(RegistroSaidas[[#This Row],[Data da Competência]]))</f>
        <v>2019</v>
      </c>
      <c r="M177" s="38">
        <f xml:space="preserve"> IF(RegistroSaidas[[#This Row],[Data do Caixa Previsto]]="",0,MONTH(RegistroSaidas[[#This Row],[Data do Caixa Previsto]]))</f>
        <v>3</v>
      </c>
      <c r="N177" s="38">
        <f xml:space="preserve"> IF(RegistroSaidas[[#This Row],[Data do Caixa Previsto]]="",0,YEAR(RegistroSaidas[[#This Row],[Data do Caixa Previsto]]))</f>
        <v>2019</v>
      </c>
      <c r="O177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178" spans="2:15" ht="20.100000000000001" customHeight="1" x14ac:dyDescent="0.25">
      <c r="B178" s="9">
        <v>43499.993512821027</v>
      </c>
      <c r="C178" s="9">
        <v>43484</v>
      </c>
      <c r="D178" s="9">
        <v>43499.993512821027</v>
      </c>
      <c r="E178" t="s">
        <v>34</v>
      </c>
      <c r="F178" t="s">
        <v>29</v>
      </c>
      <c r="G178" t="s">
        <v>453</v>
      </c>
      <c r="H178" s="10">
        <v>4896</v>
      </c>
      <c r="I178">
        <f>IF(RegistroSaidas[[#This Row],[Data do Caixa Realizado]] = "", 0, MONTH(RegistroSaidas[[#This Row],[Data do Caixa Realizado]]))</f>
        <v>2</v>
      </c>
      <c r="J178">
        <f>IF(RegistroSaidas[[#This Row],[Data do Caixa Realizado]] = "",0,YEAR(RegistroSaidas[[#This Row],[Data do Caixa Realizado]]))</f>
        <v>2019</v>
      </c>
      <c r="K178" s="38">
        <f xml:space="preserve"> IF(RegistroSaidas[[#This Row],[Data da Competência]]="",0,MONTH(RegistroSaidas[[#This Row],[Data da Competência]]))</f>
        <v>1</v>
      </c>
      <c r="L178" s="38">
        <f xml:space="preserve"> IF(RegistroSaidas[[#This Row],[Data da Competência]]="",0,YEAR(RegistroSaidas[[#This Row],[Data da Competência]]))</f>
        <v>2019</v>
      </c>
      <c r="M178" s="38">
        <f xml:space="preserve"> IF(RegistroSaidas[[#This Row],[Data do Caixa Previsto]]="",0,MONTH(RegistroSaidas[[#This Row],[Data do Caixa Previsto]]))</f>
        <v>2</v>
      </c>
      <c r="N178" s="38">
        <f xml:space="preserve"> IF(RegistroSaidas[[#This Row],[Data do Caixa Previsto]]="",0,YEAR(RegistroSaidas[[#This Row],[Data do Caixa Previsto]]))</f>
        <v>2019</v>
      </c>
      <c r="O178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179" spans="2:15" ht="20.100000000000001" customHeight="1" x14ac:dyDescent="0.25">
      <c r="B179" s="9">
        <v>43498.131083059947</v>
      </c>
      <c r="C179" s="9">
        <v>43487</v>
      </c>
      <c r="D179" s="9">
        <v>43498.131083059947</v>
      </c>
      <c r="E179" t="s">
        <v>34</v>
      </c>
      <c r="F179" t="s">
        <v>33</v>
      </c>
      <c r="G179" t="s">
        <v>369</v>
      </c>
      <c r="H179" s="10">
        <v>4092</v>
      </c>
      <c r="I179">
        <f>IF(RegistroSaidas[[#This Row],[Data do Caixa Realizado]] = "", 0, MONTH(RegistroSaidas[[#This Row],[Data do Caixa Realizado]]))</f>
        <v>2</v>
      </c>
      <c r="J179">
        <f>IF(RegistroSaidas[[#This Row],[Data do Caixa Realizado]] = "",0,YEAR(RegistroSaidas[[#This Row],[Data do Caixa Realizado]]))</f>
        <v>2019</v>
      </c>
      <c r="K179" s="38">
        <f xml:space="preserve"> IF(RegistroSaidas[[#This Row],[Data da Competência]]="",0,MONTH(RegistroSaidas[[#This Row],[Data da Competência]]))</f>
        <v>1</v>
      </c>
      <c r="L179" s="38">
        <f xml:space="preserve"> IF(RegistroSaidas[[#This Row],[Data da Competência]]="",0,YEAR(RegistroSaidas[[#This Row],[Data da Competência]]))</f>
        <v>2019</v>
      </c>
      <c r="M179" s="38">
        <f xml:space="preserve"> IF(RegistroSaidas[[#This Row],[Data do Caixa Previsto]]="",0,MONTH(RegistroSaidas[[#This Row],[Data do Caixa Previsto]]))</f>
        <v>2</v>
      </c>
      <c r="N179" s="38">
        <f xml:space="preserve"> IF(RegistroSaidas[[#This Row],[Data do Caixa Previsto]]="",0,YEAR(RegistroSaidas[[#This Row],[Data do Caixa Previsto]]))</f>
        <v>2019</v>
      </c>
      <c r="O179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180" spans="2:15" ht="20.100000000000001" customHeight="1" x14ac:dyDescent="0.25">
      <c r="B180" s="9">
        <v>43496.93367126838</v>
      </c>
      <c r="C180" s="9">
        <v>43492</v>
      </c>
      <c r="D180" s="9">
        <v>43496.93367126838</v>
      </c>
      <c r="E180" t="s">
        <v>34</v>
      </c>
      <c r="F180" t="s">
        <v>40</v>
      </c>
      <c r="G180" t="s">
        <v>454</v>
      </c>
      <c r="H180" s="10">
        <v>2956</v>
      </c>
      <c r="I180">
        <f>IF(RegistroSaidas[[#This Row],[Data do Caixa Realizado]] = "", 0, MONTH(RegistroSaidas[[#This Row],[Data do Caixa Realizado]]))</f>
        <v>1</v>
      </c>
      <c r="J180">
        <f>IF(RegistroSaidas[[#This Row],[Data do Caixa Realizado]] = "",0,YEAR(RegistroSaidas[[#This Row],[Data do Caixa Realizado]]))</f>
        <v>2019</v>
      </c>
      <c r="K180" s="38">
        <f xml:space="preserve"> IF(RegistroSaidas[[#This Row],[Data da Competência]]="",0,MONTH(RegistroSaidas[[#This Row],[Data da Competência]]))</f>
        <v>1</v>
      </c>
      <c r="L180" s="38">
        <f xml:space="preserve"> IF(RegistroSaidas[[#This Row],[Data da Competência]]="",0,YEAR(RegistroSaidas[[#This Row],[Data da Competência]]))</f>
        <v>2019</v>
      </c>
      <c r="M180" s="38">
        <f xml:space="preserve"> IF(RegistroSaidas[[#This Row],[Data do Caixa Previsto]]="",0,MONTH(RegistroSaidas[[#This Row],[Data do Caixa Previsto]]))</f>
        <v>1</v>
      </c>
      <c r="N180" s="38">
        <f xml:space="preserve"> IF(RegistroSaidas[[#This Row],[Data do Caixa Previsto]]="",0,YEAR(RegistroSaidas[[#This Row],[Data do Caixa Previsto]]))</f>
        <v>2019</v>
      </c>
      <c r="O180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181" spans="2:15" ht="20.100000000000001" customHeight="1" x14ac:dyDescent="0.25">
      <c r="B181" s="9">
        <v>43509.777939985303</v>
      </c>
      <c r="C181" s="9">
        <v>43496</v>
      </c>
      <c r="D181" s="9">
        <v>43509.777939985303</v>
      </c>
      <c r="E181" t="s">
        <v>34</v>
      </c>
      <c r="F181" t="s">
        <v>33</v>
      </c>
      <c r="G181" t="s">
        <v>455</v>
      </c>
      <c r="H181" s="10">
        <v>533</v>
      </c>
      <c r="I181">
        <f>IF(RegistroSaidas[[#This Row],[Data do Caixa Realizado]] = "", 0, MONTH(RegistroSaidas[[#This Row],[Data do Caixa Realizado]]))</f>
        <v>2</v>
      </c>
      <c r="J181">
        <f>IF(RegistroSaidas[[#This Row],[Data do Caixa Realizado]] = "",0,YEAR(RegistroSaidas[[#This Row],[Data do Caixa Realizado]]))</f>
        <v>2019</v>
      </c>
      <c r="K181" s="38">
        <f xml:space="preserve"> IF(RegistroSaidas[[#This Row],[Data da Competência]]="",0,MONTH(RegistroSaidas[[#This Row],[Data da Competência]]))</f>
        <v>1</v>
      </c>
      <c r="L181" s="38">
        <f xml:space="preserve"> IF(RegistroSaidas[[#This Row],[Data da Competência]]="",0,YEAR(RegistroSaidas[[#This Row],[Data da Competência]]))</f>
        <v>2019</v>
      </c>
      <c r="M181" s="38">
        <f xml:space="preserve"> IF(RegistroSaidas[[#This Row],[Data do Caixa Previsto]]="",0,MONTH(RegistroSaidas[[#This Row],[Data do Caixa Previsto]]))</f>
        <v>2</v>
      </c>
      <c r="N181" s="38">
        <f xml:space="preserve"> IF(RegistroSaidas[[#This Row],[Data do Caixa Previsto]]="",0,YEAR(RegistroSaidas[[#This Row],[Data do Caixa Previsto]]))</f>
        <v>2019</v>
      </c>
      <c r="O181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182" spans="2:15" ht="20.100000000000001" customHeight="1" x14ac:dyDescent="0.25">
      <c r="B182" s="9">
        <v>43520.73063092697</v>
      </c>
      <c r="C182" s="9">
        <v>43497</v>
      </c>
      <c r="D182" s="9">
        <v>43520.73063092697</v>
      </c>
      <c r="E182" t="s">
        <v>34</v>
      </c>
      <c r="F182" t="s">
        <v>30</v>
      </c>
      <c r="G182" t="s">
        <v>456</v>
      </c>
      <c r="H182" s="10">
        <v>3519</v>
      </c>
      <c r="I182">
        <f>IF(RegistroSaidas[[#This Row],[Data do Caixa Realizado]] = "", 0, MONTH(RegistroSaidas[[#This Row],[Data do Caixa Realizado]]))</f>
        <v>2</v>
      </c>
      <c r="J182">
        <f>IF(RegistroSaidas[[#This Row],[Data do Caixa Realizado]] = "",0,YEAR(RegistroSaidas[[#This Row],[Data do Caixa Realizado]]))</f>
        <v>2019</v>
      </c>
      <c r="K182" s="38">
        <f xml:space="preserve"> IF(RegistroSaidas[[#This Row],[Data da Competência]]="",0,MONTH(RegistroSaidas[[#This Row],[Data da Competência]]))</f>
        <v>2</v>
      </c>
      <c r="L182" s="38">
        <f xml:space="preserve"> IF(RegistroSaidas[[#This Row],[Data da Competência]]="",0,YEAR(RegistroSaidas[[#This Row],[Data da Competência]]))</f>
        <v>2019</v>
      </c>
      <c r="M182" s="38">
        <f xml:space="preserve"> IF(RegistroSaidas[[#This Row],[Data do Caixa Previsto]]="",0,MONTH(RegistroSaidas[[#This Row],[Data do Caixa Previsto]]))</f>
        <v>2</v>
      </c>
      <c r="N182" s="38">
        <f xml:space="preserve"> IF(RegistroSaidas[[#This Row],[Data do Caixa Previsto]]="",0,YEAR(RegistroSaidas[[#This Row],[Data do Caixa Previsto]]))</f>
        <v>2019</v>
      </c>
      <c r="O182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183" spans="2:15" ht="20.100000000000001" customHeight="1" x14ac:dyDescent="0.25">
      <c r="B183" s="9">
        <v>43548.78797907626</v>
      </c>
      <c r="C183" s="9">
        <v>43499</v>
      </c>
      <c r="D183" s="9">
        <v>43548.78797907626</v>
      </c>
      <c r="E183" t="s">
        <v>34</v>
      </c>
      <c r="F183" t="s">
        <v>29</v>
      </c>
      <c r="G183" t="s">
        <v>457</v>
      </c>
      <c r="H183" s="10">
        <v>757</v>
      </c>
      <c r="I183">
        <f>IF(RegistroSaidas[[#This Row],[Data do Caixa Realizado]] = "", 0, MONTH(RegistroSaidas[[#This Row],[Data do Caixa Realizado]]))</f>
        <v>3</v>
      </c>
      <c r="J183">
        <f>IF(RegistroSaidas[[#This Row],[Data do Caixa Realizado]] = "",0,YEAR(RegistroSaidas[[#This Row],[Data do Caixa Realizado]]))</f>
        <v>2019</v>
      </c>
      <c r="K183" s="38">
        <f xml:space="preserve"> IF(RegistroSaidas[[#This Row],[Data da Competência]]="",0,MONTH(RegistroSaidas[[#This Row],[Data da Competência]]))</f>
        <v>2</v>
      </c>
      <c r="L183" s="38">
        <f xml:space="preserve"> IF(RegistroSaidas[[#This Row],[Data da Competência]]="",0,YEAR(RegistroSaidas[[#This Row],[Data da Competência]]))</f>
        <v>2019</v>
      </c>
      <c r="M183" s="38">
        <f xml:space="preserve"> IF(RegistroSaidas[[#This Row],[Data do Caixa Previsto]]="",0,MONTH(RegistroSaidas[[#This Row],[Data do Caixa Previsto]]))</f>
        <v>3</v>
      </c>
      <c r="N183" s="38">
        <f xml:space="preserve"> IF(RegistroSaidas[[#This Row],[Data do Caixa Previsto]]="",0,YEAR(RegistroSaidas[[#This Row],[Data do Caixa Previsto]]))</f>
        <v>2019</v>
      </c>
      <c r="O183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184" spans="2:15" ht="20.100000000000001" customHeight="1" x14ac:dyDescent="0.25">
      <c r="B184" s="9">
        <v>43552.247547339066</v>
      </c>
      <c r="C184" s="9">
        <v>43503</v>
      </c>
      <c r="D184" s="9">
        <v>43552.247547339066</v>
      </c>
      <c r="E184" t="s">
        <v>34</v>
      </c>
      <c r="F184" t="s">
        <v>40</v>
      </c>
      <c r="G184" t="s">
        <v>458</v>
      </c>
      <c r="H184" s="10">
        <v>2688</v>
      </c>
      <c r="I184">
        <f>IF(RegistroSaidas[[#This Row],[Data do Caixa Realizado]] = "", 0, MONTH(RegistroSaidas[[#This Row],[Data do Caixa Realizado]]))</f>
        <v>3</v>
      </c>
      <c r="J184">
        <f>IF(RegistroSaidas[[#This Row],[Data do Caixa Realizado]] = "",0,YEAR(RegistroSaidas[[#This Row],[Data do Caixa Realizado]]))</f>
        <v>2019</v>
      </c>
      <c r="K184" s="38">
        <f xml:space="preserve"> IF(RegistroSaidas[[#This Row],[Data da Competência]]="",0,MONTH(RegistroSaidas[[#This Row],[Data da Competência]]))</f>
        <v>2</v>
      </c>
      <c r="L184" s="38">
        <f xml:space="preserve"> IF(RegistroSaidas[[#This Row],[Data da Competência]]="",0,YEAR(RegistroSaidas[[#This Row],[Data da Competência]]))</f>
        <v>2019</v>
      </c>
      <c r="M184" s="38">
        <f xml:space="preserve"> IF(RegistroSaidas[[#This Row],[Data do Caixa Previsto]]="",0,MONTH(RegistroSaidas[[#This Row],[Data do Caixa Previsto]]))</f>
        <v>3</v>
      </c>
      <c r="N184" s="38">
        <f xml:space="preserve"> IF(RegistroSaidas[[#This Row],[Data do Caixa Previsto]]="",0,YEAR(RegistroSaidas[[#This Row],[Data do Caixa Previsto]]))</f>
        <v>2019</v>
      </c>
      <c r="O184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185" spans="2:15" ht="20.100000000000001" customHeight="1" x14ac:dyDescent="0.25">
      <c r="B185" s="9">
        <v>43554.442660476037</v>
      </c>
      <c r="C185" s="9">
        <v>43505</v>
      </c>
      <c r="D185" s="9">
        <v>43554.442660476037</v>
      </c>
      <c r="E185" t="s">
        <v>34</v>
      </c>
      <c r="F185" t="s">
        <v>31</v>
      </c>
      <c r="G185" t="s">
        <v>459</v>
      </c>
      <c r="H185" s="10">
        <v>340</v>
      </c>
      <c r="I185">
        <f>IF(RegistroSaidas[[#This Row],[Data do Caixa Realizado]] = "", 0, MONTH(RegistroSaidas[[#This Row],[Data do Caixa Realizado]]))</f>
        <v>3</v>
      </c>
      <c r="J185">
        <f>IF(RegistroSaidas[[#This Row],[Data do Caixa Realizado]] = "",0,YEAR(RegistroSaidas[[#This Row],[Data do Caixa Realizado]]))</f>
        <v>2019</v>
      </c>
      <c r="K185" s="38">
        <f xml:space="preserve"> IF(RegistroSaidas[[#This Row],[Data da Competência]]="",0,MONTH(RegistroSaidas[[#This Row],[Data da Competência]]))</f>
        <v>2</v>
      </c>
      <c r="L185" s="38">
        <f xml:space="preserve"> IF(RegistroSaidas[[#This Row],[Data da Competência]]="",0,YEAR(RegistroSaidas[[#This Row],[Data da Competência]]))</f>
        <v>2019</v>
      </c>
      <c r="M185" s="38">
        <f xml:space="preserve"> IF(RegistroSaidas[[#This Row],[Data do Caixa Previsto]]="",0,MONTH(RegistroSaidas[[#This Row],[Data do Caixa Previsto]]))</f>
        <v>3</v>
      </c>
      <c r="N185" s="38">
        <f xml:space="preserve"> IF(RegistroSaidas[[#This Row],[Data do Caixa Previsto]]="",0,YEAR(RegistroSaidas[[#This Row],[Data do Caixa Previsto]]))</f>
        <v>2019</v>
      </c>
      <c r="O185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186" spans="2:15" ht="20.100000000000001" customHeight="1" x14ac:dyDescent="0.25">
      <c r="B186" s="9">
        <v>43508.592568137858</v>
      </c>
      <c r="C186" s="9">
        <v>43506</v>
      </c>
      <c r="D186" s="9">
        <v>43508.592568137858</v>
      </c>
      <c r="E186" t="s">
        <v>34</v>
      </c>
      <c r="F186" t="s">
        <v>31</v>
      </c>
      <c r="G186" t="s">
        <v>460</v>
      </c>
      <c r="H186" s="10">
        <v>4204</v>
      </c>
      <c r="I186">
        <f>IF(RegistroSaidas[[#This Row],[Data do Caixa Realizado]] = "", 0, MONTH(RegistroSaidas[[#This Row],[Data do Caixa Realizado]]))</f>
        <v>2</v>
      </c>
      <c r="J186">
        <f>IF(RegistroSaidas[[#This Row],[Data do Caixa Realizado]] = "",0,YEAR(RegistroSaidas[[#This Row],[Data do Caixa Realizado]]))</f>
        <v>2019</v>
      </c>
      <c r="K186" s="38">
        <f xml:space="preserve"> IF(RegistroSaidas[[#This Row],[Data da Competência]]="",0,MONTH(RegistroSaidas[[#This Row],[Data da Competência]]))</f>
        <v>2</v>
      </c>
      <c r="L186" s="38">
        <f xml:space="preserve"> IF(RegistroSaidas[[#This Row],[Data da Competência]]="",0,YEAR(RegistroSaidas[[#This Row],[Data da Competência]]))</f>
        <v>2019</v>
      </c>
      <c r="M186" s="38">
        <f xml:space="preserve"> IF(RegistroSaidas[[#This Row],[Data do Caixa Previsto]]="",0,MONTH(RegistroSaidas[[#This Row],[Data do Caixa Previsto]]))</f>
        <v>2</v>
      </c>
      <c r="N186" s="38">
        <f xml:space="preserve"> IF(RegistroSaidas[[#This Row],[Data do Caixa Previsto]]="",0,YEAR(RegistroSaidas[[#This Row],[Data do Caixa Previsto]]))</f>
        <v>2019</v>
      </c>
      <c r="O186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187" spans="2:15" ht="20.100000000000001" customHeight="1" x14ac:dyDescent="0.25">
      <c r="B187" s="9">
        <v>43555.285152896111</v>
      </c>
      <c r="C187" s="9">
        <v>43508</v>
      </c>
      <c r="D187" s="9">
        <v>43555.285152896111</v>
      </c>
      <c r="E187" t="s">
        <v>34</v>
      </c>
      <c r="F187" t="s">
        <v>30</v>
      </c>
      <c r="G187" t="s">
        <v>461</v>
      </c>
      <c r="H187" s="10">
        <v>3695</v>
      </c>
      <c r="I187">
        <f>IF(RegistroSaidas[[#This Row],[Data do Caixa Realizado]] = "", 0, MONTH(RegistroSaidas[[#This Row],[Data do Caixa Realizado]]))</f>
        <v>3</v>
      </c>
      <c r="J187">
        <f>IF(RegistroSaidas[[#This Row],[Data do Caixa Realizado]] = "",0,YEAR(RegistroSaidas[[#This Row],[Data do Caixa Realizado]]))</f>
        <v>2019</v>
      </c>
      <c r="K187" s="38">
        <f xml:space="preserve"> IF(RegistroSaidas[[#This Row],[Data da Competência]]="",0,MONTH(RegistroSaidas[[#This Row],[Data da Competência]]))</f>
        <v>2</v>
      </c>
      <c r="L187" s="38">
        <f xml:space="preserve"> IF(RegistroSaidas[[#This Row],[Data da Competência]]="",0,YEAR(RegistroSaidas[[#This Row],[Data da Competência]]))</f>
        <v>2019</v>
      </c>
      <c r="M187" s="38">
        <f xml:space="preserve"> IF(RegistroSaidas[[#This Row],[Data do Caixa Previsto]]="",0,MONTH(RegistroSaidas[[#This Row],[Data do Caixa Previsto]]))</f>
        <v>3</v>
      </c>
      <c r="N187" s="38">
        <f xml:space="preserve"> IF(RegistroSaidas[[#This Row],[Data do Caixa Previsto]]="",0,YEAR(RegistroSaidas[[#This Row],[Data do Caixa Previsto]]))</f>
        <v>2019</v>
      </c>
      <c r="O187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188" spans="2:15" ht="20.100000000000001" customHeight="1" x14ac:dyDescent="0.25">
      <c r="B188" s="9">
        <v>43619.877278489352</v>
      </c>
      <c r="C188" s="9">
        <v>43517</v>
      </c>
      <c r="D188" s="9">
        <v>43548.006375386678</v>
      </c>
      <c r="E188" t="s">
        <v>34</v>
      </c>
      <c r="F188" t="s">
        <v>33</v>
      </c>
      <c r="G188" t="s">
        <v>462</v>
      </c>
      <c r="H188" s="10">
        <v>4148</v>
      </c>
      <c r="I188">
        <f>IF(RegistroSaidas[[#This Row],[Data do Caixa Realizado]] = "", 0, MONTH(RegistroSaidas[[#This Row],[Data do Caixa Realizado]]))</f>
        <v>6</v>
      </c>
      <c r="J188">
        <f>IF(RegistroSaidas[[#This Row],[Data do Caixa Realizado]] = "",0,YEAR(RegistroSaidas[[#This Row],[Data do Caixa Realizado]]))</f>
        <v>2019</v>
      </c>
      <c r="K188" s="38">
        <f xml:space="preserve"> IF(RegistroSaidas[[#This Row],[Data da Competência]]="",0,MONTH(RegistroSaidas[[#This Row],[Data da Competência]]))</f>
        <v>2</v>
      </c>
      <c r="L188" s="38">
        <f xml:space="preserve"> IF(RegistroSaidas[[#This Row],[Data da Competência]]="",0,YEAR(RegistroSaidas[[#This Row],[Data da Competência]]))</f>
        <v>2019</v>
      </c>
      <c r="M188" s="38">
        <f xml:space="preserve"> IF(RegistroSaidas[[#This Row],[Data do Caixa Previsto]]="",0,MONTH(RegistroSaidas[[#This Row],[Data do Caixa Previsto]]))</f>
        <v>3</v>
      </c>
      <c r="N188" s="38">
        <f xml:space="preserve"> IF(RegistroSaidas[[#This Row],[Data do Caixa Previsto]]="",0,YEAR(RegistroSaidas[[#This Row],[Data do Caixa Previsto]]))</f>
        <v>2019</v>
      </c>
      <c r="O188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71.870903102673765</v>
      </c>
    </row>
    <row r="189" spans="2:15" ht="20.100000000000001" customHeight="1" x14ac:dyDescent="0.25">
      <c r="B189" s="9">
        <v>43566.482468635586</v>
      </c>
      <c r="C189" s="9">
        <v>43521</v>
      </c>
      <c r="D189" s="9">
        <v>43553.920091748245</v>
      </c>
      <c r="E189" t="s">
        <v>34</v>
      </c>
      <c r="F189" t="s">
        <v>40</v>
      </c>
      <c r="G189" t="s">
        <v>463</v>
      </c>
      <c r="H189" s="10">
        <v>4303</v>
      </c>
      <c r="I189">
        <f>IF(RegistroSaidas[[#This Row],[Data do Caixa Realizado]] = "", 0, MONTH(RegistroSaidas[[#This Row],[Data do Caixa Realizado]]))</f>
        <v>4</v>
      </c>
      <c r="J189">
        <f>IF(RegistroSaidas[[#This Row],[Data do Caixa Realizado]] = "",0,YEAR(RegistroSaidas[[#This Row],[Data do Caixa Realizado]]))</f>
        <v>2019</v>
      </c>
      <c r="K189" s="38">
        <f xml:space="preserve"> IF(RegistroSaidas[[#This Row],[Data da Competência]]="",0,MONTH(RegistroSaidas[[#This Row],[Data da Competência]]))</f>
        <v>2</v>
      </c>
      <c r="L189" s="38">
        <f xml:space="preserve"> IF(RegistroSaidas[[#This Row],[Data da Competência]]="",0,YEAR(RegistroSaidas[[#This Row],[Data da Competência]]))</f>
        <v>2019</v>
      </c>
      <c r="M189" s="38">
        <f xml:space="preserve"> IF(RegistroSaidas[[#This Row],[Data do Caixa Previsto]]="",0,MONTH(RegistroSaidas[[#This Row],[Data do Caixa Previsto]]))</f>
        <v>3</v>
      </c>
      <c r="N189" s="38">
        <f xml:space="preserve"> IF(RegistroSaidas[[#This Row],[Data do Caixa Previsto]]="",0,YEAR(RegistroSaidas[[#This Row],[Data do Caixa Previsto]]))</f>
        <v>2019</v>
      </c>
      <c r="O189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12.562376887341088</v>
      </c>
    </row>
    <row r="190" spans="2:15" ht="20.100000000000001" customHeight="1" x14ac:dyDescent="0.25">
      <c r="B190" s="9">
        <v>43531.738180250693</v>
      </c>
      <c r="C190" s="9">
        <v>43523</v>
      </c>
      <c r="D190" s="9">
        <v>43531.738180250693</v>
      </c>
      <c r="E190" t="s">
        <v>34</v>
      </c>
      <c r="F190" t="s">
        <v>31</v>
      </c>
      <c r="G190" t="s">
        <v>464</v>
      </c>
      <c r="H190" s="10">
        <v>2674</v>
      </c>
      <c r="I190">
        <f>IF(RegistroSaidas[[#This Row],[Data do Caixa Realizado]] = "", 0, MONTH(RegistroSaidas[[#This Row],[Data do Caixa Realizado]]))</f>
        <v>3</v>
      </c>
      <c r="J190">
        <f>IF(RegistroSaidas[[#This Row],[Data do Caixa Realizado]] = "",0,YEAR(RegistroSaidas[[#This Row],[Data do Caixa Realizado]]))</f>
        <v>2019</v>
      </c>
      <c r="K190" s="38">
        <f xml:space="preserve"> IF(RegistroSaidas[[#This Row],[Data da Competência]]="",0,MONTH(RegistroSaidas[[#This Row],[Data da Competência]]))</f>
        <v>2</v>
      </c>
      <c r="L190" s="38">
        <f xml:space="preserve"> IF(RegistroSaidas[[#This Row],[Data da Competência]]="",0,YEAR(RegistroSaidas[[#This Row],[Data da Competência]]))</f>
        <v>2019</v>
      </c>
      <c r="M190" s="38">
        <f xml:space="preserve"> IF(RegistroSaidas[[#This Row],[Data do Caixa Previsto]]="",0,MONTH(RegistroSaidas[[#This Row],[Data do Caixa Previsto]]))</f>
        <v>3</v>
      </c>
      <c r="N190" s="38">
        <f xml:space="preserve"> IF(RegistroSaidas[[#This Row],[Data do Caixa Previsto]]="",0,YEAR(RegistroSaidas[[#This Row],[Data do Caixa Previsto]]))</f>
        <v>2019</v>
      </c>
      <c r="O190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191" spans="2:15" ht="20.100000000000001" customHeight="1" x14ac:dyDescent="0.25">
      <c r="B191" s="9">
        <v>43569.835590824536</v>
      </c>
      <c r="C191" s="9">
        <v>43526</v>
      </c>
      <c r="D191" s="9">
        <v>43569.835590824536</v>
      </c>
      <c r="E191" t="s">
        <v>34</v>
      </c>
      <c r="F191" t="s">
        <v>29</v>
      </c>
      <c r="G191" t="s">
        <v>465</v>
      </c>
      <c r="H191" s="10">
        <v>1720</v>
      </c>
      <c r="I191">
        <f>IF(RegistroSaidas[[#This Row],[Data do Caixa Realizado]] = "", 0, MONTH(RegistroSaidas[[#This Row],[Data do Caixa Realizado]]))</f>
        <v>4</v>
      </c>
      <c r="J191">
        <f>IF(RegistroSaidas[[#This Row],[Data do Caixa Realizado]] = "",0,YEAR(RegistroSaidas[[#This Row],[Data do Caixa Realizado]]))</f>
        <v>2019</v>
      </c>
      <c r="K191" s="38">
        <f xml:space="preserve"> IF(RegistroSaidas[[#This Row],[Data da Competência]]="",0,MONTH(RegistroSaidas[[#This Row],[Data da Competência]]))</f>
        <v>3</v>
      </c>
      <c r="L191" s="38">
        <f xml:space="preserve"> IF(RegistroSaidas[[#This Row],[Data da Competência]]="",0,YEAR(RegistroSaidas[[#This Row],[Data da Competência]]))</f>
        <v>2019</v>
      </c>
      <c r="M191" s="38">
        <f xml:space="preserve"> IF(RegistroSaidas[[#This Row],[Data do Caixa Previsto]]="",0,MONTH(RegistroSaidas[[#This Row],[Data do Caixa Previsto]]))</f>
        <v>4</v>
      </c>
      <c r="N191" s="38">
        <f xml:space="preserve"> IF(RegistroSaidas[[#This Row],[Data do Caixa Previsto]]="",0,YEAR(RegistroSaidas[[#This Row],[Data do Caixa Previsto]]))</f>
        <v>2019</v>
      </c>
      <c r="O191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192" spans="2:15" ht="20.100000000000001" customHeight="1" x14ac:dyDescent="0.25">
      <c r="B192" s="9">
        <v>43567.757979105008</v>
      </c>
      <c r="C192" s="9">
        <v>43530</v>
      </c>
      <c r="D192" s="9">
        <v>43567.757979105008</v>
      </c>
      <c r="E192" t="s">
        <v>34</v>
      </c>
      <c r="F192" t="s">
        <v>29</v>
      </c>
      <c r="G192" t="s">
        <v>466</v>
      </c>
      <c r="H192" s="10">
        <v>1854</v>
      </c>
      <c r="I192">
        <f>IF(RegistroSaidas[[#This Row],[Data do Caixa Realizado]] = "", 0, MONTH(RegistroSaidas[[#This Row],[Data do Caixa Realizado]]))</f>
        <v>4</v>
      </c>
      <c r="J192">
        <f>IF(RegistroSaidas[[#This Row],[Data do Caixa Realizado]] = "",0,YEAR(RegistroSaidas[[#This Row],[Data do Caixa Realizado]]))</f>
        <v>2019</v>
      </c>
      <c r="K192" s="38">
        <f xml:space="preserve"> IF(RegistroSaidas[[#This Row],[Data da Competência]]="",0,MONTH(RegistroSaidas[[#This Row],[Data da Competência]]))</f>
        <v>3</v>
      </c>
      <c r="L192" s="38">
        <f xml:space="preserve"> IF(RegistroSaidas[[#This Row],[Data da Competência]]="",0,YEAR(RegistroSaidas[[#This Row],[Data da Competência]]))</f>
        <v>2019</v>
      </c>
      <c r="M192" s="38">
        <f xml:space="preserve"> IF(RegistroSaidas[[#This Row],[Data do Caixa Previsto]]="",0,MONTH(RegistroSaidas[[#This Row],[Data do Caixa Previsto]]))</f>
        <v>4</v>
      </c>
      <c r="N192" s="38">
        <f xml:space="preserve"> IF(RegistroSaidas[[#This Row],[Data do Caixa Previsto]]="",0,YEAR(RegistroSaidas[[#This Row],[Data do Caixa Previsto]]))</f>
        <v>2019</v>
      </c>
      <c r="O192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193" spans="2:15" ht="20.100000000000001" customHeight="1" x14ac:dyDescent="0.25">
      <c r="B193" s="9">
        <v>43535.079288493936</v>
      </c>
      <c r="C193" s="9">
        <v>43532</v>
      </c>
      <c r="D193" s="9">
        <v>43535.079288493936</v>
      </c>
      <c r="E193" t="s">
        <v>34</v>
      </c>
      <c r="F193" t="s">
        <v>40</v>
      </c>
      <c r="G193" t="s">
        <v>467</v>
      </c>
      <c r="H193" s="10">
        <v>2568</v>
      </c>
      <c r="I193">
        <f>IF(RegistroSaidas[[#This Row],[Data do Caixa Realizado]] = "", 0, MONTH(RegistroSaidas[[#This Row],[Data do Caixa Realizado]]))</f>
        <v>3</v>
      </c>
      <c r="J193">
        <f>IF(RegistroSaidas[[#This Row],[Data do Caixa Realizado]] = "",0,YEAR(RegistroSaidas[[#This Row],[Data do Caixa Realizado]]))</f>
        <v>2019</v>
      </c>
      <c r="K193" s="38">
        <f xml:space="preserve"> IF(RegistroSaidas[[#This Row],[Data da Competência]]="",0,MONTH(RegistroSaidas[[#This Row],[Data da Competência]]))</f>
        <v>3</v>
      </c>
      <c r="L193" s="38">
        <f xml:space="preserve"> IF(RegistroSaidas[[#This Row],[Data da Competência]]="",0,YEAR(RegistroSaidas[[#This Row],[Data da Competência]]))</f>
        <v>2019</v>
      </c>
      <c r="M193" s="38">
        <f xml:space="preserve"> IF(RegistroSaidas[[#This Row],[Data do Caixa Previsto]]="",0,MONTH(RegistroSaidas[[#This Row],[Data do Caixa Previsto]]))</f>
        <v>3</v>
      </c>
      <c r="N193" s="38">
        <f xml:space="preserve"> IF(RegistroSaidas[[#This Row],[Data do Caixa Previsto]]="",0,YEAR(RegistroSaidas[[#This Row],[Data do Caixa Previsto]]))</f>
        <v>2019</v>
      </c>
      <c r="O193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194" spans="2:15" ht="20.100000000000001" customHeight="1" x14ac:dyDescent="0.25">
      <c r="B194" s="9">
        <v>43572.596134843683</v>
      </c>
      <c r="C194" s="9">
        <v>43532</v>
      </c>
      <c r="D194" s="9">
        <v>43572.596134843683</v>
      </c>
      <c r="E194" t="s">
        <v>34</v>
      </c>
      <c r="F194" t="s">
        <v>40</v>
      </c>
      <c r="G194" t="s">
        <v>468</v>
      </c>
      <c r="H194" s="10">
        <v>3690</v>
      </c>
      <c r="I194">
        <f>IF(RegistroSaidas[[#This Row],[Data do Caixa Realizado]] = "", 0, MONTH(RegistroSaidas[[#This Row],[Data do Caixa Realizado]]))</f>
        <v>4</v>
      </c>
      <c r="J194">
        <f>IF(RegistroSaidas[[#This Row],[Data do Caixa Realizado]] = "",0,YEAR(RegistroSaidas[[#This Row],[Data do Caixa Realizado]]))</f>
        <v>2019</v>
      </c>
      <c r="K194" s="38">
        <f xml:space="preserve"> IF(RegistroSaidas[[#This Row],[Data da Competência]]="",0,MONTH(RegistroSaidas[[#This Row],[Data da Competência]]))</f>
        <v>3</v>
      </c>
      <c r="L194" s="38">
        <f xml:space="preserve"> IF(RegistroSaidas[[#This Row],[Data da Competência]]="",0,YEAR(RegistroSaidas[[#This Row],[Data da Competência]]))</f>
        <v>2019</v>
      </c>
      <c r="M194" s="38">
        <f xml:space="preserve"> IF(RegistroSaidas[[#This Row],[Data do Caixa Previsto]]="",0,MONTH(RegistroSaidas[[#This Row],[Data do Caixa Previsto]]))</f>
        <v>4</v>
      </c>
      <c r="N194" s="38">
        <f xml:space="preserve"> IF(RegistroSaidas[[#This Row],[Data do Caixa Previsto]]="",0,YEAR(RegistroSaidas[[#This Row],[Data do Caixa Previsto]]))</f>
        <v>2019</v>
      </c>
      <c r="O194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195" spans="2:15" ht="20.100000000000001" customHeight="1" x14ac:dyDescent="0.25">
      <c r="B195" s="9">
        <v>43621.515266358365</v>
      </c>
      <c r="C195" s="9">
        <v>43534</v>
      </c>
      <c r="D195" s="9">
        <v>43570.539022448429</v>
      </c>
      <c r="E195" t="s">
        <v>34</v>
      </c>
      <c r="F195" t="s">
        <v>33</v>
      </c>
      <c r="G195" t="s">
        <v>469</v>
      </c>
      <c r="H195" s="10">
        <v>3746</v>
      </c>
      <c r="I195">
        <f>IF(RegistroSaidas[[#This Row],[Data do Caixa Realizado]] = "", 0, MONTH(RegistroSaidas[[#This Row],[Data do Caixa Realizado]]))</f>
        <v>6</v>
      </c>
      <c r="J195">
        <f>IF(RegistroSaidas[[#This Row],[Data do Caixa Realizado]] = "",0,YEAR(RegistroSaidas[[#This Row],[Data do Caixa Realizado]]))</f>
        <v>2019</v>
      </c>
      <c r="K195" s="38">
        <f xml:space="preserve"> IF(RegistroSaidas[[#This Row],[Data da Competência]]="",0,MONTH(RegistroSaidas[[#This Row],[Data da Competência]]))</f>
        <v>3</v>
      </c>
      <c r="L195" s="38">
        <f xml:space="preserve"> IF(RegistroSaidas[[#This Row],[Data da Competência]]="",0,YEAR(RegistroSaidas[[#This Row],[Data da Competência]]))</f>
        <v>2019</v>
      </c>
      <c r="M195" s="38">
        <f xml:space="preserve"> IF(RegistroSaidas[[#This Row],[Data do Caixa Previsto]]="",0,MONTH(RegistroSaidas[[#This Row],[Data do Caixa Previsto]]))</f>
        <v>4</v>
      </c>
      <c r="N195" s="38">
        <f xml:space="preserve"> IF(RegistroSaidas[[#This Row],[Data do Caixa Previsto]]="",0,YEAR(RegistroSaidas[[#This Row],[Data do Caixa Previsto]]))</f>
        <v>2019</v>
      </c>
      <c r="O195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50.976243909935874</v>
      </c>
    </row>
    <row r="196" spans="2:15" ht="20.100000000000001" customHeight="1" x14ac:dyDescent="0.25">
      <c r="B196" s="9">
        <v>43571.740759038665</v>
      </c>
      <c r="C196" s="9">
        <v>43536</v>
      </c>
      <c r="D196" s="9">
        <v>43571.740759038665</v>
      </c>
      <c r="E196" t="s">
        <v>34</v>
      </c>
      <c r="F196" t="s">
        <v>29</v>
      </c>
      <c r="G196" t="s">
        <v>470</v>
      </c>
      <c r="H196" s="10">
        <v>4360</v>
      </c>
      <c r="I196">
        <f>IF(RegistroSaidas[[#This Row],[Data do Caixa Realizado]] = "", 0, MONTH(RegistroSaidas[[#This Row],[Data do Caixa Realizado]]))</f>
        <v>4</v>
      </c>
      <c r="J196">
        <f>IF(RegistroSaidas[[#This Row],[Data do Caixa Realizado]] = "",0,YEAR(RegistroSaidas[[#This Row],[Data do Caixa Realizado]]))</f>
        <v>2019</v>
      </c>
      <c r="K196" s="38">
        <f xml:space="preserve"> IF(RegistroSaidas[[#This Row],[Data da Competência]]="",0,MONTH(RegistroSaidas[[#This Row],[Data da Competência]]))</f>
        <v>3</v>
      </c>
      <c r="L196" s="38">
        <f xml:space="preserve"> IF(RegistroSaidas[[#This Row],[Data da Competência]]="",0,YEAR(RegistroSaidas[[#This Row],[Data da Competência]]))</f>
        <v>2019</v>
      </c>
      <c r="M196" s="38">
        <f xml:space="preserve"> IF(RegistroSaidas[[#This Row],[Data do Caixa Previsto]]="",0,MONTH(RegistroSaidas[[#This Row],[Data do Caixa Previsto]]))</f>
        <v>4</v>
      </c>
      <c r="N196" s="38">
        <f xml:space="preserve"> IF(RegistroSaidas[[#This Row],[Data do Caixa Previsto]]="",0,YEAR(RegistroSaidas[[#This Row],[Data do Caixa Previsto]]))</f>
        <v>2019</v>
      </c>
      <c r="O196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197" spans="2:15" ht="20.100000000000001" customHeight="1" x14ac:dyDescent="0.25">
      <c r="B197" s="9" t="s">
        <v>64</v>
      </c>
      <c r="C197" s="9">
        <v>43537</v>
      </c>
      <c r="D197" s="9">
        <v>43576.376924808807</v>
      </c>
      <c r="E197" t="s">
        <v>34</v>
      </c>
      <c r="F197" t="s">
        <v>33</v>
      </c>
      <c r="G197" t="s">
        <v>471</v>
      </c>
      <c r="H197" s="10">
        <v>1753</v>
      </c>
      <c r="I197">
        <f>IF(RegistroSaidas[[#This Row],[Data do Caixa Realizado]] = "", 0, MONTH(RegistroSaidas[[#This Row],[Data do Caixa Realizado]]))</f>
        <v>0</v>
      </c>
      <c r="J197">
        <f>IF(RegistroSaidas[[#This Row],[Data do Caixa Realizado]] = "",0,YEAR(RegistroSaidas[[#This Row],[Data do Caixa Realizado]]))</f>
        <v>0</v>
      </c>
      <c r="K197" s="38">
        <f xml:space="preserve"> IF(RegistroSaidas[[#This Row],[Data da Competência]]="",0,MONTH(RegistroSaidas[[#This Row],[Data da Competência]]))</f>
        <v>3</v>
      </c>
      <c r="L197" s="38">
        <f xml:space="preserve"> IF(RegistroSaidas[[#This Row],[Data da Competência]]="",0,YEAR(RegistroSaidas[[#This Row],[Data da Competência]]))</f>
        <v>2019</v>
      </c>
      <c r="M197" s="38">
        <f xml:space="preserve"> IF(RegistroSaidas[[#This Row],[Data do Caixa Previsto]]="",0,MONTH(RegistroSaidas[[#This Row],[Data do Caixa Previsto]]))</f>
        <v>4</v>
      </c>
      <c r="N197" s="38">
        <f xml:space="preserve"> IF(RegistroSaidas[[#This Row],[Data do Caixa Previsto]]="",0,YEAR(RegistroSaidas[[#This Row],[Data do Caixa Previsto]]))</f>
        <v>2019</v>
      </c>
      <c r="O197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1639.6230751911935</v>
      </c>
    </row>
    <row r="198" spans="2:15" ht="20.100000000000001" customHeight="1" x14ac:dyDescent="0.25">
      <c r="B198" s="9">
        <v>43543.657350348039</v>
      </c>
      <c r="C198" s="9">
        <v>43540</v>
      </c>
      <c r="D198" s="9">
        <v>43543.657350348039</v>
      </c>
      <c r="E198" t="s">
        <v>34</v>
      </c>
      <c r="F198" t="s">
        <v>29</v>
      </c>
      <c r="G198" t="s">
        <v>472</v>
      </c>
      <c r="H198" s="10">
        <v>1421</v>
      </c>
      <c r="I198">
        <f>IF(RegistroSaidas[[#This Row],[Data do Caixa Realizado]] = "", 0, MONTH(RegistroSaidas[[#This Row],[Data do Caixa Realizado]]))</f>
        <v>3</v>
      </c>
      <c r="J198">
        <f>IF(RegistroSaidas[[#This Row],[Data do Caixa Realizado]] = "",0,YEAR(RegistroSaidas[[#This Row],[Data do Caixa Realizado]]))</f>
        <v>2019</v>
      </c>
      <c r="K198" s="38">
        <f xml:space="preserve"> IF(RegistroSaidas[[#This Row],[Data da Competência]]="",0,MONTH(RegistroSaidas[[#This Row],[Data da Competência]]))</f>
        <v>3</v>
      </c>
      <c r="L198" s="38">
        <f xml:space="preserve"> IF(RegistroSaidas[[#This Row],[Data da Competência]]="",0,YEAR(RegistroSaidas[[#This Row],[Data da Competência]]))</f>
        <v>2019</v>
      </c>
      <c r="M198" s="38">
        <f xml:space="preserve"> IF(RegistroSaidas[[#This Row],[Data do Caixa Previsto]]="",0,MONTH(RegistroSaidas[[#This Row],[Data do Caixa Previsto]]))</f>
        <v>3</v>
      </c>
      <c r="N198" s="38">
        <f xml:space="preserve"> IF(RegistroSaidas[[#This Row],[Data do Caixa Previsto]]="",0,YEAR(RegistroSaidas[[#This Row],[Data do Caixa Previsto]]))</f>
        <v>2019</v>
      </c>
      <c r="O198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199" spans="2:15" ht="20.100000000000001" customHeight="1" x14ac:dyDescent="0.25">
      <c r="B199" s="9">
        <v>43566.33302641497</v>
      </c>
      <c r="C199" s="9">
        <v>43543</v>
      </c>
      <c r="D199" s="9">
        <v>43566.33302641497</v>
      </c>
      <c r="E199" t="s">
        <v>34</v>
      </c>
      <c r="F199" t="s">
        <v>33</v>
      </c>
      <c r="G199" t="s">
        <v>473</v>
      </c>
      <c r="H199" s="10">
        <v>3565</v>
      </c>
      <c r="I199">
        <f>IF(RegistroSaidas[[#This Row],[Data do Caixa Realizado]] = "", 0, MONTH(RegistroSaidas[[#This Row],[Data do Caixa Realizado]]))</f>
        <v>4</v>
      </c>
      <c r="J199">
        <f>IF(RegistroSaidas[[#This Row],[Data do Caixa Realizado]] = "",0,YEAR(RegistroSaidas[[#This Row],[Data do Caixa Realizado]]))</f>
        <v>2019</v>
      </c>
      <c r="K199" s="38">
        <f xml:space="preserve"> IF(RegistroSaidas[[#This Row],[Data da Competência]]="",0,MONTH(RegistroSaidas[[#This Row],[Data da Competência]]))</f>
        <v>3</v>
      </c>
      <c r="L199" s="38">
        <f xml:space="preserve"> IF(RegistroSaidas[[#This Row],[Data da Competência]]="",0,YEAR(RegistroSaidas[[#This Row],[Data da Competência]]))</f>
        <v>2019</v>
      </c>
      <c r="M199" s="38">
        <f xml:space="preserve"> IF(RegistroSaidas[[#This Row],[Data do Caixa Previsto]]="",0,MONTH(RegistroSaidas[[#This Row],[Data do Caixa Previsto]]))</f>
        <v>4</v>
      </c>
      <c r="N199" s="38">
        <f xml:space="preserve"> IF(RegistroSaidas[[#This Row],[Data do Caixa Previsto]]="",0,YEAR(RegistroSaidas[[#This Row],[Data do Caixa Previsto]]))</f>
        <v>2019</v>
      </c>
      <c r="O199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200" spans="2:15" ht="20.100000000000001" customHeight="1" x14ac:dyDescent="0.25">
      <c r="B200" s="9">
        <v>43663.382687512385</v>
      </c>
      <c r="C200" s="9">
        <v>43546</v>
      </c>
      <c r="D200" s="9">
        <v>43586.481925868669</v>
      </c>
      <c r="E200" t="s">
        <v>34</v>
      </c>
      <c r="F200" t="s">
        <v>40</v>
      </c>
      <c r="G200" t="s">
        <v>474</v>
      </c>
      <c r="H200" s="10">
        <v>1961</v>
      </c>
      <c r="I200">
        <f>IF(RegistroSaidas[[#This Row],[Data do Caixa Realizado]] = "", 0, MONTH(RegistroSaidas[[#This Row],[Data do Caixa Realizado]]))</f>
        <v>7</v>
      </c>
      <c r="J200">
        <f>IF(RegistroSaidas[[#This Row],[Data do Caixa Realizado]] = "",0,YEAR(RegistroSaidas[[#This Row],[Data do Caixa Realizado]]))</f>
        <v>2019</v>
      </c>
      <c r="K200" s="38">
        <f xml:space="preserve"> IF(RegistroSaidas[[#This Row],[Data da Competência]]="",0,MONTH(RegistroSaidas[[#This Row],[Data da Competência]]))</f>
        <v>3</v>
      </c>
      <c r="L200" s="38">
        <f xml:space="preserve"> IF(RegistroSaidas[[#This Row],[Data da Competência]]="",0,YEAR(RegistroSaidas[[#This Row],[Data da Competência]]))</f>
        <v>2019</v>
      </c>
      <c r="M200" s="38">
        <f xml:space="preserve"> IF(RegistroSaidas[[#This Row],[Data do Caixa Previsto]]="",0,MONTH(RegistroSaidas[[#This Row],[Data do Caixa Previsto]]))</f>
        <v>5</v>
      </c>
      <c r="N200" s="38">
        <f xml:space="preserve"> IF(RegistroSaidas[[#This Row],[Data do Caixa Previsto]]="",0,YEAR(RegistroSaidas[[#This Row],[Data do Caixa Previsto]]))</f>
        <v>2019</v>
      </c>
      <c r="O200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76.900761643715668</v>
      </c>
    </row>
    <row r="201" spans="2:15" ht="20.100000000000001" customHeight="1" x14ac:dyDescent="0.25">
      <c r="B201" s="9">
        <v>43570.097263655982</v>
      </c>
      <c r="C201" s="9">
        <v>43551</v>
      </c>
      <c r="D201" s="9">
        <v>43557.083579079888</v>
      </c>
      <c r="E201" t="s">
        <v>34</v>
      </c>
      <c r="F201" t="s">
        <v>31</v>
      </c>
      <c r="G201" t="s">
        <v>475</v>
      </c>
      <c r="H201" s="10">
        <v>4854</v>
      </c>
      <c r="I201">
        <f>IF(RegistroSaidas[[#This Row],[Data do Caixa Realizado]] = "", 0, MONTH(RegistroSaidas[[#This Row],[Data do Caixa Realizado]]))</f>
        <v>4</v>
      </c>
      <c r="J201">
        <f>IF(RegistroSaidas[[#This Row],[Data do Caixa Realizado]] = "",0,YEAR(RegistroSaidas[[#This Row],[Data do Caixa Realizado]]))</f>
        <v>2019</v>
      </c>
      <c r="K201" s="38">
        <f xml:space="preserve"> IF(RegistroSaidas[[#This Row],[Data da Competência]]="",0,MONTH(RegistroSaidas[[#This Row],[Data da Competência]]))</f>
        <v>3</v>
      </c>
      <c r="L201" s="38">
        <f xml:space="preserve"> IF(RegistroSaidas[[#This Row],[Data da Competência]]="",0,YEAR(RegistroSaidas[[#This Row],[Data da Competência]]))</f>
        <v>2019</v>
      </c>
      <c r="M201" s="38">
        <f xml:space="preserve"> IF(RegistroSaidas[[#This Row],[Data do Caixa Previsto]]="",0,MONTH(RegistroSaidas[[#This Row],[Data do Caixa Previsto]]))</f>
        <v>4</v>
      </c>
      <c r="N201" s="38">
        <f xml:space="preserve"> IF(RegistroSaidas[[#This Row],[Data do Caixa Previsto]]="",0,YEAR(RegistroSaidas[[#This Row],[Data do Caixa Previsto]]))</f>
        <v>2019</v>
      </c>
      <c r="O201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13.01368457609351</v>
      </c>
    </row>
    <row r="202" spans="2:15" ht="20.100000000000001" customHeight="1" x14ac:dyDescent="0.25">
      <c r="B202" s="9">
        <v>43578.736317775256</v>
      </c>
      <c r="C202" s="9">
        <v>43557</v>
      </c>
      <c r="D202" s="9">
        <v>43578.736317775256</v>
      </c>
      <c r="E202" t="s">
        <v>34</v>
      </c>
      <c r="F202" t="s">
        <v>29</v>
      </c>
      <c r="G202" t="s">
        <v>476</v>
      </c>
      <c r="H202" s="10">
        <v>3453</v>
      </c>
      <c r="I202">
        <f>IF(RegistroSaidas[[#This Row],[Data do Caixa Realizado]] = "", 0, MONTH(RegistroSaidas[[#This Row],[Data do Caixa Realizado]]))</f>
        <v>4</v>
      </c>
      <c r="J202">
        <f>IF(RegistroSaidas[[#This Row],[Data do Caixa Realizado]] = "",0,YEAR(RegistroSaidas[[#This Row],[Data do Caixa Realizado]]))</f>
        <v>2019</v>
      </c>
      <c r="K202" s="38">
        <f xml:space="preserve"> IF(RegistroSaidas[[#This Row],[Data da Competência]]="",0,MONTH(RegistroSaidas[[#This Row],[Data da Competência]]))</f>
        <v>4</v>
      </c>
      <c r="L202" s="38">
        <f xml:space="preserve"> IF(RegistroSaidas[[#This Row],[Data da Competência]]="",0,YEAR(RegistroSaidas[[#This Row],[Data da Competência]]))</f>
        <v>2019</v>
      </c>
      <c r="M202" s="38">
        <f xml:space="preserve"> IF(RegistroSaidas[[#This Row],[Data do Caixa Previsto]]="",0,MONTH(RegistroSaidas[[#This Row],[Data do Caixa Previsto]]))</f>
        <v>4</v>
      </c>
      <c r="N202" s="38">
        <f xml:space="preserve"> IF(RegistroSaidas[[#This Row],[Data do Caixa Previsto]]="",0,YEAR(RegistroSaidas[[#This Row],[Data do Caixa Previsto]]))</f>
        <v>2019</v>
      </c>
      <c r="O202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203" spans="2:15" ht="20.100000000000001" customHeight="1" x14ac:dyDescent="0.25">
      <c r="B203" s="9">
        <v>43575.110312084966</v>
      </c>
      <c r="C203" s="9">
        <v>43558</v>
      </c>
      <c r="D203" s="9">
        <v>43560.81847105785</v>
      </c>
      <c r="E203" t="s">
        <v>34</v>
      </c>
      <c r="F203" t="s">
        <v>40</v>
      </c>
      <c r="G203" t="s">
        <v>477</v>
      </c>
      <c r="H203" s="10">
        <v>3341</v>
      </c>
      <c r="I203">
        <f>IF(RegistroSaidas[[#This Row],[Data do Caixa Realizado]] = "", 0, MONTH(RegistroSaidas[[#This Row],[Data do Caixa Realizado]]))</f>
        <v>4</v>
      </c>
      <c r="J203">
        <f>IF(RegistroSaidas[[#This Row],[Data do Caixa Realizado]] = "",0,YEAR(RegistroSaidas[[#This Row],[Data do Caixa Realizado]]))</f>
        <v>2019</v>
      </c>
      <c r="K203" s="38">
        <f xml:space="preserve"> IF(RegistroSaidas[[#This Row],[Data da Competência]]="",0,MONTH(RegistroSaidas[[#This Row],[Data da Competência]]))</f>
        <v>4</v>
      </c>
      <c r="L203" s="38">
        <f xml:space="preserve"> IF(RegistroSaidas[[#This Row],[Data da Competência]]="",0,YEAR(RegistroSaidas[[#This Row],[Data da Competência]]))</f>
        <v>2019</v>
      </c>
      <c r="M203" s="38">
        <f xml:space="preserve"> IF(RegistroSaidas[[#This Row],[Data do Caixa Previsto]]="",0,MONTH(RegistroSaidas[[#This Row],[Data do Caixa Previsto]]))</f>
        <v>4</v>
      </c>
      <c r="N203" s="38">
        <f xml:space="preserve"> IF(RegistroSaidas[[#This Row],[Data do Caixa Previsto]]="",0,YEAR(RegistroSaidas[[#This Row],[Data do Caixa Previsto]]))</f>
        <v>2019</v>
      </c>
      <c r="O203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14.291841027115879</v>
      </c>
    </row>
    <row r="204" spans="2:15" ht="20.100000000000001" customHeight="1" x14ac:dyDescent="0.25">
      <c r="B204" s="9">
        <v>43605.865431208142</v>
      </c>
      <c r="C204" s="9">
        <v>43561</v>
      </c>
      <c r="D204" s="9">
        <v>43605.865431208142</v>
      </c>
      <c r="E204" t="s">
        <v>34</v>
      </c>
      <c r="F204" t="s">
        <v>31</v>
      </c>
      <c r="G204" t="s">
        <v>478</v>
      </c>
      <c r="H204" s="10">
        <v>2707</v>
      </c>
      <c r="I204">
        <f>IF(RegistroSaidas[[#This Row],[Data do Caixa Realizado]] = "", 0, MONTH(RegistroSaidas[[#This Row],[Data do Caixa Realizado]]))</f>
        <v>5</v>
      </c>
      <c r="J204">
        <f>IF(RegistroSaidas[[#This Row],[Data do Caixa Realizado]] = "",0,YEAR(RegistroSaidas[[#This Row],[Data do Caixa Realizado]]))</f>
        <v>2019</v>
      </c>
      <c r="K204" s="38">
        <f xml:space="preserve"> IF(RegistroSaidas[[#This Row],[Data da Competência]]="",0,MONTH(RegistroSaidas[[#This Row],[Data da Competência]]))</f>
        <v>4</v>
      </c>
      <c r="L204" s="38">
        <f xml:space="preserve"> IF(RegistroSaidas[[#This Row],[Data da Competência]]="",0,YEAR(RegistroSaidas[[#This Row],[Data da Competência]]))</f>
        <v>2019</v>
      </c>
      <c r="M204" s="38">
        <f xml:space="preserve"> IF(RegistroSaidas[[#This Row],[Data do Caixa Previsto]]="",0,MONTH(RegistroSaidas[[#This Row],[Data do Caixa Previsto]]))</f>
        <v>5</v>
      </c>
      <c r="N204" s="38">
        <f xml:space="preserve"> IF(RegistroSaidas[[#This Row],[Data do Caixa Previsto]]="",0,YEAR(RegistroSaidas[[#This Row],[Data do Caixa Previsto]]))</f>
        <v>2019</v>
      </c>
      <c r="O204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205" spans="2:15" ht="20.100000000000001" customHeight="1" x14ac:dyDescent="0.25">
      <c r="B205" s="9">
        <v>43603.683759744941</v>
      </c>
      <c r="C205" s="9">
        <v>43563</v>
      </c>
      <c r="D205" s="9">
        <v>43603.683759744941</v>
      </c>
      <c r="E205" t="s">
        <v>34</v>
      </c>
      <c r="F205" t="s">
        <v>40</v>
      </c>
      <c r="G205" t="s">
        <v>479</v>
      </c>
      <c r="H205" s="10">
        <v>1582</v>
      </c>
      <c r="I205">
        <f>IF(RegistroSaidas[[#This Row],[Data do Caixa Realizado]] = "", 0, MONTH(RegistroSaidas[[#This Row],[Data do Caixa Realizado]]))</f>
        <v>5</v>
      </c>
      <c r="J205">
        <f>IF(RegistroSaidas[[#This Row],[Data do Caixa Realizado]] = "",0,YEAR(RegistroSaidas[[#This Row],[Data do Caixa Realizado]]))</f>
        <v>2019</v>
      </c>
      <c r="K205" s="38">
        <f xml:space="preserve"> IF(RegistroSaidas[[#This Row],[Data da Competência]]="",0,MONTH(RegistroSaidas[[#This Row],[Data da Competência]]))</f>
        <v>4</v>
      </c>
      <c r="L205" s="38">
        <f xml:space="preserve"> IF(RegistroSaidas[[#This Row],[Data da Competência]]="",0,YEAR(RegistroSaidas[[#This Row],[Data da Competência]]))</f>
        <v>2019</v>
      </c>
      <c r="M205" s="38">
        <f xml:space="preserve"> IF(RegistroSaidas[[#This Row],[Data do Caixa Previsto]]="",0,MONTH(RegistroSaidas[[#This Row],[Data do Caixa Previsto]]))</f>
        <v>5</v>
      </c>
      <c r="N205" s="38">
        <f xml:space="preserve"> IF(RegistroSaidas[[#This Row],[Data do Caixa Previsto]]="",0,YEAR(RegistroSaidas[[#This Row],[Data do Caixa Previsto]]))</f>
        <v>2019</v>
      </c>
      <c r="O205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206" spans="2:15" ht="20.100000000000001" customHeight="1" x14ac:dyDescent="0.25">
      <c r="B206" s="9">
        <v>43599.508668008042</v>
      </c>
      <c r="C206" s="9">
        <v>43565</v>
      </c>
      <c r="D206" s="9">
        <v>43599.508668008042</v>
      </c>
      <c r="E206" t="s">
        <v>34</v>
      </c>
      <c r="F206" t="s">
        <v>40</v>
      </c>
      <c r="G206" t="s">
        <v>480</v>
      </c>
      <c r="H206" s="10">
        <v>3889</v>
      </c>
      <c r="I206">
        <f>IF(RegistroSaidas[[#This Row],[Data do Caixa Realizado]] = "", 0, MONTH(RegistroSaidas[[#This Row],[Data do Caixa Realizado]]))</f>
        <v>5</v>
      </c>
      <c r="J206">
        <f>IF(RegistroSaidas[[#This Row],[Data do Caixa Realizado]] = "",0,YEAR(RegistroSaidas[[#This Row],[Data do Caixa Realizado]]))</f>
        <v>2019</v>
      </c>
      <c r="K206" s="38">
        <f xml:space="preserve"> IF(RegistroSaidas[[#This Row],[Data da Competência]]="",0,MONTH(RegistroSaidas[[#This Row],[Data da Competência]]))</f>
        <v>4</v>
      </c>
      <c r="L206" s="38">
        <f xml:space="preserve"> IF(RegistroSaidas[[#This Row],[Data da Competência]]="",0,YEAR(RegistroSaidas[[#This Row],[Data da Competência]]))</f>
        <v>2019</v>
      </c>
      <c r="M206" s="38">
        <f xml:space="preserve"> IF(RegistroSaidas[[#This Row],[Data do Caixa Previsto]]="",0,MONTH(RegistroSaidas[[#This Row],[Data do Caixa Previsto]]))</f>
        <v>5</v>
      </c>
      <c r="N206" s="38">
        <f xml:space="preserve"> IF(RegistroSaidas[[#This Row],[Data do Caixa Previsto]]="",0,YEAR(RegistroSaidas[[#This Row],[Data do Caixa Previsto]]))</f>
        <v>2019</v>
      </c>
      <c r="O206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207" spans="2:15" ht="20.100000000000001" customHeight="1" x14ac:dyDescent="0.25">
      <c r="B207" s="9">
        <v>43584.569223583399</v>
      </c>
      <c r="C207" s="9">
        <v>43569</v>
      </c>
      <c r="D207" s="9">
        <v>43584.569223583399</v>
      </c>
      <c r="E207" t="s">
        <v>34</v>
      </c>
      <c r="F207" t="s">
        <v>40</v>
      </c>
      <c r="G207" t="s">
        <v>481</v>
      </c>
      <c r="H207" s="10">
        <v>2303</v>
      </c>
      <c r="I207">
        <f>IF(RegistroSaidas[[#This Row],[Data do Caixa Realizado]] = "", 0, MONTH(RegistroSaidas[[#This Row],[Data do Caixa Realizado]]))</f>
        <v>4</v>
      </c>
      <c r="J207">
        <f>IF(RegistroSaidas[[#This Row],[Data do Caixa Realizado]] = "",0,YEAR(RegistroSaidas[[#This Row],[Data do Caixa Realizado]]))</f>
        <v>2019</v>
      </c>
      <c r="K207" s="38">
        <f xml:space="preserve"> IF(RegistroSaidas[[#This Row],[Data da Competência]]="",0,MONTH(RegistroSaidas[[#This Row],[Data da Competência]]))</f>
        <v>4</v>
      </c>
      <c r="L207" s="38">
        <f xml:space="preserve"> IF(RegistroSaidas[[#This Row],[Data da Competência]]="",0,YEAR(RegistroSaidas[[#This Row],[Data da Competência]]))</f>
        <v>2019</v>
      </c>
      <c r="M207" s="38">
        <f xml:space="preserve"> IF(RegistroSaidas[[#This Row],[Data do Caixa Previsto]]="",0,MONTH(RegistroSaidas[[#This Row],[Data do Caixa Previsto]]))</f>
        <v>4</v>
      </c>
      <c r="N207" s="38">
        <f xml:space="preserve"> IF(RegistroSaidas[[#This Row],[Data do Caixa Previsto]]="",0,YEAR(RegistroSaidas[[#This Row],[Data do Caixa Previsto]]))</f>
        <v>2019</v>
      </c>
      <c r="O207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208" spans="2:15" ht="20.100000000000001" customHeight="1" x14ac:dyDescent="0.25">
      <c r="B208" s="9">
        <v>43604.655561438565</v>
      </c>
      <c r="C208" s="9">
        <v>43572</v>
      </c>
      <c r="D208" s="9">
        <v>43604.655561438565</v>
      </c>
      <c r="E208" t="s">
        <v>34</v>
      </c>
      <c r="F208" t="s">
        <v>30</v>
      </c>
      <c r="G208" t="s">
        <v>482</v>
      </c>
      <c r="H208" s="10">
        <v>802</v>
      </c>
      <c r="I208">
        <f>IF(RegistroSaidas[[#This Row],[Data do Caixa Realizado]] = "", 0, MONTH(RegistroSaidas[[#This Row],[Data do Caixa Realizado]]))</f>
        <v>5</v>
      </c>
      <c r="J208">
        <f>IF(RegistroSaidas[[#This Row],[Data do Caixa Realizado]] = "",0,YEAR(RegistroSaidas[[#This Row],[Data do Caixa Realizado]]))</f>
        <v>2019</v>
      </c>
      <c r="K208" s="38">
        <f xml:space="preserve"> IF(RegistroSaidas[[#This Row],[Data da Competência]]="",0,MONTH(RegistroSaidas[[#This Row],[Data da Competência]]))</f>
        <v>4</v>
      </c>
      <c r="L208" s="38">
        <f xml:space="preserve"> IF(RegistroSaidas[[#This Row],[Data da Competência]]="",0,YEAR(RegistroSaidas[[#This Row],[Data da Competência]]))</f>
        <v>2019</v>
      </c>
      <c r="M208" s="38">
        <f xml:space="preserve"> IF(RegistroSaidas[[#This Row],[Data do Caixa Previsto]]="",0,MONTH(RegistroSaidas[[#This Row],[Data do Caixa Previsto]]))</f>
        <v>5</v>
      </c>
      <c r="N208" s="38">
        <f xml:space="preserve"> IF(RegistroSaidas[[#This Row],[Data do Caixa Previsto]]="",0,YEAR(RegistroSaidas[[#This Row],[Data do Caixa Previsto]]))</f>
        <v>2019</v>
      </c>
      <c r="O208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209" spans="2:15" ht="20.100000000000001" customHeight="1" x14ac:dyDescent="0.25">
      <c r="B209" s="9">
        <v>43589.233184767916</v>
      </c>
      <c r="C209" s="9">
        <v>43574</v>
      </c>
      <c r="D209" s="9">
        <v>43589.233184767916</v>
      </c>
      <c r="E209" t="s">
        <v>34</v>
      </c>
      <c r="F209" t="s">
        <v>40</v>
      </c>
      <c r="G209" t="s">
        <v>483</v>
      </c>
      <c r="H209" s="10">
        <v>4513</v>
      </c>
      <c r="I209">
        <f>IF(RegistroSaidas[[#This Row],[Data do Caixa Realizado]] = "", 0, MONTH(RegistroSaidas[[#This Row],[Data do Caixa Realizado]]))</f>
        <v>5</v>
      </c>
      <c r="J209">
        <f>IF(RegistroSaidas[[#This Row],[Data do Caixa Realizado]] = "",0,YEAR(RegistroSaidas[[#This Row],[Data do Caixa Realizado]]))</f>
        <v>2019</v>
      </c>
      <c r="K209" s="38">
        <f xml:space="preserve"> IF(RegistroSaidas[[#This Row],[Data da Competência]]="",0,MONTH(RegistroSaidas[[#This Row],[Data da Competência]]))</f>
        <v>4</v>
      </c>
      <c r="L209" s="38">
        <f xml:space="preserve"> IF(RegistroSaidas[[#This Row],[Data da Competência]]="",0,YEAR(RegistroSaidas[[#This Row],[Data da Competência]]))</f>
        <v>2019</v>
      </c>
      <c r="M209" s="38">
        <f xml:space="preserve"> IF(RegistroSaidas[[#This Row],[Data do Caixa Previsto]]="",0,MONTH(RegistroSaidas[[#This Row],[Data do Caixa Previsto]]))</f>
        <v>5</v>
      </c>
      <c r="N209" s="38">
        <f xml:space="preserve"> IF(RegistroSaidas[[#This Row],[Data do Caixa Previsto]]="",0,YEAR(RegistroSaidas[[#This Row],[Data do Caixa Previsto]]))</f>
        <v>2019</v>
      </c>
      <c r="O209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210" spans="2:15" ht="20.100000000000001" customHeight="1" x14ac:dyDescent="0.25">
      <c r="B210" s="9">
        <v>43586.8659361682</v>
      </c>
      <c r="C210" s="9">
        <v>43576</v>
      </c>
      <c r="D210" s="9">
        <v>43586.8659361682</v>
      </c>
      <c r="E210" t="s">
        <v>34</v>
      </c>
      <c r="F210" t="s">
        <v>40</v>
      </c>
      <c r="G210" t="s">
        <v>484</v>
      </c>
      <c r="H210" s="10">
        <v>3908</v>
      </c>
      <c r="I210">
        <f>IF(RegistroSaidas[[#This Row],[Data do Caixa Realizado]] = "", 0, MONTH(RegistroSaidas[[#This Row],[Data do Caixa Realizado]]))</f>
        <v>5</v>
      </c>
      <c r="J210">
        <f>IF(RegistroSaidas[[#This Row],[Data do Caixa Realizado]] = "",0,YEAR(RegistroSaidas[[#This Row],[Data do Caixa Realizado]]))</f>
        <v>2019</v>
      </c>
      <c r="K210" s="38">
        <f xml:space="preserve"> IF(RegistroSaidas[[#This Row],[Data da Competência]]="",0,MONTH(RegistroSaidas[[#This Row],[Data da Competência]]))</f>
        <v>4</v>
      </c>
      <c r="L210" s="38">
        <f xml:space="preserve"> IF(RegistroSaidas[[#This Row],[Data da Competência]]="",0,YEAR(RegistroSaidas[[#This Row],[Data da Competência]]))</f>
        <v>2019</v>
      </c>
      <c r="M210" s="38">
        <f xml:space="preserve"> IF(RegistroSaidas[[#This Row],[Data do Caixa Previsto]]="",0,MONTH(RegistroSaidas[[#This Row],[Data do Caixa Previsto]]))</f>
        <v>5</v>
      </c>
      <c r="N210" s="38">
        <f xml:space="preserve"> IF(RegistroSaidas[[#This Row],[Data do Caixa Previsto]]="",0,YEAR(RegistroSaidas[[#This Row],[Data do Caixa Previsto]]))</f>
        <v>2019</v>
      </c>
      <c r="O210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211" spans="2:15" ht="20.100000000000001" customHeight="1" x14ac:dyDescent="0.25">
      <c r="B211" s="9">
        <v>43641.890700157783</v>
      </c>
      <c r="C211" s="9">
        <v>43580</v>
      </c>
      <c r="D211" s="9">
        <v>43635.027119606828</v>
      </c>
      <c r="E211" t="s">
        <v>34</v>
      </c>
      <c r="F211" t="s">
        <v>40</v>
      </c>
      <c r="G211" t="s">
        <v>485</v>
      </c>
      <c r="H211" s="10">
        <v>156</v>
      </c>
      <c r="I211">
        <f>IF(RegistroSaidas[[#This Row],[Data do Caixa Realizado]] = "", 0, MONTH(RegistroSaidas[[#This Row],[Data do Caixa Realizado]]))</f>
        <v>6</v>
      </c>
      <c r="J211">
        <f>IF(RegistroSaidas[[#This Row],[Data do Caixa Realizado]] = "",0,YEAR(RegistroSaidas[[#This Row],[Data do Caixa Realizado]]))</f>
        <v>2019</v>
      </c>
      <c r="K211" s="38">
        <f xml:space="preserve"> IF(RegistroSaidas[[#This Row],[Data da Competência]]="",0,MONTH(RegistroSaidas[[#This Row],[Data da Competência]]))</f>
        <v>4</v>
      </c>
      <c r="L211" s="38">
        <f xml:space="preserve"> IF(RegistroSaidas[[#This Row],[Data da Competência]]="",0,YEAR(RegistroSaidas[[#This Row],[Data da Competência]]))</f>
        <v>2019</v>
      </c>
      <c r="M211" s="38">
        <f xml:space="preserve"> IF(RegistroSaidas[[#This Row],[Data do Caixa Previsto]]="",0,MONTH(RegistroSaidas[[#This Row],[Data do Caixa Previsto]]))</f>
        <v>6</v>
      </c>
      <c r="N211" s="38">
        <f xml:space="preserve"> IF(RegistroSaidas[[#This Row],[Data do Caixa Previsto]]="",0,YEAR(RegistroSaidas[[#This Row],[Data do Caixa Previsto]]))</f>
        <v>2019</v>
      </c>
      <c r="O211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6.8635805509547936</v>
      </c>
    </row>
    <row r="212" spans="2:15" ht="20.100000000000001" customHeight="1" x14ac:dyDescent="0.25">
      <c r="B212" s="9">
        <v>43622.113483825102</v>
      </c>
      <c r="C212" s="9">
        <v>43582</v>
      </c>
      <c r="D212" s="9">
        <v>43622.113483825102</v>
      </c>
      <c r="E212" t="s">
        <v>34</v>
      </c>
      <c r="F212" t="s">
        <v>30</v>
      </c>
      <c r="G212" t="s">
        <v>486</v>
      </c>
      <c r="H212" s="10">
        <v>457</v>
      </c>
      <c r="I212">
        <f>IF(RegistroSaidas[[#This Row],[Data do Caixa Realizado]] = "", 0, MONTH(RegistroSaidas[[#This Row],[Data do Caixa Realizado]]))</f>
        <v>6</v>
      </c>
      <c r="J212">
        <f>IF(RegistroSaidas[[#This Row],[Data do Caixa Realizado]] = "",0,YEAR(RegistroSaidas[[#This Row],[Data do Caixa Realizado]]))</f>
        <v>2019</v>
      </c>
      <c r="K212" s="38">
        <f xml:space="preserve"> IF(RegistroSaidas[[#This Row],[Data da Competência]]="",0,MONTH(RegistroSaidas[[#This Row],[Data da Competência]]))</f>
        <v>4</v>
      </c>
      <c r="L212" s="38">
        <f xml:space="preserve"> IF(RegistroSaidas[[#This Row],[Data da Competência]]="",0,YEAR(RegistroSaidas[[#This Row],[Data da Competência]]))</f>
        <v>2019</v>
      </c>
      <c r="M212" s="38">
        <f xml:space="preserve"> IF(RegistroSaidas[[#This Row],[Data do Caixa Previsto]]="",0,MONTH(RegistroSaidas[[#This Row],[Data do Caixa Previsto]]))</f>
        <v>6</v>
      </c>
      <c r="N212" s="38">
        <f xml:space="preserve"> IF(RegistroSaidas[[#This Row],[Data do Caixa Previsto]]="",0,YEAR(RegistroSaidas[[#This Row],[Data do Caixa Previsto]]))</f>
        <v>2019</v>
      </c>
      <c r="O212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213" spans="2:15" ht="20.100000000000001" customHeight="1" x14ac:dyDescent="0.25">
      <c r="B213" s="9">
        <v>43624.026611669258</v>
      </c>
      <c r="C213" s="9">
        <v>43588</v>
      </c>
      <c r="D213" s="9">
        <v>43624.026611669258</v>
      </c>
      <c r="E213" t="s">
        <v>34</v>
      </c>
      <c r="F213" t="s">
        <v>40</v>
      </c>
      <c r="G213" t="s">
        <v>487</v>
      </c>
      <c r="H213" s="10">
        <v>3536</v>
      </c>
      <c r="I213">
        <f>IF(RegistroSaidas[[#This Row],[Data do Caixa Realizado]] = "", 0, MONTH(RegistroSaidas[[#This Row],[Data do Caixa Realizado]]))</f>
        <v>6</v>
      </c>
      <c r="J213">
        <f>IF(RegistroSaidas[[#This Row],[Data do Caixa Realizado]] = "",0,YEAR(RegistroSaidas[[#This Row],[Data do Caixa Realizado]]))</f>
        <v>2019</v>
      </c>
      <c r="K213" s="38">
        <f xml:space="preserve"> IF(RegistroSaidas[[#This Row],[Data da Competência]]="",0,MONTH(RegistroSaidas[[#This Row],[Data da Competência]]))</f>
        <v>5</v>
      </c>
      <c r="L213" s="38">
        <f xml:space="preserve"> IF(RegistroSaidas[[#This Row],[Data da Competência]]="",0,YEAR(RegistroSaidas[[#This Row],[Data da Competência]]))</f>
        <v>2019</v>
      </c>
      <c r="M213" s="38">
        <f xml:space="preserve"> IF(RegistroSaidas[[#This Row],[Data do Caixa Previsto]]="",0,MONTH(RegistroSaidas[[#This Row],[Data do Caixa Previsto]]))</f>
        <v>6</v>
      </c>
      <c r="N213" s="38">
        <f xml:space="preserve"> IF(RegistroSaidas[[#This Row],[Data do Caixa Previsto]]="",0,YEAR(RegistroSaidas[[#This Row],[Data do Caixa Previsto]]))</f>
        <v>2019</v>
      </c>
      <c r="O213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214" spans="2:15" ht="20.100000000000001" customHeight="1" x14ac:dyDescent="0.25">
      <c r="B214" s="9">
        <v>43595.700139752473</v>
      </c>
      <c r="C214" s="9">
        <v>43590</v>
      </c>
      <c r="D214" s="9">
        <v>43595.700139752473</v>
      </c>
      <c r="E214" t="s">
        <v>34</v>
      </c>
      <c r="F214" t="s">
        <v>40</v>
      </c>
      <c r="G214" t="s">
        <v>488</v>
      </c>
      <c r="H214" s="10">
        <v>1809</v>
      </c>
      <c r="I214">
        <f>IF(RegistroSaidas[[#This Row],[Data do Caixa Realizado]] = "", 0, MONTH(RegistroSaidas[[#This Row],[Data do Caixa Realizado]]))</f>
        <v>5</v>
      </c>
      <c r="J214">
        <f>IF(RegistroSaidas[[#This Row],[Data do Caixa Realizado]] = "",0,YEAR(RegistroSaidas[[#This Row],[Data do Caixa Realizado]]))</f>
        <v>2019</v>
      </c>
      <c r="K214" s="38">
        <f xml:space="preserve"> IF(RegistroSaidas[[#This Row],[Data da Competência]]="",0,MONTH(RegistroSaidas[[#This Row],[Data da Competência]]))</f>
        <v>5</v>
      </c>
      <c r="L214" s="38">
        <f xml:space="preserve"> IF(RegistroSaidas[[#This Row],[Data da Competência]]="",0,YEAR(RegistroSaidas[[#This Row],[Data da Competência]]))</f>
        <v>2019</v>
      </c>
      <c r="M214" s="38">
        <f xml:space="preserve"> IF(RegistroSaidas[[#This Row],[Data do Caixa Previsto]]="",0,MONTH(RegistroSaidas[[#This Row],[Data do Caixa Previsto]]))</f>
        <v>5</v>
      </c>
      <c r="N214" s="38">
        <f xml:space="preserve"> IF(RegistroSaidas[[#This Row],[Data do Caixa Previsto]]="",0,YEAR(RegistroSaidas[[#This Row],[Data do Caixa Previsto]]))</f>
        <v>2019</v>
      </c>
      <c r="O214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215" spans="2:15" ht="20.100000000000001" customHeight="1" x14ac:dyDescent="0.25">
      <c r="B215" s="9">
        <v>43613.712962366597</v>
      </c>
      <c r="C215" s="9">
        <v>43591</v>
      </c>
      <c r="D215" s="9">
        <v>43613.712962366597</v>
      </c>
      <c r="E215" t="s">
        <v>34</v>
      </c>
      <c r="F215" t="s">
        <v>30</v>
      </c>
      <c r="G215" t="s">
        <v>489</v>
      </c>
      <c r="H215" s="10">
        <v>4172</v>
      </c>
      <c r="I215">
        <f>IF(RegistroSaidas[[#This Row],[Data do Caixa Realizado]] = "", 0, MONTH(RegistroSaidas[[#This Row],[Data do Caixa Realizado]]))</f>
        <v>5</v>
      </c>
      <c r="J215">
        <f>IF(RegistroSaidas[[#This Row],[Data do Caixa Realizado]] = "",0,YEAR(RegistroSaidas[[#This Row],[Data do Caixa Realizado]]))</f>
        <v>2019</v>
      </c>
      <c r="K215" s="38">
        <f xml:space="preserve"> IF(RegistroSaidas[[#This Row],[Data da Competência]]="",0,MONTH(RegistroSaidas[[#This Row],[Data da Competência]]))</f>
        <v>5</v>
      </c>
      <c r="L215" s="38">
        <f xml:space="preserve"> IF(RegistroSaidas[[#This Row],[Data da Competência]]="",0,YEAR(RegistroSaidas[[#This Row],[Data da Competência]]))</f>
        <v>2019</v>
      </c>
      <c r="M215" s="38">
        <f xml:space="preserve"> IF(RegistroSaidas[[#This Row],[Data do Caixa Previsto]]="",0,MONTH(RegistroSaidas[[#This Row],[Data do Caixa Previsto]]))</f>
        <v>5</v>
      </c>
      <c r="N215" s="38">
        <f xml:space="preserve"> IF(RegistroSaidas[[#This Row],[Data do Caixa Previsto]]="",0,YEAR(RegistroSaidas[[#This Row],[Data do Caixa Previsto]]))</f>
        <v>2019</v>
      </c>
      <c r="O215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216" spans="2:15" ht="20.100000000000001" customHeight="1" x14ac:dyDescent="0.25">
      <c r="B216" s="9">
        <v>43623.498752151929</v>
      </c>
      <c r="C216" s="9">
        <v>43592</v>
      </c>
      <c r="D216" s="9">
        <v>43623.498752151929</v>
      </c>
      <c r="E216" t="s">
        <v>34</v>
      </c>
      <c r="F216" t="s">
        <v>30</v>
      </c>
      <c r="G216" t="s">
        <v>490</v>
      </c>
      <c r="H216" s="10">
        <v>3827</v>
      </c>
      <c r="I216">
        <f>IF(RegistroSaidas[[#This Row],[Data do Caixa Realizado]] = "", 0, MONTH(RegistroSaidas[[#This Row],[Data do Caixa Realizado]]))</f>
        <v>6</v>
      </c>
      <c r="J216">
        <f>IF(RegistroSaidas[[#This Row],[Data do Caixa Realizado]] = "",0,YEAR(RegistroSaidas[[#This Row],[Data do Caixa Realizado]]))</f>
        <v>2019</v>
      </c>
      <c r="K216" s="38">
        <f xml:space="preserve"> IF(RegistroSaidas[[#This Row],[Data da Competência]]="",0,MONTH(RegistroSaidas[[#This Row],[Data da Competência]]))</f>
        <v>5</v>
      </c>
      <c r="L216" s="38">
        <f xml:space="preserve"> IF(RegistroSaidas[[#This Row],[Data da Competência]]="",0,YEAR(RegistroSaidas[[#This Row],[Data da Competência]]))</f>
        <v>2019</v>
      </c>
      <c r="M216" s="38">
        <f xml:space="preserve"> IF(RegistroSaidas[[#This Row],[Data do Caixa Previsto]]="",0,MONTH(RegistroSaidas[[#This Row],[Data do Caixa Previsto]]))</f>
        <v>6</v>
      </c>
      <c r="N216" s="38">
        <f xml:space="preserve"> IF(RegistroSaidas[[#This Row],[Data do Caixa Previsto]]="",0,YEAR(RegistroSaidas[[#This Row],[Data do Caixa Previsto]]))</f>
        <v>2019</v>
      </c>
      <c r="O216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217" spans="2:15" ht="20.100000000000001" customHeight="1" x14ac:dyDescent="0.25">
      <c r="B217" s="9">
        <v>43732.354485773343</v>
      </c>
      <c r="C217" s="9">
        <v>43594</v>
      </c>
      <c r="D217" s="9">
        <v>43645.188079108193</v>
      </c>
      <c r="E217" t="s">
        <v>34</v>
      </c>
      <c r="F217" t="s">
        <v>30</v>
      </c>
      <c r="G217" t="s">
        <v>491</v>
      </c>
      <c r="H217" s="10">
        <v>1700</v>
      </c>
      <c r="I217">
        <f>IF(RegistroSaidas[[#This Row],[Data do Caixa Realizado]] = "", 0, MONTH(RegistroSaidas[[#This Row],[Data do Caixa Realizado]]))</f>
        <v>9</v>
      </c>
      <c r="J217">
        <f>IF(RegistroSaidas[[#This Row],[Data do Caixa Realizado]] = "",0,YEAR(RegistroSaidas[[#This Row],[Data do Caixa Realizado]]))</f>
        <v>2019</v>
      </c>
      <c r="K217" s="38">
        <f xml:space="preserve"> IF(RegistroSaidas[[#This Row],[Data da Competência]]="",0,MONTH(RegistroSaidas[[#This Row],[Data da Competência]]))</f>
        <v>5</v>
      </c>
      <c r="L217" s="38">
        <f xml:space="preserve"> IF(RegistroSaidas[[#This Row],[Data da Competência]]="",0,YEAR(RegistroSaidas[[#This Row],[Data da Competência]]))</f>
        <v>2019</v>
      </c>
      <c r="M217" s="38">
        <f xml:space="preserve"> IF(RegistroSaidas[[#This Row],[Data do Caixa Previsto]]="",0,MONTH(RegistroSaidas[[#This Row],[Data do Caixa Previsto]]))</f>
        <v>6</v>
      </c>
      <c r="N217" s="38">
        <f xml:space="preserve"> IF(RegistroSaidas[[#This Row],[Data do Caixa Previsto]]="",0,YEAR(RegistroSaidas[[#This Row],[Data do Caixa Previsto]]))</f>
        <v>2019</v>
      </c>
      <c r="O217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87.166406665150134</v>
      </c>
    </row>
    <row r="218" spans="2:15" ht="20.100000000000001" customHeight="1" x14ac:dyDescent="0.25">
      <c r="B218" s="9">
        <v>43614.76373708652</v>
      </c>
      <c r="C218" s="9">
        <v>43595</v>
      </c>
      <c r="D218" s="9">
        <v>43614.76373708652</v>
      </c>
      <c r="E218" t="s">
        <v>34</v>
      </c>
      <c r="F218" t="s">
        <v>30</v>
      </c>
      <c r="G218" t="s">
        <v>492</v>
      </c>
      <c r="H218" s="10">
        <v>2090</v>
      </c>
      <c r="I218">
        <f>IF(RegistroSaidas[[#This Row],[Data do Caixa Realizado]] = "", 0, MONTH(RegistroSaidas[[#This Row],[Data do Caixa Realizado]]))</f>
        <v>5</v>
      </c>
      <c r="J218">
        <f>IF(RegistroSaidas[[#This Row],[Data do Caixa Realizado]] = "",0,YEAR(RegistroSaidas[[#This Row],[Data do Caixa Realizado]]))</f>
        <v>2019</v>
      </c>
      <c r="K218" s="38">
        <f xml:space="preserve"> IF(RegistroSaidas[[#This Row],[Data da Competência]]="",0,MONTH(RegistroSaidas[[#This Row],[Data da Competência]]))</f>
        <v>5</v>
      </c>
      <c r="L218" s="38">
        <f xml:space="preserve"> IF(RegistroSaidas[[#This Row],[Data da Competência]]="",0,YEAR(RegistroSaidas[[#This Row],[Data da Competência]]))</f>
        <v>2019</v>
      </c>
      <c r="M218" s="38">
        <f xml:space="preserve"> IF(RegistroSaidas[[#This Row],[Data do Caixa Previsto]]="",0,MONTH(RegistroSaidas[[#This Row],[Data do Caixa Previsto]]))</f>
        <v>5</v>
      </c>
      <c r="N218" s="38">
        <f xml:space="preserve"> IF(RegistroSaidas[[#This Row],[Data do Caixa Previsto]]="",0,YEAR(RegistroSaidas[[#This Row],[Data do Caixa Previsto]]))</f>
        <v>2019</v>
      </c>
      <c r="O218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219" spans="2:15" ht="20.100000000000001" customHeight="1" x14ac:dyDescent="0.25">
      <c r="B219" s="9">
        <v>43602.13448735002</v>
      </c>
      <c r="C219" s="9">
        <v>43598</v>
      </c>
      <c r="D219" s="9">
        <v>43602.13448735002</v>
      </c>
      <c r="E219" t="s">
        <v>34</v>
      </c>
      <c r="F219" t="s">
        <v>33</v>
      </c>
      <c r="G219" t="s">
        <v>493</v>
      </c>
      <c r="H219" s="10">
        <v>3230</v>
      </c>
      <c r="I219">
        <f>IF(RegistroSaidas[[#This Row],[Data do Caixa Realizado]] = "", 0, MONTH(RegistroSaidas[[#This Row],[Data do Caixa Realizado]]))</f>
        <v>5</v>
      </c>
      <c r="J219">
        <f>IF(RegistroSaidas[[#This Row],[Data do Caixa Realizado]] = "",0,YEAR(RegistroSaidas[[#This Row],[Data do Caixa Realizado]]))</f>
        <v>2019</v>
      </c>
      <c r="K219" s="38">
        <f xml:space="preserve"> IF(RegistroSaidas[[#This Row],[Data da Competência]]="",0,MONTH(RegistroSaidas[[#This Row],[Data da Competência]]))</f>
        <v>5</v>
      </c>
      <c r="L219" s="38">
        <f xml:space="preserve"> IF(RegistroSaidas[[#This Row],[Data da Competência]]="",0,YEAR(RegistroSaidas[[#This Row],[Data da Competência]]))</f>
        <v>2019</v>
      </c>
      <c r="M219" s="38">
        <f xml:space="preserve"> IF(RegistroSaidas[[#This Row],[Data do Caixa Previsto]]="",0,MONTH(RegistroSaidas[[#This Row],[Data do Caixa Previsto]]))</f>
        <v>5</v>
      </c>
      <c r="N219" s="38">
        <f xml:space="preserve"> IF(RegistroSaidas[[#This Row],[Data do Caixa Previsto]]="",0,YEAR(RegistroSaidas[[#This Row],[Data do Caixa Previsto]]))</f>
        <v>2019</v>
      </c>
      <c r="O219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220" spans="2:15" ht="20.100000000000001" customHeight="1" x14ac:dyDescent="0.25">
      <c r="B220" s="9">
        <v>43618.94333879678</v>
      </c>
      <c r="C220" s="9">
        <v>43601</v>
      </c>
      <c r="D220" s="9">
        <v>43618.94333879678</v>
      </c>
      <c r="E220" t="s">
        <v>34</v>
      </c>
      <c r="F220" t="s">
        <v>40</v>
      </c>
      <c r="G220" t="s">
        <v>494</v>
      </c>
      <c r="H220" s="10">
        <v>4030</v>
      </c>
      <c r="I220">
        <f>IF(RegistroSaidas[[#This Row],[Data do Caixa Realizado]] = "", 0, MONTH(RegistroSaidas[[#This Row],[Data do Caixa Realizado]]))</f>
        <v>6</v>
      </c>
      <c r="J220">
        <f>IF(RegistroSaidas[[#This Row],[Data do Caixa Realizado]] = "",0,YEAR(RegistroSaidas[[#This Row],[Data do Caixa Realizado]]))</f>
        <v>2019</v>
      </c>
      <c r="K220" s="38">
        <f xml:space="preserve"> IF(RegistroSaidas[[#This Row],[Data da Competência]]="",0,MONTH(RegistroSaidas[[#This Row],[Data da Competência]]))</f>
        <v>5</v>
      </c>
      <c r="L220" s="38">
        <f xml:space="preserve"> IF(RegistroSaidas[[#This Row],[Data da Competência]]="",0,YEAR(RegistroSaidas[[#This Row],[Data da Competência]]))</f>
        <v>2019</v>
      </c>
      <c r="M220" s="38">
        <f xml:space="preserve"> IF(RegistroSaidas[[#This Row],[Data do Caixa Previsto]]="",0,MONTH(RegistroSaidas[[#This Row],[Data do Caixa Previsto]]))</f>
        <v>6</v>
      </c>
      <c r="N220" s="38">
        <f xml:space="preserve"> IF(RegistroSaidas[[#This Row],[Data do Caixa Previsto]]="",0,YEAR(RegistroSaidas[[#This Row],[Data do Caixa Previsto]]))</f>
        <v>2019</v>
      </c>
      <c r="O220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221" spans="2:15" ht="20.100000000000001" customHeight="1" x14ac:dyDescent="0.25">
      <c r="B221" s="9">
        <v>43703.895777057623</v>
      </c>
      <c r="C221" s="9">
        <v>43604</v>
      </c>
      <c r="D221" s="9">
        <v>43615.96984606648</v>
      </c>
      <c r="E221" t="s">
        <v>34</v>
      </c>
      <c r="F221" t="s">
        <v>33</v>
      </c>
      <c r="G221" t="s">
        <v>495</v>
      </c>
      <c r="H221" s="10">
        <v>1367</v>
      </c>
      <c r="I221">
        <f>IF(RegistroSaidas[[#This Row],[Data do Caixa Realizado]] = "", 0, MONTH(RegistroSaidas[[#This Row],[Data do Caixa Realizado]]))</f>
        <v>8</v>
      </c>
      <c r="J221">
        <f>IF(RegistroSaidas[[#This Row],[Data do Caixa Realizado]] = "",0,YEAR(RegistroSaidas[[#This Row],[Data do Caixa Realizado]]))</f>
        <v>2019</v>
      </c>
      <c r="K221" s="38">
        <f xml:space="preserve"> IF(RegistroSaidas[[#This Row],[Data da Competência]]="",0,MONTH(RegistroSaidas[[#This Row],[Data da Competência]]))</f>
        <v>5</v>
      </c>
      <c r="L221" s="38">
        <f xml:space="preserve"> IF(RegistroSaidas[[#This Row],[Data da Competência]]="",0,YEAR(RegistroSaidas[[#This Row],[Data da Competência]]))</f>
        <v>2019</v>
      </c>
      <c r="M221" s="38">
        <f xml:space="preserve"> IF(RegistroSaidas[[#This Row],[Data do Caixa Previsto]]="",0,MONTH(RegistroSaidas[[#This Row],[Data do Caixa Previsto]]))</f>
        <v>5</v>
      </c>
      <c r="N221" s="38">
        <f xml:space="preserve"> IF(RegistroSaidas[[#This Row],[Data do Caixa Previsto]]="",0,YEAR(RegistroSaidas[[#This Row],[Data do Caixa Previsto]]))</f>
        <v>2019</v>
      </c>
      <c r="O221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87.925930991143105</v>
      </c>
    </row>
    <row r="222" spans="2:15" ht="20.100000000000001" customHeight="1" x14ac:dyDescent="0.25">
      <c r="B222" s="9">
        <v>43626.228578403905</v>
      </c>
      <c r="C222" s="9">
        <v>43607</v>
      </c>
      <c r="D222" s="9">
        <v>43626.228578403905</v>
      </c>
      <c r="E222" t="s">
        <v>34</v>
      </c>
      <c r="F222" t="s">
        <v>40</v>
      </c>
      <c r="G222" t="s">
        <v>496</v>
      </c>
      <c r="H222" s="10">
        <v>3945</v>
      </c>
      <c r="I222">
        <f>IF(RegistroSaidas[[#This Row],[Data do Caixa Realizado]] = "", 0, MONTH(RegistroSaidas[[#This Row],[Data do Caixa Realizado]]))</f>
        <v>6</v>
      </c>
      <c r="J222">
        <f>IF(RegistroSaidas[[#This Row],[Data do Caixa Realizado]] = "",0,YEAR(RegistroSaidas[[#This Row],[Data do Caixa Realizado]]))</f>
        <v>2019</v>
      </c>
      <c r="K222" s="38">
        <f xml:space="preserve"> IF(RegistroSaidas[[#This Row],[Data da Competência]]="",0,MONTH(RegistroSaidas[[#This Row],[Data da Competência]]))</f>
        <v>5</v>
      </c>
      <c r="L222" s="38">
        <f xml:space="preserve"> IF(RegistroSaidas[[#This Row],[Data da Competência]]="",0,YEAR(RegistroSaidas[[#This Row],[Data da Competência]]))</f>
        <v>2019</v>
      </c>
      <c r="M222" s="38">
        <f xml:space="preserve"> IF(RegistroSaidas[[#This Row],[Data do Caixa Previsto]]="",0,MONTH(RegistroSaidas[[#This Row],[Data do Caixa Previsto]]))</f>
        <v>6</v>
      </c>
      <c r="N222" s="38">
        <f xml:space="preserve"> IF(RegistroSaidas[[#This Row],[Data do Caixa Previsto]]="",0,YEAR(RegistroSaidas[[#This Row],[Data do Caixa Previsto]]))</f>
        <v>2019</v>
      </c>
      <c r="O222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223" spans="2:15" ht="20.100000000000001" customHeight="1" x14ac:dyDescent="0.25">
      <c r="B223" s="9">
        <v>43643.772479924686</v>
      </c>
      <c r="C223" s="9">
        <v>43610</v>
      </c>
      <c r="D223" s="9">
        <v>43641.740590364629</v>
      </c>
      <c r="E223" t="s">
        <v>34</v>
      </c>
      <c r="F223" t="s">
        <v>29</v>
      </c>
      <c r="G223" t="s">
        <v>497</v>
      </c>
      <c r="H223" s="10">
        <v>4518</v>
      </c>
      <c r="I223">
        <f>IF(RegistroSaidas[[#This Row],[Data do Caixa Realizado]] = "", 0, MONTH(RegistroSaidas[[#This Row],[Data do Caixa Realizado]]))</f>
        <v>6</v>
      </c>
      <c r="J223">
        <f>IF(RegistroSaidas[[#This Row],[Data do Caixa Realizado]] = "",0,YEAR(RegistroSaidas[[#This Row],[Data do Caixa Realizado]]))</f>
        <v>2019</v>
      </c>
      <c r="K223" s="38">
        <f xml:space="preserve"> IF(RegistroSaidas[[#This Row],[Data da Competência]]="",0,MONTH(RegistroSaidas[[#This Row],[Data da Competência]]))</f>
        <v>5</v>
      </c>
      <c r="L223" s="38">
        <f xml:space="preserve"> IF(RegistroSaidas[[#This Row],[Data da Competência]]="",0,YEAR(RegistroSaidas[[#This Row],[Data da Competência]]))</f>
        <v>2019</v>
      </c>
      <c r="M223" s="38">
        <f xml:space="preserve"> IF(RegistroSaidas[[#This Row],[Data do Caixa Previsto]]="",0,MONTH(RegistroSaidas[[#This Row],[Data do Caixa Previsto]]))</f>
        <v>6</v>
      </c>
      <c r="N223" s="38">
        <f xml:space="preserve"> IF(RegistroSaidas[[#This Row],[Data do Caixa Previsto]]="",0,YEAR(RegistroSaidas[[#This Row],[Data do Caixa Previsto]]))</f>
        <v>2019</v>
      </c>
      <c r="O223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2.031889560057607</v>
      </c>
    </row>
    <row r="224" spans="2:15" ht="20.100000000000001" customHeight="1" x14ac:dyDescent="0.25">
      <c r="B224" s="9">
        <v>43673.934978004319</v>
      </c>
      <c r="C224" s="9">
        <v>43614</v>
      </c>
      <c r="D224" s="9">
        <v>43645.508154061761</v>
      </c>
      <c r="E224" t="s">
        <v>34</v>
      </c>
      <c r="F224" t="s">
        <v>40</v>
      </c>
      <c r="G224" t="s">
        <v>341</v>
      </c>
      <c r="H224" s="10">
        <v>3086</v>
      </c>
      <c r="I224">
        <f>IF(RegistroSaidas[[#This Row],[Data do Caixa Realizado]] = "", 0, MONTH(RegistroSaidas[[#This Row],[Data do Caixa Realizado]]))</f>
        <v>7</v>
      </c>
      <c r="J224">
        <f>IF(RegistroSaidas[[#This Row],[Data do Caixa Realizado]] = "",0,YEAR(RegistroSaidas[[#This Row],[Data do Caixa Realizado]]))</f>
        <v>2019</v>
      </c>
      <c r="K224" s="38">
        <f xml:space="preserve"> IF(RegistroSaidas[[#This Row],[Data da Competência]]="",0,MONTH(RegistroSaidas[[#This Row],[Data da Competência]]))</f>
        <v>5</v>
      </c>
      <c r="L224" s="38">
        <f xml:space="preserve"> IF(RegistroSaidas[[#This Row],[Data da Competência]]="",0,YEAR(RegistroSaidas[[#This Row],[Data da Competência]]))</f>
        <v>2019</v>
      </c>
      <c r="M224" s="38">
        <f xml:space="preserve"> IF(RegistroSaidas[[#This Row],[Data do Caixa Previsto]]="",0,MONTH(RegistroSaidas[[#This Row],[Data do Caixa Previsto]]))</f>
        <v>6</v>
      </c>
      <c r="N224" s="38">
        <f xml:space="preserve"> IF(RegistroSaidas[[#This Row],[Data do Caixa Previsto]]="",0,YEAR(RegistroSaidas[[#This Row],[Data do Caixa Previsto]]))</f>
        <v>2019</v>
      </c>
      <c r="O224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28.426823942558258</v>
      </c>
    </row>
    <row r="225" spans="2:15" ht="20.100000000000001" customHeight="1" x14ac:dyDescent="0.25">
      <c r="B225" s="9">
        <v>43628.969362987358</v>
      </c>
      <c r="C225" s="9">
        <v>43619</v>
      </c>
      <c r="D225" s="9">
        <v>43628.969362987358</v>
      </c>
      <c r="E225" t="s">
        <v>34</v>
      </c>
      <c r="F225" t="s">
        <v>30</v>
      </c>
      <c r="G225" t="s">
        <v>498</v>
      </c>
      <c r="H225" s="10">
        <v>297</v>
      </c>
      <c r="I225">
        <f>IF(RegistroSaidas[[#This Row],[Data do Caixa Realizado]] = "", 0, MONTH(RegistroSaidas[[#This Row],[Data do Caixa Realizado]]))</f>
        <v>6</v>
      </c>
      <c r="J225">
        <f>IF(RegistroSaidas[[#This Row],[Data do Caixa Realizado]] = "",0,YEAR(RegistroSaidas[[#This Row],[Data do Caixa Realizado]]))</f>
        <v>2019</v>
      </c>
      <c r="K225" s="38">
        <f xml:space="preserve"> IF(RegistroSaidas[[#This Row],[Data da Competência]]="",0,MONTH(RegistroSaidas[[#This Row],[Data da Competência]]))</f>
        <v>6</v>
      </c>
      <c r="L225" s="38">
        <f xml:space="preserve"> IF(RegistroSaidas[[#This Row],[Data da Competência]]="",0,YEAR(RegistroSaidas[[#This Row],[Data da Competência]]))</f>
        <v>2019</v>
      </c>
      <c r="M225" s="38">
        <f xml:space="preserve"> IF(RegistroSaidas[[#This Row],[Data do Caixa Previsto]]="",0,MONTH(RegistroSaidas[[#This Row],[Data do Caixa Previsto]]))</f>
        <v>6</v>
      </c>
      <c r="N225" s="38">
        <f xml:space="preserve"> IF(RegistroSaidas[[#This Row],[Data do Caixa Previsto]]="",0,YEAR(RegistroSaidas[[#This Row],[Data do Caixa Previsto]]))</f>
        <v>2019</v>
      </c>
      <c r="O225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226" spans="2:15" ht="20.100000000000001" customHeight="1" x14ac:dyDescent="0.25">
      <c r="B226" s="9">
        <v>43639.192651531121</v>
      </c>
      <c r="C226" s="9">
        <v>43623</v>
      </c>
      <c r="D226" s="9">
        <v>43639.192651531121</v>
      </c>
      <c r="E226" t="s">
        <v>34</v>
      </c>
      <c r="F226" t="s">
        <v>33</v>
      </c>
      <c r="G226" t="s">
        <v>499</v>
      </c>
      <c r="H226" s="10">
        <v>3226</v>
      </c>
      <c r="I226">
        <f>IF(RegistroSaidas[[#This Row],[Data do Caixa Realizado]] = "", 0, MONTH(RegistroSaidas[[#This Row],[Data do Caixa Realizado]]))</f>
        <v>6</v>
      </c>
      <c r="J226">
        <f>IF(RegistroSaidas[[#This Row],[Data do Caixa Realizado]] = "",0,YEAR(RegistroSaidas[[#This Row],[Data do Caixa Realizado]]))</f>
        <v>2019</v>
      </c>
      <c r="K226" s="38">
        <f xml:space="preserve"> IF(RegistroSaidas[[#This Row],[Data da Competência]]="",0,MONTH(RegistroSaidas[[#This Row],[Data da Competência]]))</f>
        <v>6</v>
      </c>
      <c r="L226" s="38">
        <f xml:space="preserve"> IF(RegistroSaidas[[#This Row],[Data da Competência]]="",0,YEAR(RegistroSaidas[[#This Row],[Data da Competência]]))</f>
        <v>2019</v>
      </c>
      <c r="M226" s="38">
        <f xml:space="preserve"> IF(RegistroSaidas[[#This Row],[Data do Caixa Previsto]]="",0,MONTH(RegistroSaidas[[#This Row],[Data do Caixa Previsto]]))</f>
        <v>6</v>
      </c>
      <c r="N226" s="38">
        <f xml:space="preserve"> IF(RegistroSaidas[[#This Row],[Data do Caixa Previsto]]="",0,YEAR(RegistroSaidas[[#This Row],[Data do Caixa Previsto]]))</f>
        <v>2019</v>
      </c>
      <c r="O226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227" spans="2:15" ht="20.100000000000001" customHeight="1" x14ac:dyDescent="0.25">
      <c r="B227" s="9" t="s">
        <v>64</v>
      </c>
      <c r="C227" s="9">
        <v>43625</v>
      </c>
      <c r="D227" s="9">
        <v>43672.670884183579</v>
      </c>
      <c r="E227" t="s">
        <v>34</v>
      </c>
      <c r="F227" t="s">
        <v>40</v>
      </c>
      <c r="G227" t="s">
        <v>500</v>
      </c>
      <c r="H227" s="10">
        <v>2338</v>
      </c>
      <c r="I227">
        <f>IF(RegistroSaidas[[#This Row],[Data do Caixa Realizado]] = "", 0, MONTH(RegistroSaidas[[#This Row],[Data do Caixa Realizado]]))</f>
        <v>0</v>
      </c>
      <c r="J227">
        <f>IF(RegistroSaidas[[#This Row],[Data do Caixa Realizado]] = "",0,YEAR(RegistroSaidas[[#This Row],[Data do Caixa Realizado]]))</f>
        <v>0</v>
      </c>
      <c r="K227" s="38">
        <f xml:space="preserve"> IF(RegistroSaidas[[#This Row],[Data da Competência]]="",0,MONTH(RegistroSaidas[[#This Row],[Data da Competência]]))</f>
        <v>6</v>
      </c>
      <c r="L227" s="38">
        <f xml:space="preserve"> IF(RegistroSaidas[[#This Row],[Data da Competência]]="",0,YEAR(RegistroSaidas[[#This Row],[Data da Competência]]))</f>
        <v>2019</v>
      </c>
      <c r="M227" s="38">
        <f xml:space="preserve"> IF(RegistroSaidas[[#This Row],[Data do Caixa Previsto]]="",0,MONTH(RegistroSaidas[[#This Row],[Data do Caixa Previsto]]))</f>
        <v>7</v>
      </c>
      <c r="N227" s="38">
        <f xml:space="preserve"> IF(RegistroSaidas[[#This Row],[Data do Caixa Previsto]]="",0,YEAR(RegistroSaidas[[#This Row],[Data do Caixa Previsto]]))</f>
        <v>2019</v>
      </c>
      <c r="O227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1543.3291158164211</v>
      </c>
    </row>
    <row r="228" spans="2:15" ht="20.100000000000001" customHeight="1" x14ac:dyDescent="0.25">
      <c r="B228" s="9">
        <v>43741.508211497443</v>
      </c>
      <c r="C228" s="9">
        <v>43632</v>
      </c>
      <c r="D228" s="9">
        <v>43664.662454163976</v>
      </c>
      <c r="E228" t="s">
        <v>34</v>
      </c>
      <c r="F228" t="s">
        <v>33</v>
      </c>
      <c r="G228" t="s">
        <v>501</v>
      </c>
      <c r="H228" s="10">
        <v>3773</v>
      </c>
      <c r="I228">
        <f>IF(RegistroSaidas[[#This Row],[Data do Caixa Realizado]] = "", 0, MONTH(RegistroSaidas[[#This Row],[Data do Caixa Realizado]]))</f>
        <v>10</v>
      </c>
      <c r="J228">
        <f>IF(RegistroSaidas[[#This Row],[Data do Caixa Realizado]] = "",0,YEAR(RegistroSaidas[[#This Row],[Data do Caixa Realizado]]))</f>
        <v>2019</v>
      </c>
      <c r="K228" s="38">
        <f xml:space="preserve"> IF(RegistroSaidas[[#This Row],[Data da Competência]]="",0,MONTH(RegistroSaidas[[#This Row],[Data da Competência]]))</f>
        <v>6</v>
      </c>
      <c r="L228" s="38">
        <f xml:space="preserve"> IF(RegistroSaidas[[#This Row],[Data da Competência]]="",0,YEAR(RegistroSaidas[[#This Row],[Data da Competência]]))</f>
        <v>2019</v>
      </c>
      <c r="M228" s="38">
        <f xml:space="preserve"> IF(RegistroSaidas[[#This Row],[Data do Caixa Previsto]]="",0,MONTH(RegistroSaidas[[#This Row],[Data do Caixa Previsto]]))</f>
        <v>7</v>
      </c>
      <c r="N228" s="38">
        <f xml:space="preserve"> IF(RegistroSaidas[[#This Row],[Data do Caixa Previsto]]="",0,YEAR(RegistroSaidas[[#This Row],[Data do Caixa Previsto]]))</f>
        <v>2019</v>
      </c>
      <c r="O228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76.845757333467191</v>
      </c>
    </row>
    <row r="229" spans="2:15" ht="20.100000000000001" customHeight="1" x14ac:dyDescent="0.25">
      <c r="B229" s="9" t="s">
        <v>64</v>
      </c>
      <c r="C229" s="9">
        <v>43635</v>
      </c>
      <c r="D229" s="9">
        <v>43686.085509883509</v>
      </c>
      <c r="E229" t="s">
        <v>34</v>
      </c>
      <c r="F229" t="s">
        <v>33</v>
      </c>
      <c r="G229" t="s">
        <v>502</v>
      </c>
      <c r="H229" s="10">
        <v>2759</v>
      </c>
      <c r="I229">
        <f>IF(RegistroSaidas[[#This Row],[Data do Caixa Realizado]] = "", 0, MONTH(RegistroSaidas[[#This Row],[Data do Caixa Realizado]]))</f>
        <v>0</v>
      </c>
      <c r="J229">
        <f>IF(RegistroSaidas[[#This Row],[Data do Caixa Realizado]] = "",0,YEAR(RegistroSaidas[[#This Row],[Data do Caixa Realizado]]))</f>
        <v>0</v>
      </c>
      <c r="K229" s="38">
        <f xml:space="preserve"> IF(RegistroSaidas[[#This Row],[Data da Competência]]="",0,MONTH(RegistroSaidas[[#This Row],[Data da Competência]]))</f>
        <v>6</v>
      </c>
      <c r="L229" s="38">
        <f xml:space="preserve"> IF(RegistroSaidas[[#This Row],[Data da Competência]]="",0,YEAR(RegistroSaidas[[#This Row],[Data da Competência]]))</f>
        <v>2019</v>
      </c>
      <c r="M229" s="38">
        <f xml:space="preserve"> IF(RegistroSaidas[[#This Row],[Data do Caixa Previsto]]="",0,MONTH(RegistroSaidas[[#This Row],[Data do Caixa Previsto]]))</f>
        <v>8</v>
      </c>
      <c r="N229" s="38">
        <f xml:space="preserve"> IF(RegistroSaidas[[#This Row],[Data do Caixa Previsto]]="",0,YEAR(RegistroSaidas[[#This Row],[Data do Caixa Previsto]]))</f>
        <v>2019</v>
      </c>
      <c r="O229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1529.9144901164909</v>
      </c>
    </row>
    <row r="230" spans="2:15" ht="20.100000000000001" customHeight="1" x14ac:dyDescent="0.25">
      <c r="B230" s="9">
        <v>43682.520022083132</v>
      </c>
      <c r="C230" s="9">
        <v>43637</v>
      </c>
      <c r="D230" s="9">
        <v>43682.520022083132</v>
      </c>
      <c r="E230" t="s">
        <v>34</v>
      </c>
      <c r="F230" t="s">
        <v>33</v>
      </c>
      <c r="G230" t="s">
        <v>503</v>
      </c>
      <c r="H230" s="10">
        <v>1425</v>
      </c>
      <c r="I230">
        <f>IF(RegistroSaidas[[#This Row],[Data do Caixa Realizado]] = "", 0, MONTH(RegistroSaidas[[#This Row],[Data do Caixa Realizado]]))</f>
        <v>8</v>
      </c>
      <c r="J230">
        <f>IF(RegistroSaidas[[#This Row],[Data do Caixa Realizado]] = "",0,YEAR(RegistroSaidas[[#This Row],[Data do Caixa Realizado]]))</f>
        <v>2019</v>
      </c>
      <c r="K230" s="38">
        <f xml:space="preserve"> IF(RegistroSaidas[[#This Row],[Data da Competência]]="",0,MONTH(RegistroSaidas[[#This Row],[Data da Competência]]))</f>
        <v>6</v>
      </c>
      <c r="L230" s="38">
        <f xml:space="preserve"> IF(RegistroSaidas[[#This Row],[Data da Competência]]="",0,YEAR(RegistroSaidas[[#This Row],[Data da Competência]]))</f>
        <v>2019</v>
      </c>
      <c r="M230" s="38">
        <f xml:space="preserve"> IF(RegistroSaidas[[#This Row],[Data do Caixa Previsto]]="",0,MONTH(RegistroSaidas[[#This Row],[Data do Caixa Previsto]]))</f>
        <v>8</v>
      </c>
      <c r="N230" s="38">
        <f xml:space="preserve"> IF(RegistroSaidas[[#This Row],[Data do Caixa Previsto]]="",0,YEAR(RegistroSaidas[[#This Row],[Data do Caixa Previsto]]))</f>
        <v>2019</v>
      </c>
      <c r="O230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231" spans="2:15" ht="20.100000000000001" customHeight="1" x14ac:dyDescent="0.25">
      <c r="B231" s="9">
        <v>43697.929033863591</v>
      </c>
      <c r="C231" s="9">
        <v>43639</v>
      </c>
      <c r="D231" s="9">
        <v>43697.929033863591</v>
      </c>
      <c r="E231" t="s">
        <v>34</v>
      </c>
      <c r="F231" t="s">
        <v>33</v>
      </c>
      <c r="G231" t="s">
        <v>504</v>
      </c>
      <c r="H231" s="10">
        <v>332</v>
      </c>
      <c r="I231">
        <f>IF(RegistroSaidas[[#This Row],[Data do Caixa Realizado]] = "", 0, MONTH(RegistroSaidas[[#This Row],[Data do Caixa Realizado]]))</f>
        <v>8</v>
      </c>
      <c r="J231">
        <f>IF(RegistroSaidas[[#This Row],[Data do Caixa Realizado]] = "",0,YEAR(RegistroSaidas[[#This Row],[Data do Caixa Realizado]]))</f>
        <v>2019</v>
      </c>
      <c r="K231" s="38">
        <f xml:space="preserve"> IF(RegistroSaidas[[#This Row],[Data da Competência]]="",0,MONTH(RegistroSaidas[[#This Row],[Data da Competência]]))</f>
        <v>6</v>
      </c>
      <c r="L231" s="38">
        <f xml:space="preserve"> IF(RegistroSaidas[[#This Row],[Data da Competência]]="",0,YEAR(RegistroSaidas[[#This Row],[Data da Competência]]))</f>
        <v>2019</v>
      </c>
      <c r="M231" s="38">
        <f xml:space="preserve"> IF(RegistroSaidas[[#This Row],[Data do Caixa Previsto]]="",0,MONTH(RegistroSaidas[[#This Row],[Data do Caixa Previsto]]))</f>
        <v>8</v>
      </c>
      <c r="N231" s="38">
        <f xml:space="preserve"> IF(RegistroSaidas[[#This Row],[Data do Caixa Previsto]]="",0,YEAR(RegistroSaidas[[#This Row],[Data do Caixa Previsto]]))</f>
        <v>2019</v>
      </c>
      <c r="O231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  <row r="232" spans="2:15" ht="20.100000000000001" customHeight="1" x14ac:dyDescent="0.25">
      <c r="B232" s="9">
        <v>43653.195660130521</v>
      </c>
      <c r="C232" s="9">
        <v>43646</v>
      </c>
      <c r="D232" s="9">
        <v>43653.195660130521</v>
      </c>
      <c r="E232" t="s">
        <v>34</v>
      </c>
      <c r="F232" t="s">
        <v>40</v>
      </c>
      <c r="G232" t="s">
        <v>505</v>
      </c>
      <c r="H232" s="10">
        <v>2819</v>
      </c>
      <c r="I232">
        <f>IF(RegistroSaidas[[#This Row],[Data do Caixa Realizado]] = "", 0, MONTH(RegistroSaidas[[#This Row],[Data do Caixa Realizado]]))</f>
        <v>7</v>
      </c>
      <c r="J232">
        <f>IF(RegistroSaidas[[#This Row],[Data do Caixa Realizado]] = "",0,YEAR(RegistroSaidas[[#This Row],[Data do Caixa Realizado]]))</f>
        <v>2019</v>
      </c>
      <c r="K232" s="38">
        <f xml:space="preserve"> IF(RegistroSaidas[[#This Row],[Data da Competência]]="",0,MONTH(RegistroSaidas[[#This Row],[Data da Competência]]))</f>
        <v>6</v>
      </c>
      <c r="L232" s="38">
        <f xml:space="preserve"> IF(RegistroSaidas[[#This Row],[Data da Competência]]="",0,YEAR(RegistroSaidas[[#This Row],[Data da Competência]]))</f>
        <v>2019</v>
      </c>
      <c r="M232" s="38">
        <f xml:space="preserve"> IF(RegistroSaidas[[#This Row],[Data do Caixa Previsto]]="",0,MONTH(RegistroSaidas[[#This Row],[Data do Caixa Previsto]]))</f>
        <v>7</v>
      </c>
      <c r="N232" s="38">
        <f xml:space="preserve"> IF(RegistroSaidas[[#This Row],[Data do Caixa Previsto]]="",0,YEAR(RegistroSaidas[[#This Row],[Data do Caixa Previsto]]))</f>
        <v>2019</v>
      </c>
      <c r="O232" s="38">
        <f ca="1">IF(RegistroSaidas[[#This Row],[Data do Caixa Realizado]] &lt;&gt; "",IF(RegistroSaidas[[#This Row],[Data do Caixa Realizado]] &gt; RegistroSaidas[[#This Row],[Data do Caixa Previsto]],RegistroSaidas[[#This Row],[Data do Caixa Realizado]] - RegistroSaidas[[#This Row],[Data do Caixa Previsto]], 0), IF(TODAY() &gt; RegistroSaidas[[#This Row],[Data do Caixa Previsto]], TODAY() - RegistroSaidas[[#This Row],[Data do Caixa Previsto]], 0))</f>
        <v>0</v>
      </c>
    </row>
  </sheetData>
  <sheetProtection sheet="1" objects="1" scenarios="1" selectLockedCells="1" autoFilter="0"/>
  <mergeCells count="1">
    <mergeCell ref="B1:C1"/>
  </mergeCells>
  <dataValidations count="2">
    <dataValidation type="list" allowBlank="1" showInputMessage="1" showErrorMessage="1" sqref="E4:E232" xr:uid="{772FB2C2-871B-4D77-A0B9-ECA9A7CFCB4E}">
      <formula1 xml:space="preserve"> PCSaidasN1_Nivel_1</formula1>
    </dataValidation>
    <dataValidation type="list" allowBlank="1" showInputMessage="1" showErrorMessage="1" sqref="F4:F232" xr:uid="{BA1DF1AC-8E33-407F-A596-EF03EB791E1E}">
      <formula1 xml:space="preserve"> OFFSET(PCSaidasN2_Nivel_2, MATCH(E4, PCSaidasN2_Nivel_1,0) - 1, 0, COUNTIF(PCSaidasN2_Nivel_1, E4))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0A146-AD6E-423C-AE89-88E9DAA1F3BA}">
  <dimension ref="A1:O26"/>
  <sheetViews>
    <sheetView showGridLines="0" showRowColHeaders="0" zoomScale="130" zoomScaleNormal="130" workbookViewId="0">
      <pane ySplit="3" topLeftCell="A4" activePane="bottomLeft" state="frozen"/>
      <selection pane="bottomLeft" activeCell="C3" sqref="C3"/>
    </sheetView>
  </sheetViews>
  <sheetFormatPr defaultColWidth="0" defaultRowHeight="20.100000000000001" customHeight="1" x14ac:dyDescent="0.25"/>
  <cols>
    <col min="1" max="1" width="2" customWidth="1"/>
    <col min="2" max="2" width="18.7109375" customWidth="1"/>
    <col min="3" max="12" width="13.7109375" customWidth="1"/>
    <col min="13" max="13" width="13.28515625" customWidth="1"/>
    <col min="14" max="14" width="12.7109375" customWidth="1"/>
    <col min="15" max="15" width="2.7109375" customWidth="1"/>
    <col min="16" max="16384" width="9.140625" hidden="1"/>
  </cols>
  <sheetData>
    <row r="1" spans="2:14" ht="39.950000000000003" customHeight="1" x14ac:dyDescent="0.25">
      <c r="B1" s="203" t="s">
        <v>1</v>
      </c>
      <c r="C1" s="203"/>
      <c r="D1" s="1"/>
      <c r="E1" s="1"/>
      <c r="F1" s="1"/>
      <c r="G1" s="1"/>
      <c r="H1" s="1"/>
      <c r="I1" s="1"/>
      <c r="J1" s="201" t="s">
        <v>11</v>
      </c>
      <c r="K1" s="201"/>
      <c r="L1" s="201"/>
      <c r="M1" s="201"/>
      <c r="N1" s="201"/>
    </row>
    <row r="2" spans="2:14" ht="39.950000000000003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2:14" ht="20.100000000000001" customHeight="1" x14ac:dyDescent="0.25">
      <c r="B3" s="25" t="s">
        <v>506</v>
      </c>
      <c r="C3" s="183">
        <v>2019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2:14" ht="20.100000000000001" customHeight="1" x14ac:dyDescent="0.25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2:14" ht="20.100000000000001" customHeight="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</row>
    <row r="6" spans="2:14" ht="20.100000000000001" customHeight="1" x14ac:dyDescent="0.25">
      <c r="B6" s="202" t="s">
        <v>524</v>
      </c>
      <c r="C6" s="202"/>
      <c r="D6" s="202"/>
      <c r="E6" s="202"/>
    </row>
    <row r="7" spans="2:14" ht="20.100000000000001" customHeight="1" x14ac:dyDescent="0.25">
      <c r="B7" s="26" t="s">
        <v>507</v>
      </c>
      <c r="C7" s="27" t="s">
        <v>511</v>
      </c>
      <c r="D7" s="27" t="s">
        <v>512</v>
      </c>
      <c r="E7" s="27" t="s">
        <v>513</v>
      </c>
      <c r="F7" s="27" t="s">
        <v>514</v>
      </c>
      <c r="G7" s="27" t="s">
        <v>515</v>
      </c>
      <c r="H7" s="27" t="s">
        <v>516</v>
      </c>
      <c r="I7" s="27" t="s">
        <v>517</v>
      </c>
      <c r="J7" s="27" t="s">
        <v>518</v>
      </c>
      <c r="K7" s="27" t="s">
        <v>519</v>
      </c>
      <c r="L7" s="27" t="s">
        <v>520</v>
      </c>
      <c r="M7" s="27" t="s">
        <v>521</v>
      </c>
      <c r="N7" s="28" t="s">
        <v>522</v>
      </c>
    </row>
    <row r="8" spans="2:14" ht="20.100000000000001" customHeight="1" x14ac:dyDescent="0.25">
      <c r="B8" s="33" t="s">
        <v>523</v>
      </c>
      <c r="C8" s="29">
        <f>SUMIFS(RegistroEntradas[Valor],RegistroEntradas[Ano Caixa],"="&amp;$C$3 - 1) - SUMIFS(RegistroSaidas[Valor], RegistroSaidas[Ano Caixa], "="&amp;$C$3 - 1)</f>
        <v>-1789</v>
      </c>
      <c r="D8" s="29">
        <f>C11</f>
        <v>-347</v>
      </c>
      <c r="E8" s="29">
        <f>D11</f>
        <v>5328</v>
      </c>
      <c r="F8" s="29">
        <f t="shared" ref="F8:M8" si="0">E11</f>
        <v>7329</v>
      </c>
      <c r="G8" s="29">
        <f t="shared" si="0"/>
        <v>-4388</v>
      </c>
      <c r="H8" s="29">
        <f t="shared" si="0"/>
        <v>-5581</v>
      </c>
      <c r="I8" s="29">
        <f t="shared" si="0"/>
        <v>-19278</v>
      </c>
      <c r="J8" s="29">
        <f t="shared" si="0"/>
        <v>-18724</v>
      </c>
      <c r="K8" s="29">
        <f t="shared" si="0"/>
        <v>-19511</v>
      </c>
      <c r="L8" s="29">
        <f t="shared" si="0"/>
        <v>-17765</v>
      </c>
      <c r="M8" s="29">
        <f t="shared" si="0"/>
        <v>-19632</v>
      </c>
      <c r="N8" s="30">
        <f>M11</f>
        <v>-19632</v>
      </c>
    </row>
    <row r="9" spans="2:14" ht="20.100000000000001" customHeight="1" x14ac:dyDescent="0.25">
      <c r="B9" s="33" t="s">
        <v>508</v>
      </c>
      <c r="C9" s="29">
        <f xml:space="preserve"> SUMIFS(RegistroEntradas[Valor],RegistroEntradas[Mês Caixa],C5, RegistroEntradas[Ano Caixa],$C$3)</f>
        <v>20033</v>
      </c>
      <c r="D9" s="29">
        <f xml:space="preserve"> SUMIFS(RegistroEntradas[Valor],RegistroEntradas[Mês Caixa],D5, RegistroEntradas[Ano Caixa],$C$3)</f>
        <v>34683</v>
      </c>
      <c r="E9" s="29">
        <f xml:space="preserve"> SUMIFS(RegistroEntradas[Valor],RegistroEntradas[Mês Caixa],E5, RegistroEntradas[Ano Caixa],$C$3)</f>
        <v>20323</v>
      </c>
      <c r="F9" s="29">
        <f xml:space="preserve"> SUMIFS(RegistroEntradas[Valor],RegistroEntradas[Mês Caixa],F5, RegistroEntradas[Ano Caixa],$C$3)</f>
        <v>25152</v>
      </c>
      <c r="G9" s="29">
        <f xml:space="preserve"> SUMIFS(RegistroEntradas[Valor],RegistroEntradas[Mês Caixa],G5, RegistroEntradas[Ano Caixa],$C$3)</f>
        <v>27509</v>
      </c>
      <c r="H9" s="29">
        <f xml:space="preserve"> SUMIFS(RegistroEntradas[Valor],RegistroEntradas[Mês Caixa],H5, RegistroEntradas[Ano Caixa],$C$3)</f>
        <v>18189</v>
      </c>
      <c r="I9" s="29">
        <f xml:space="preserve"> SUMIFS(RegistroEntradas[Valor],RegistroEntradas[Mês Caixa],I5, RegistroEntradas[Ano Caixa],$C$3)</f>
        <v>8420</v>
      </c>
      <c r="J9" s="29">
        <f xml:space="preserve"> SUMIFS(RegistroEntradas[Valor],RegistroEntradas[Mês Caixa],J5, RegistroEntradas[Ano Caixa],$C$3)</f>
        <v>2337</v>
      </c>
      <c r="K9" s="29">
        <f xml:space="preserve"> SUMIFS(RegistroEntradas[Valor],RegistroEntradas[Mês Caixa],K5, RegistroEntradas[Ano Caixa],$C$3)</f>
        <v>3446</v>
      </c>
      <c r="L9" s="29">
        <f xml:space="preserve"> SUMIFS(RegistroEntradas[Valor],RegistroEntradas[Mês Caixa],L5, RegistroEntradas[Ano Caixa],$C$3)</f>
        <v>1906</v>
      </c>
      <c r="M9" s="29">
        <f xml:space="preserve"> SUMIFS(RegistroEntradas[Valor],RegistroEntradas[Mês Caixa],M5, RegistroEntradas[Ano Caixa],$C$3)</f>
        <v>0</v>
      </c>
      <c r="N9" s="30">
        <f xml:space="preserve"> SUMIFS(RegistroEntradas[Valor],RegistroEntradas[Mês Caixa],N5, RegistroEntradas[Ano Caixa],$C$3)</f>
        <v>0</v>
      </c>
    </row>
    <row r="10" spans="2:14" ht="20.100000000000001" customHeight="1" x14ac:dyDescent="0.25">
      <c r="B10" s="33" t="s">
        <v>509</v>
      </c>
      <c r="C10" s="29">
        <f>SUMIFS(RegistroSaidas[Valor],RegistroSaidas[Mês Caixa],C5,RegistroSaidas[Ano Caixa],$C$3)</f>
        <v>18591</v>
      </c>
      <c r="D10" s="29">
        <f>SUMIFS(RegistroSaidas[Valor],RegistroSaidas[Mês Caixa],D5,RegistroSaidas[Ano Caixa],$C$3)</f>
        <v>29008</v>
      </c>
      <c r="E10" s="29">
        <f>SUMIFS(RegistroSaidas[Valor],RegistroSaidas[Mês Caixa],E5,RegistroSaidas[Ano Caixa],$C$3)</f>
        <v>18322</v>
      </c>
      <c r="F10" s="29">
        <f>SUMIFS(RegistroSaidas[Valor],RegistroSaidas[Mês Caixa],F5,RegistroSaidas[Ano Caixa],$C$3)</f>
        <v>36869</v>
      </c>
      <c r="G10" s="29">
        <f>SUMIFS(RegistroSaidas[Valor],RegistroSaidas[Mês Caixa],G5,RegistroSaidas[Ano Caixa],$C$3)</f>
        <v>28702</v>
      </c>
      <c r="H10" s="29">
        <f>SUMIFS(RegistroSaidas[Valor],RegistroSaidas[Mês Caixa],H5,RegistroSaidas[Ano Caixa],$C$3)</f>
        <v>31886</v>
      </c>
      <c r="I10" s="29">
        <f>SUMIFS(RegistroSaidas[Valor],RegistroSaidas[Mês Caixa],I5,RegistroSaidas[Ano Caixa],$C$3)</f>
        <v>7866</v>
      </c>
      <c r="J10" s="29">
        <f>SUMIFS(RegistroSaidas[Valor],RegistroSaidas[Mês Caixa],J5,RegistroSaidas[Ano Caixa],$C$3)</f>
        <v>3124</v>
      </c>
      <c r="K10" s="29">
        <f>SUMIFS(RegistroSaidas[Valor],RegistroSaidas[Mês Caixa],K5,RegistroSaidas[Ano Caixa],$C$3)</f>
        <v>1700</v>
      </c>
      <c r="L10" s="29">
        <f>SUMIFS(RegistroSaidas[Valor],RegistroSaidas[Mês Caixa],L5,RegistroSaidas[Ano Caixa],$C$3)</f>
        <v>3773</v>
      </c>
      <c r="M10" s="29">
        <f>SUMIFS(RegistroSaidas[Valor],RegistroSaidas[Mês Caixa],M5,RegistroSaidas[Ano Caixa],$C$3)</f>
        <v>0</v>
      </c>
      <c r="N10" s="30">
        <f>SUMIFS(RegistroSaidas[Valor],RegistroSaidas[Mês Caixa],N5,RegistroSaidas[Ano Caixa],$C$3)</f>
        <v>0</v>
      </c>
    </row>
    <row r="11" spans="2:14" ht="20.100000000000001" customHeight="1" x14ac:dyDescent="0.25">
      <c r="B11" s="36" t="s">
        <v>510</v>
      </c>
      <c r="C11" s="31">
        <f>C8+C9-C10</f>
        <v>-347</v>
      </c>
      <c r="D11" s="31">
        <f t="shared" ref="D11:N11" si="1">D8+D9-D10</f>
        <v>5328</v>
      </c>
      <c r="E11" s="31">
        <f t="shared" si="1"/>
        <v>7329</v>
      </c>
      <c r="F11" s="31">
        <f t="shared" si="1"/>
        <v>-4388</v>
      </c>
      <c r="G11" s="31">
        <f t="shared" si="1"/>
        <v>-5581</v>
      </c>
      <c r="H11" s="31">
        <f t="shared" si="1"/>
        <v>-19278</v>
      </c>
      <c r="I11" s="31">
        <f t="shared" si="1"/>
        <v>-18724</v>
      </c>
      <c r="J11" s="31">
        <f t="shared" si="1"/>
        <v>-19511</v>
      </c>
      <c r="K11" s="31">
        <f t="shared" si="1"/>
        <v>-17765</v>
      </c>
      <c r="L11" s="31">
        <f t="shared" si="1"/>
        <v>-19632</v>
      </c>
      <c r="M11" s="31">
        <f t="shared" si="1"/>
        <v>-19632</v>
      </c>
      <c r="N11" s="32">
        <f t="shared" si="1"/>
        <v>-19632</v>
      </c>
    </row>
    <row r="13" spans="2:14" ht="20.100000000000001" customHeight="1" x14ac:dyDescent="0.25">
      <c r="B13" s="202" t="s">
        <v>525</v>
      </c>
      <c r="C13" s="202"/>
      <c r="D13" s="202"/>
      <c r="E13" s="202"/>
    </row>
    <row r="14" spans="2:14" ht="20.100000000000001" customHeight="1" x14ac:dyDescent="0.25">
      <c r="B14" s="26" t="s">
        <v>507</v>
      </c>
      <c r="C14" s="27" t="s">
        <v>511</v>
      </c>
      <c r="D14" s="27" t="s">
        <v>512</v>
      </c>
      <c r="E14" s="27" t="s">
        <v>513</v>
      </c>
      <c r="F14" s="27" t="s">
        <v>514</v>
      </c>
      <c r="G14" s="27" t="s">
        <v>515</v>
      </c>
      <c r="H14" s="27" t="s">
        <v>516</v>
      </c>
      <c r="I14" s="27" t="s">
        <v>517</v>
      </c>
      <c r="J14" s="27" t="s">
        <v>518</v>
      </c>
      <c r="K14" s="27" t="s">
        <v>519</v>
      </c>
      <c r="L14" s="27" t="s">
        <v>520</v>
      </c>
      <c r="M14" s="27" t="s">
        <v>521</v>
      </c>
      <c r="N14" s="28" t="s">
        <v>522</v>
      </c>
    </row>
    <row r="15" spans="2:14" ht="20.100000000000001" customHeight="1" x14ac:dyDescent="0.25">
      <c r="B15" s="33" t="s">
        <v>523</v>
      </c>
      <c r="C15" s="29">
        <f xml:space="preserve"> SUMIFS(RegistroEntradas[Valor], RegistroEntradas[Ano Competência], "="&amp;$C$3 - 1) - SUMIFS(RegistroSaidas[Valor], RegistroSaidas[Ano Competência], "="&amp;C3 - 1)</f>
        <v>18424</v>
      </c>
      <c r="D15" s="29">
        <f>C18</f>
        <v>10741</v>
      </c>
      <c r="E15" s="29">
        <f>D18</f>
        <v>16168</v>
      </c>
      <c r="F15" s="29">
        <f>D18</f>
        <v>16168</v>
      </c>
      <c r="G15" s="29">
        <f t="shared" ref="G15:N15" si="2">E18</f>
        <v>3277</v>
      </c>
      <c r="H15" s="29">
        <f t="shared" si="2"/>
        <v>11996</v>
      </c>
      <c r="I15" s="29">
        <f t="shared" si="2"/>
        <v>-11431</v>
      </c>
      <c r="J15" s="29">
        <f t="shared" si="2"/>
        <v>6892</v>
      </c>
      <c r="K15" s="29">
        <f t="shared" si="2"/>
        <v>-11431</v>
      </c>
      <c r="L15" s="29">
        <f t="shared" si="2"/>
        <v>6892</v>
      </c>
      <c r="M15" s="29">
        <f t="shared" si="2"/>
        <v>-11431</v>
      </c>
      <c r="N15" s="39">
        <f t="shared" si="2"/>
        <v>6892</v>
      </c>
    </row>
    <row r="16" spans="2:14" ht="20.100000000000001" customHeight="1" x14ac:dyDescent="0.25">
      <c r="B16" s="33" t="s">
        <v>508</v>
      </c>
      <c r="C16" s="29">
        <f>SUMIFS(RegistroEntradas[Valor],RegistroEntradas[Mês Competência],C5, RegistroEntradas[Ano Competência],$C$3)</f>
        <v>22897</v>
      </c>
      <c r="D16" s="29">
        <f>SUMIFS(RegistroEntradas[Valor],RegistroEntradas[Mês Competência],D5, RegistroEntradas[Ano Competência],$C$3)</f>
        <v>31755</v>
      </c>
      <c r="E16" s="29">
        <f>SUMIFS(RegistroEntradas[Valor],RegistroEntradas[Mês Competência],E5, RegistroEntradas[Ano Competência],$C$3)</f>
        <v>18601</v>
      </c>
      <c r="F16" s="29">
        <f>SUMIFS(RegistroEntradas[Valor],RegistroEntradas[Mês Competência],F5, RegistroEntradas[Ano Competência],$C$3)</f>
        <v>22939</v>
      </c>
      <c r="G16" s="29">
        <f>SUMIFS(RegistroEntradas[Valor],RegistroEntradas[Mês Competência],G5, RegistroEntradas[Ano Competência],$C$3)</f>
        <v>22602</v>
      </c>
      <c r="H16" s="29">
        <f>SUMIFS(RegistroEntradas[Valor],RegistroEntradas[Mês Competência],H5, RegistroEntradas[Ano Competência],$C$3)</f>
        <v>11865</v>
      </c>
      <c r="I16" s="29">
        <f>SUMIFS(RegistroEntradas[Valor],RegistroEntradas[Mês Competência],I5, RegistroEntradas[Ano Competência],$C$3)</f>
        <v>0</v>
      </c>
      <c r="J16" s="29">
        <f>SUMIFS(RegistroEntradas[Valor],RegistroEntradas[Mês Competência],J5, RegistroEntradas[Ano Competência],$C$3)</f>
        <v>0</v>
      </c>
      <c r="K16" s="29">
        <f>SUMIFS(RegistroEntradas[Valor],RegistroEntradas[Mês Competência],K5, RegistroEntradas[Ano Competência],$C$3)</f>
        <v>0</v>
      </c>
      <c r="L16" s="29">
        <f>SUMIFS(RegistroEntradas[Valor],RegistroEntradas[Mês Competência],L5, RegistroEntradas[Ano Competência],$C$3)</f>
        <v>0</v>
      </c>
      <c r="M16" s="29">
        <f>SUMIFS(RegistroEntradas[Valor],RegistroEntradas[Mês Competência],M5, RegistroEntradas[Ano Competência],$C$3)</f>
        <v>0</v>
      </c>
      <c r="N16" s="30">
        <f>SUMIFS(RegistroEntradas[Valor],RegistroEntradas[Mês Competência],N5, RegistroEntradas[Ano Competência],$C$3)</f>
        <v>0</v>
      </c>
    </row>
    <row r="17" spans="2:14" ht="20.100000000000001" customHeight="1" x14ac:dyDescent="0.25">
      <c r="B17" s="33" t="s">
        <v>509</v>
      </c>
      <c r="C17" s="29">
        <f>SUMIFS(RegistroSaidas[Valor], RegistroSaidas[Mês Competência],C5, RegistroSaidas[Ano Competência],$C$3)</f>
        <v>30580</v>
      </c>
      <c r="D17" s="29">
        <f>SUMIFS(RegistroSaidas[Valor], RegistroSaidas[Mês Competência],D5, RegistroSaidas[Ano Competência],$C$3)</f>
        <v>26328</v>
      </c>
      <c r="E17" s="29">
        <f>SUMIFS(RegistroSaidas[Valor], RegistroSaidas[Mês Competência],E5, RegistroSaidas[Ano Competência],$C$3)</f>
        <v>31492</v>
      </c>
      <c r="F17" s="29">
        <f>SUMIFS(RegistroSaidas[Valor], RegistroSaidas[Mês Competência],F5, RegistroSaidas[Ano Competência],$C$3)</f>
        <v>27111</v>
      </c>
      <c r="G17" s="29">
        <f>SUMIFS(RegistroSaidas[Valor], RegistroSaidas[Mês Competência],G5, RegistroSaidas[Ano Competência],$C$3)</f>
        <v>37310</v>
      </c>
      <c r="H17" s="29">
        <f>SUMIFS(RegistroSaidas[Valor], RegistroSaidas[Mês Competência],H5, RegistroSaidas[Ano Competência],$C$3)</f>
        <v>16969</v>
      </c>
      <c r="I17" s="29">
        <f>SUMIFS(RegistroSaidas[Valor], RegistroSaidas[Mês Competência],I5, RegistroSaidas[Ano Competência],$C$3)</f>
        <v>0</v>
      </c>
      <c r="J17" s="29">
        <f>SUMIFS(RegistroSaidas[Valor], RegistroSaidas[Mês Competência],J5, RegistroSaidas[Ano Competência],$C$3)</f>
        <v>0</v>
      </c>
      <c r="K17" s="29">
        <f>SUMIFS(RegistroSaidas[Valor], RegistroSaidas[Mês Competência],K5, RegistroSaidas[Ano Competência],$C$3)</f>
        <v>0</v>
      </c>
      <c r="L17" s="29">
        <f>SUMIFS(RegistroSaidas[Valor], RegistroSaidas[Mês Competência],L5, RegistroSaidas[Ano Competência],$C$3)</f>
        <v>0</v>
      </c>
      <c r="M17" s="29">
        <f>SUMIFS(RegistroSaidas[Valor], RegistroSaidas[Mês Competência],M5, RegistroSaidas[Ano Competência],$C$3)</f>
        <v>0</v>
      </c>
      <c r="N17" s="30">
        <f>SUMIFS(RegistroSaidas[Valor], RegistroSaidas[Mês Competência],N5, RegistroSaidas[Ano Competência],$C$3)</f>
        <v>0</v>
      </c>
    </row>
    <row r="18" spans="2:14" ht="20.100000000000001" customHeight="1" x14ac:dyDescent="0.25">
      <c r="B18" s="36" t="s">
        <v>510</v>
      </c>
      <c r="C18" s="31">
        <f>C15+C16-C17</f>
        <v>10741</v>
      </c>
      <c r="D18" s="31">
        <f t="shared" ref="D18:N18" si="3">D15+D16-D17</f>
        <v>16168</v>
      </c>
      <c r="E18" s="31">
        <f t="shared" si="3"/>
        <v>3277</v>
      </c>
      <c r="F18" s="31">
        <f t="shared" si="3"/>
        <v>11996</v>
      </c>
      <c r="G18" s="31">
        <f t="shared" si="3"/>
        <v>-11431</v>
      </c>
      <c r="H18" s="31">
        <f t="shared" si="3"/>
        <v>6892</v>
      </c>
      <c r="I18" s="31">
        <f t="shared" si="3"/>
        <v>-11431</v>
      </c>
      <c r="J18" s="31">
        <f t="shared" si="3"/>
        <v>6892</v>
      </c>
      <c r="K18" s="31">
        <f t="shared" si="3"/>
        <v>-11431</v>
      </c>
      <c r="L18" s="31">
        <f t="shared" si="3"/>
        <v>6892</v>
      </c>
      <c r="M18" s="31">
        <f t="shared" si="3"/>
        <v>-11431</v>
      </c>
      <c r="N18" s="32">
        <f t="shared" si="3"/>
        <v>6892</v>
      </c>
    </row>
    <row r="20" spans="2:14" ht="20.100000000000001" customHeight="1" x14ac:dyDescent="0.25">
      <c r="B20" s="202" t="s">
        <v>526</v>
      </c>
      <c r="C20" s="202"/>
      <c r="D20" s="202"/>
      <c r="E20" s="202"/>
    </row>
    <row r="21" spans="2:14" ht="20.100000000000001" customHeight="1" x14ac:dyDescent="0.25">
      <c r="B21" s="26" t="s">
        <v>507</v>
      </c>
      <c r="C21" s="27" t="s">
        <v>511</v>
      </c>
      <c r="D21" s="27" t="s">
        <v>512</v>
      </c>
      <c r="E21" s="27" t="s">
        <v>513</v>
      </c>
      <c r="F21" s="27" t="s">
        <v>514</v>
      </c>
      <c r="G21" s="27" t="s">
        <v>515</v>
      </c>
      <c r="H21" s="27" t="s">
        <v>516</v>
      </c>
      <c r="I21" s="27" t="s">
        <v>517</v>
      </c>
      <c r="J21" s="27" t="s">
        <v>518</v>
      </c>
      <c r="K21" s="27" t="s">
        <v>519</v>
      </c>
      <c r="L21" s="27" t="s">
        <v>520</v>
      </c>
      <c r="M21" s="27" t="s">
        <v>521</v>
      </c>
      <c r="N21" s="28" t="s">
        <v>522</v>
      </c>
    </row>
    <row r="22" spans="2:14" ht="20.100000000000001" customHeight="1" x14ac:dyDescent="0.25">
      <c r="B22" s="33" t="s">
        <v>527</v>
      </c>
      <c r="C22" s="29">
        <f>C16</f>
        <v>22897</v>
      </c>
      <c r="D22" s="29">
        <f t="shared" ref="D22:N22" si="4">D16</f>
        <v>31755</v>
      </c>
      <c r="E22" s="29">
        <f t="shared" si="4"/>
        <v>18601</v>
      </c>
      <c r="F22" s="29">
        <f t="shared" si="4"/>
        <v>22939</v>
      </c>
      <c r="G22" s="29">
        <f t="shared" si="4"/>
        <v>22602</v>
      </c>
      <c r="H22" s="29">
        <f t="shared" si="4"/>
        <v>11865</v>
      </c>
      <c r="I22" s="29">
        <f t="shared" si="4"/>
        <v>0</v>
      </c>
      <c r="J22" s="29">
        <f t="shared" si="4"/>
        <v>0</v>
      </c>
      <c r="K22" s="29">
        <f t="shared" si="4"/>
        <v>0</v>
      </c>
      <c r="L22" s="29">
        <f t="shared" si="4"/>
        <v>0</v>
      </c>
      <c r="M22" s="29">
        <f t="shared" si="4"/>
        <v>0</v>
      </c>
      <c r="N22" s="39">
        <f t="shared" si="4"/>
        <v>0</v>
      </c>
    </row>
    <row r="23" spans="2:14" ht="20.100000000000001" customHeight="1" x14ac:dyDescent="0.25">
      <c r="B23" s="33" t="s">
        <v>528</v>
      </c>
      <c r="C23" s="29">
        <f>C17</f>
        <v>30580</v>
      </c>
      <c r="D23" s="29">
        <f t="shared" ref="D23:N23" si="5">D17</f>
        <v>26328</v>
      </c>
      <c r="E23" s="29">
        <f t="shared" si="5"/>
        <v>31492</v>
      </c>
      <c r="F23" s="29">
        <f t="shared" si="5"/>
        <v>27111</v>
      </c>
      <c r="G23" s="29">
        <f t="shared" si="5"/>
        <v>37310</v>
      </c>
      <c r="H23" s="29">
        <f t="shared" si="5"/>
        <v>16969</v>
      </c>
      <c r="I23" s="29">
        <f t="shared" si="5"/>
        <v>0</v>
      </c>
      <c r="J23" s="29">
        <f t="shared" si="5"/>
        <v>0</v>
      </c>
      <c r="K23" s="29">
        <f t="shared" si="5"/>
        <v>0</v>
      </c>
      <c r="L23" s="29">
        <f t="shared" si="5"/>
        <v>0</v>
      </c>
      <c r="M23" s="29">
        <f t="shared" si="5"/>
        <v>0</v>
      </c>
      <c r="N23" s="32">
        <f t="shared" si="5"/>
        <v>0</v>
      </c>
    </row>
    <row r="24" spans="2:14" ht="20.100000000000001" customHeight="1" x14ac:dyDescent="0.25">
      <c r="B24" s="34" t="s">
        <v>529</v>
      </c>
      <c r="C24" s="40">
        <f>IF(C22-C23 &gt; 0, C22 - C23, 0)</f>
        <v>0</v>
      </c>
      <c r="D24" s="40">
        <f t="shared" ref="D24:N24" si="6">IF(D22-D23 &gt; 0, D22 - D23, 0)</f>
        <v>5427</v>
      </c>
      <c r="E24" s="40">
        <f t="shared" si="6"/>
        <v>0</v>
      </c>
      <c r="F24" s="40">
        <f t="shared" si="6"/>
        <v>0</v>
      </c>
      <c r="G24" s="40">
        <f t="shared" si="6"/>
        <v>0</v>
      </c>
      <c r="H24" s="40">
        <f t="shared" si="6"/>
        <v>0</v>
      </c>
      <c r="I24" s="40">
        <f t="shared" si="6"/>
        <v>0</v>
      </c>
      <c r="J24" s="40">
        <f t="shared" si="6"/>
        <v>0</v>
      </c>
      <c r="K24" s="40">
        <f t="shared" si="6"/>
        <v>0</v>
      </c>
      <c r="L24" s="40">
        <f t="shared" si="6"/>
        <v>0</v>
      </c>
      <c r="M24" s="40">
        <f t="shared" si="6"/>
        <v>0</v>
      </c>
      <c r="N24" s="41">
        <f t="shared" si="6"/>
        <v>0</v>
      </c>
    </row>
    <row r="25" spans="2:14" ht="20.100000000000001" customHeight="1" x14ac:dyDescent="0.25">
      <c r="B25" s="35" t="s">
        <v>530</v>
      </c>
      <c r="C25" s="42">
        <f xml:space="preserve"> IF(C22 - C23 &lt; 0, C22 - C23, 0)</f>
        <v>-7683</v>
      </c>
      <c r="D25" s="42">
        <f t="shared" ref="D25:N25" si="7" xml:space="preserve"> IF(D22 - D23 &lt; 0, D22 - D23, 0)</f>
        <v>0</v>
      </c>
      <c r="E25" s="42">
        <f t="shared" si="7"/>
        <v>-12891</v>
      </c>
      <c r="F25" s="42">
        <f t="shared" si="7"/>
        <v>-4172</v>
      </c>
      <c r="G25" s="42">
        <f t="shared" si="7"/>
        <v>-14708</v>
      </c>
      <c r="H25" s="42">
        <f t="shared" si="7"/>
        <v>-5104</v>
      </c>
      <c r="I25" s="42">
        <f t="shared" si="7"/>
        <v>0</v>
      </c>
      <c r="J25" s="42">
        <f t="shared" si="7"/>
        <v>0</v>
      </c>
      <c r="K25" s="42">
        <f t="shared" si="7"/>
        <v>0</v>
      </c>
      <c r="L25" s="42">
        <f t="shared" si="7"/>
        <v>0</v>
      </c>
      <c r="M25" s="42">
        <f t="shared" si="7"/>
        <v>0</v>
      </c>
      <c r="N25" s="43">
        <f t="shared" si="7"/>
        <v>0</v>
      </c>
    </row>
    <row r="26" spans="2:14" ht="20.100000000000001" customHeight="1" x14ac:dyDescent="0.25">
      <c r="B26" s="35" t="s">
        <v>531</v>
      </c>
      <c r="C26" s="42">
        <f>C22 - C23</f>
        <v>-7683</v>
      </c>
      <c r="D26" s="42">
        <f>D22 - D23 + C26</f>
        <v>-2256</v>
      </c>
      <c r="E26" s="42">
        <f t="shared" ref="E26:N26" si="8">E22 - E23 + D26</f>
        <v>-15147</v>
      </c>
      <c r="F26" s="42">
        <f t="shared" si="8"/>
        <v>-19319</v>
      </c>
      <c r="G26" s="42">
        <f t="shared" si="8"/>
        <v>-34027</v>
      </c>
      <c r="H26" s="42">
        <f t="shared" si="8"/>
        <v>-39131</v>
      </c>
      <c r="I26" s="42">
        <f t="shared" si="8"/>
        <v>-39131</v>
      </c>
      <c r="J26" s="42">
        <f t="shared" si="8"/>
        <v>-39131</v>
      </c>
      <c r="K26" s="42">
        <f t="shared" si="8"/>
        <v>-39131</v>
      </c>
      <c r="L26" s="42">
        <f t="shared" si="8"/>
        <v>-39131</v>
      </c>
      <c r="M26" s="42">
        <f t="shared" si="8"/>
        <v>-39131</v>
      </c>
      <c r="N26" s="44">
        <f t="shared" si="8"/>
        <v>-39131</v>
      </c>
    </row>
  </sheetData>
  <sheetProtection sheet="1" objects="1" scenarios="1" selectLockedCells="1" autoFilter="0"/>
  <mergeCells count="5">
    <mergeCell ref="J1:N1"/>
    <mergeCell ref="B13:E13"/>
    <mergeCell ref="B20:E20"/>
    <mergeCell ref="B6:E6"/>
    <mergeCell ref="B1:C1"/>
  </mergeCells>
  <phoneticPr fontId="8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18</vt:i4>
      </vt:variant>
      <vt:variant>
        <vt:lpstr>Intervalos Nomeados</vt:lpstr>
      </vt:variant>
      <vt:variant>
        <vt:i4>21</vt:i4>
      </vt:variant>
    </vt:vector>
  </HeadingPairs>
  <TitlesOfParts>
    <vt:vector size="39" baseType="lpstr">
      <vt:lpstr>Início</vt:lpstr>
      <vt:lpstr>Referência</vt:lpstr>
      <vt:lpstr>PCEntradas-N1</vt:lpstr>
      <vt:lpstr>PCEntradas-N2</vt:lpstr>
      <vt:lpstr>PCSaidas-N1</vt:lpstr>
      <vt:lpstr>PCSaidas-N2</vt:lpstr>
      <vt:lpstr>RegistrosEntrada</vt:lpstr>
      <vt:lpstr>RegistrosSaida</vt:lpstr>
      <vt:lpstr>FluxoCaixaConsolidado</vt:lpstr>
      <vt:lpstr>DetalhaReceita</vt:lpstr>
      <vt:lpstr>DetalhaDespesa</vt:lpstr>
      <vt:lpstr>ContasReceber</vt:lpstr>
      <vt:lpstr>ContasPagar</vt:lpstr>
      <vt:lpstr>ContasReceberVencidas</vt:lpstr>
      <vt:lpstr>DashboardFInanceiraAnual</vt:lpstr>
      <vt:lpstr>DashboardFInanceiraAtual</vt:lpstr>
      <vt:lpstr>DashBoardFinanceiroAnualRef</vt:lpstr>
      <vt:lpstr>DashBoardFinanceiroAtualRef</vt:lpstr>
      <vt:lpstr>DashboardFInanceiraAtual!PCEntradaN1_Nivel_1</vt:lpstr>
      <vt:lpstr>DashBoardFinanceiroAtualRef!PCEntradaN1_Nivel_1</vt:lpstr>
      <vt:lpstr>PCEntradaN1_Nivel_1</vt:lpstr>
      <vt:lpstr>DashboardFInanceiraAtual!PCEntradasN1_Nivel_1</vt:lpstr>
      <vt:lpstr>DashBoardFinanceiroAtualRef!PCEntradasN1_Nivel_1</vt:lpstr>
      <vt:lpstr>PCEntradasN1_Nivel_1</vt:lpstr>
      <vt:lpstr>DashboardFInanceiraAtual!PCEntradasN2_Nivel_1</vt:lpstr>
      <vt:lpstr>DashBoardFinanceiroAtualRef!PCEntradasN2_Nivel_1</vt:lpstr>
      <vt:lpstr>PCEntradasN2_Nivel_1</vt:lpstr>
      <vt:lpstr>DashboardFInanceiraAtual!PCEntradasN2_Nivel_2</vt:lpstr>
      <vt:lpstr>DashBoardFinanceiroAtualRef!PCEntradasN2_Nivel_2</vt:lpstr>
      <vt:lpstr>PCEntradasN2_Nivel_2</vt:lpstr>
      <vt:lpstr>DashboardFInanceiraAtual!PCSaidasN1_Nivel_1</vt:lpstr>
      <vt:lpstr>DashBoardFinanceiroAtualRef!PCSaidasN1_Nivel_1</vt:lpstr>
      <vt:lpstr>PCSaidasN1_Nivel_1</vt:lpstr>
      <vt:lpstr>DashboardFInanceiraAtual!PCSaidasN2_Nivel_1</vt:lpstr>
      <vt:lpstr>DashBoardFinanceiroAtualRef!PCSaidasN2_Nivel_1</vt:lpstr>
      <vt:lpstr>PCSaidasN2_Nivel_1</vt:lpstr>
      <vt:lpstr>DashboardFInanceiraAtual!PCSaidasN2_Nivel_2</vt:lpstr>
      <vt:lpstr>DashBoardFinanceiroAtualRef!PCSaidasN2_Nivel_2</vt:lpstr>
      <vt:lpstr>PCSaidasN2_Nivel_2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Neves</dc:creator>
  <cp:lastModifiedBy>Guilherme Neves</cp:lastModifiedBy>
  <dcterms:created xsi:type="dcterms:W3CDTF">2023-10-14T21:08:09Z</dcterms:created>
  <dcterms:modified xsi:type="dcterms:W3CDTF">2023-10-17T18:36:56Z</dcterms:modified>
</cp:coreProperties>
</file>