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ine\Documents\Cursos\Curso Excel\Projetos\"/>
    </mc:Choice>
  </mc:AlternateContent>
  <xr:revisionPtr revIDLastSave="0" documentId="13_ncr:1_{8C755BD6-BBF5-451B-A4BC-B08842D83F6C}" xr6:coauthVersionLast="47" xr6:coauthVersionMax="47" xr10:uidLastSave="{00000000-0000-0000-0000-000000000000}"/>
  <workbookProtection lockStructure="1"/>
  <bookViews>
    <workbookView xWindow="-120" yWindow="-120" windowWidth="29040" windowHeight="15840" xr2:uid="{F923D93B-8464-494D-ACA9-C4BA0146E15D}"/>
  </bookViews>
  <sheets>
    <sheet name="DashBoard" sheetId="12" r:id="rId1"/>
    <sheet name="Análise" sheetId="13" state="hidden" r:id="rId2"/>
    <sheet name="ReCarteira" sheetId="11" r:id="rId3"/>
    <sheet name="ReCarteiraAções" sheetId="14" r:id="rId4"/>
    <sheet name="ReCarteiraFII" sheetId="17" r:id="rId5"/>
    <sheet name="ReAportes" sheetId="9" r:id="rId6"/>
    <sheet name="ReProventos" sheetId="10" r:id="rId7"/>
    <sheet name="Aportes" sheetId="5" r:id="rId8"/>
    <sheet name="Proventos" sheetId="6" r:id="rId9"/>
    <sheet name="Ativos" sheetId="4" r:id="rId10"/>
  </sheets>
  <definedNames>
    <definedName name="DadosExternos_2" localSheetId="9" hidden="1">Ativos!$A$1:$C$10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 output csv  3_ae9c95e0-e479-406c-a1b6-c79c6357539a" name="pub output csv  3" connection="Consulta - pub?output=csv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7" l="1"/>
  <c r="D5" i="17"/>
  <c r="C5" i="17"/>
  <c r="B5" i="17"/>
  <c r="E4" i="17"/>
  <c r="D4" i="17"/>
  <c r="C4" i="17"/>
  <c r="B4" i="17"/>
  <c r="E3" i="17"/>
  <c r="D3" i="17"/>
  <c r="C3" i="17"/>
  <c r="B3" i="17"/>
  <c r="E2" i="17"/>
  <c r="D2" i="17"/>
  <c r="C2" i="17"/>
  <c r="B2" i="17"/>
  <c r="E6" i="14"/>
  <c r="D6" i="14"/>
  <c r="C6" i="14"/>
  <c r="B6" i="14"/>
  <c r="E5" i="14"/>
  <c r="D5" i="14"/>
  <c r="C5" i="14"/>
  <c r="B5" i="14"/>
  <c r="E4" i="14"/>
  <c r="D4" i="14"/>
  <c r="C4" i="14"/>
  <c r="B4" i="14"/>
  <c r="E3" i="14"/>
  <c r="D3" i="14"/>
  <c r="C3" i="14"/>
  <c r="B3" i="14"/>
  <c r="E2" i="14"/>
  <c r="D2" i="14"/>
  <c r="C2" i="14"/>
  <c r="B2" i="14"/>
  <c r="C9" i="13"/>
  <c r="F14" i="13" s="1"/>
  <c r="H1" i="12"/>
  <c r="E2" i="11"/>
  <c r="E3" i="11"/>
  <c r="E4" i="11"/>
  <c r="E5" i="11"/>
  <c r="E6" i="11"/>
  <c r="E7" i="11"/>
  <c r="E8" i="11"/>
  <c r="E9" i="11"/>
  <c r="E10" i="11"/>
  <c r="D3" i="11"/>
  <c r="D4" i="11"/>
  <c r="D5" i="11"/>
  <c r="D6" i="11"/>
  <c r="D7" i="11"/>
  <c r="D8" i="11"/>
  <c r="D9" i="11"/>
  <c r="D10" i="11"/>
  <c r="D2" i="11"/>
  <c r="C2" i="11"/>
  <c r="C3" i="11"/>
  <c r="C4" i="11"/>
  <c r="C5" i="11"/>
  <c r="C6" i="11"/>
  <c r="C7" i="11"/>
  <c r="C8" i="11"/>
  <c r="C9" i="11"/>
  <c r="C10" i="11"/>
  <c r="B2" i="11"/>
  <c r="B3" i="11"/>
  <c r="B4" i="11"/>
  <c r="B5" i="11"/>
  <c r="B6" i="11"/>
  <c r="B7" i="11"/>
  <c r="B8" i="11"/>
  <c r="B9" i="11"/>
  <c r="B10" i="11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H2" i="5"/>
  <c r="J2" i="5" s="1"/>
  <c r="H3" i="5"/>
  <c r="H4" i="5"/>
  <c r="H5" i="5"/>
  <c r="J5" i="5" s="1"/>
  <c r="H6" i="5"/>
  <c r="H7" i="5"/>
  <c r="J7" i="5" s="1"/>
  <c r="H8" i="5"/>
  <c r="J8" i="5" s="1"/>
  <c r="H9" i="5"/>
  <c r="H10" i="5"/>
  <c r="H11" i="5"/>
  <c r="J11" i="5" s="1"/>
  <c r="H12" i="5"/>
  <c r="H13" i="5"/>
  <c r="J13" i="5" s="1"/>
  <c r="H14" i="5"/>
  <c r="J14" i="5" s="1"/>
  <c r="H15" i="5"/>
  <c r="H16" i="5"/>
  <c r="H17" i="5"/>
  <c r="J17" i="5" s="1"/>
  <c r="H18" i="5"/>
  <c r="H19" i="5"/>
  <c r="J19" i="5" s="1"/>
  <c r="H20" i="5"/>
  <c r="J20" i="5" s="1"/>
  <c r="H21" i="5"/>
  <c r="H22" i="5"/>
  <c r="H23" i="5"/>
  <c r="J23" i="5" s="1"/>
  <c r="H24" i="5"/>
  <c r="H25" i="5"/>
  <c r="J25" i="5" s="1"/>
  <c r="H26" i="5"/>
  <c r="J26" i="5" s="1"/>
  <c r="H27" i="5"/>
  <c r="H28" i="5"/>
  <c r="H29" i="5"/>
  <c r="J29" i="5" s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G2" i="17" l="1"/>
  <c r="G5" i="17"/>
  <c r="H5" i="17" s="1"/>
  <c r="G4" i="17"/>
  <c r="I4" i="17" s="1"/>
  <c r="G3" i="17"/>
  <c r="F2" i="17"/>
  <c r="F4" i="17"/>
  <c r="F5" i="17"/>
  <c r="D6" i="17"/>
  <c r="F3" i="17"/>
  <c r="G2" i="14"/>
  <c r="G5" i="14"/>
  <c r="H5" i="14" s="1"/>
  <c r="G3" i="14"/>
  <c r="I3" i="14" s="1"/>
  <c r="G4" i="14"/>
  <c r="I4" i="14" s="1"/>
  <c r="G6" i="14"/>
  <c r="I6" i="14" s="1"/>
  <c r="F3" i="14"/>
  <c r="F6" i="14"/>
  <c r="F5" i="14"/>
  <c r="D7" i="14"/>
  <c r="F4" i="14"/>
  <c r="F2" i="14"/>
  <c r="G5" i="13"/>
  <c r="H5" i="13"/>
  <c r="I5" i="13"/>
  <c r="D11" i="11"/>
  <c r="F8" i="11"/>
  <c r="G7" i="11"/>
  <c r="I7" i="11" s="1"/>
  <c r="G6" i="11"/>
  <c r="I6" i="11" s="1"/>
  <c r="G5" i="11"/>
  <c r="I5" i="11" s="1"/>
  <c r="G4" i="11"/>
  <c r="I4" i="11" s="1"/>
  <c r="G9" i="11"/>
  <c r="I9" i="11" s="1"/>
  <c r="G3" i="11"/>
  <c r="I3" i="11" s="1"/>
  <c r="G8" i="11"/>
  <c r="I8" i="11" s="1"/>
  <c r="G2" i="11"/>
  <c r="I2" i="11" s="1"/>
  <c r="F2" i="11"/>
  <c r="F10" i="11"/>
  <c r="F9" i="11"/>
  <c r="F3" i="11"/>
  <c r="F6" i="11"/>
  <c r="G10" i="11"/>
  <c r="I10" i="11" s="1"/>
  <c r="F4" i="11"/>
  <c r="F7" i="11"/>
  <c r="F5" i="11"/>
  <c r="J28" i="5"/>
  <c r="J16" i="5"/>
  <c r="J4" i="5"/>
  <c r="J24" i="5"/>
  <c r="J18" i="5"/>
  <c r="J12" i="5"/>
  <c r="J6" i="5"/>
  <c r="J22" i="5"/>
  <c r="J10" i="5"/>
  <c r="J27" i="5"/>
  <c r="J21" i="5"/>
  <c r="J15" i="5"/>
  <c r="J9" i="5"/>
  <c r="J3" i="5"/>
  <c r="Q4" i="13" l="1"/>
  <c r="AA5" i="13"/>
  <c r="AB5" i="13" s="1"/>
  <c r="Z5" i="13" s="1" a="1"/>
  <c r="Z5" i="13" s="1"/>
  <c r="AA11" i="13"/>
  <c r="AB11" i="13" s="1"/>
  <c r="Z11" i="13" s="1" a="1"/>
  <c r="Z11" i="13" s="1"/>
  <c r="AA6" i="13"/>
  <c r="AA12" i="13"/>
  <c r="AA9" i="13"/>
  <c r="AA7" i="13"/>
  <c r="AB7" i="13" s="1"/>
  <c r="Z7" i="13" s="1" a="1"/>
  <c r="Z7" i="13" s="1"/>
  <c r="AA13" i="13"/>
  <c r="AB13" i="13" s="1"/>
  <c r="Z13" i="13" s="1" a="1"/>
  <c r="Z13" i="13" s="1"/>
  <c r="AA10" i="13"/>
  <c r="AB10" i="13" s="1"/>
  <c r="Z10" i="13" s="1" a="1"/>
  <c r="Z10" i="13" s="1"/>
  <c r="AA8" i="13"/>
  <c r="AB8" i="13" s="1"/>
  <c r="Z8" i="13" s="1" a="1"/>
  <c r="Z8" i="13" s="1"/>
  <c r="I2" i="17"/>
  <c r="AA4" i="13"/>
  <c r="V5" i="13"/>
  <c r="W5" i="13" s="1"/>
  <c r="U5" i="13" s="1" a="1"/>
  <c r="U5" i="13" s="1"/>
  <c r="V11" i="13"/>
  <c r="W11" i="13" s="1"/>
  <c r="U11" i="13" s="1" a="1"/>
  <c r="U11" i="13" s="1"/>
  <c r="V6" i="13"/>
  <c r="W6" i="13" s="1"/>
  <c r="U6" i="13" s="1" a="1"/>
  <c r="U6" i="13" s="1"/>
  <c r="V12" i="13"/>
  <c r="V9" i="13"/>
  <c r="V7" i="13"/>
  <c r="V13" i="13"/>
  <c r="W13" i="13" s="1"/>
  <c r="U13" i="13" s="1" a="1"/>
  <c r="U13" i="13" s="1"/>
  <c r="V8" i="13"/>
  <c r="V10" i="13"/>
  <c r="W10" i="13" s="1"/>
  <c r="U10" i="13" s="1" a="1"/>
  <c r="U10" i="13" s="1"/>
  <c r="V4" i="13"/>
  <c r="W4" i="13" s="1"/>
  <c r="U4" i="13" s="1" a="1"/>
  <c r="U4" i="13" s="1"/>
  <c r="I2" i="14"/>
  <c r="H2" i="17"/>
  <c r="I5" i="17"/>
  <c r="G6" i="17"/>
  <c r="H4" i="17"/>
  <c r="I3" i="17"/>
  <c r="H3" i="17"/>
  <c r="H2" i="14"/>
  <c r="H6" i="14"/>
  <c r="H4" i="14"/>
  <c r="H3" i="14"/>
  <c r="I5" i="14"/>
  <c r="G7" i="14"/>
  <c r="Q13" i="13"/>
  <c r="Q5" i="13"/>
  <c r="Q11" i="13"/>
  <c r="Q6" i="13"/>
  <c r="Q7" i="13"/>
  <c r="Q8" i="13"/>
  <c r="Q10" i="13"/>
  <c r="Q12" i="13"/>
  <c r="Q9" i="13"/>
  <c r="C12" i="13" a="1"/>
  <c r="C12" i="13" s="1"/>
  <c r="B8" i="12" s="1"/>
  <c r="I6" i="13"/>
  <c r="F13" i="13" s="1"/>
  <c r="H6" i="13"/>
  <c r="G6" i="13"/>
  <c r="H9" i="11"/>
  <c r="G11" i="11"/>
  <c r="H2" i="11"/>
  <c r="H7" i="11"/>
  <c r="H4" i="11"/>
  <c r="H5" i="11"/>
  <c r="H6" i="11"/>
  <c r="H8" i="11"/>
  <c r="H3" i="11"/>
  <c r="H10" i="11"/>
  <c r="AA17" i="13" l="1"/>
  <c r="AA18" i="13"/>
  <c r="AA24" i="13"/>
  <c r="AA19" i="13"/>
  <c r="AA25" i="13"/>
  <c r="AA22" i="13"/>
  <c r="AA20" i="13"/>
  <c r="AA26" i="13"/>
  <c r="AA21" i="13"/>
  <c r="AA23" i="13"/>
  <c r="V18" i="13"/>
  <c r="V24" i="13"/>
  <c r="V19" i="13"/>
  <c r="V25" i="13"/>
  <c r="V20" i="13"/>
  <c r="V26" i="13"/>
  <c r="V21" i="13"/>
  <c r="V22" i="13"/>
  <c r="V23" i="13"/>
  <c r="V17" i="13"/>
  <c r="W17" i="13" s="1"/>
  <c r="U17" i="13" s="1" a="1"/>
  <c r="U17" i="13" s="1"/>
  <c r="Q18" i="13"/>
  <c r="Q24" i="13"/>
  <c r="Q19" i="13"/>
  <c r="R19" i="13" s="1"/>
  <c r="Q25" i="13"/>
  <c r="R25" i="13" s="1"/>
  <c r="Q22" i="13"/>
  <c r="R22" i="13" s="1"/>
  <c r="Q20" i="13"/>
  <c r="R20" i="13" s="1"/>
  <c r="Q26" i="13"/>
  <c r="R26" i="13" s="1"/>
  <c r="Q21" i="13"/>
  <c r="R21" i="13" s="1"/>
  <c r="Q23" i="13"/>
  <c r="R23" i="13" s="1"/>
  <c r="Q17" i="13"/>
  <c r="R11" i="13"/>
  <c r="P11" i="13" s="1" a="1"/>
  <c r="P11" i="13" s="1"/>
  <c r="L11" i="13" s="1"/>
  <c r="M11" i="13"/>
  <c r="R12" i="13"/>
  <c r="P12" i="13" s="1" a="1"/>
  <c r="P12" i="13" s="1"/>
  <c r="M12" i="13"/>
  <c r="R10" i="13"/>
  <c r="P10" i="13" s="1" a="1"/>
  <c r="P10" i="13" s="1"/>
  <c r="L10" i="13" s="1"/>
  <c r="M10" i="13"/>
  <c r="R13" i="13"/>
  <c r="P13" i="13" s="1" a="1"/>
  <c r="P13" i="13" s="1"/>
  <c r="L13" i="13" s="1"/>
  <c r="M13" i="13"/>
  <c r="R7" i="13"/>
  <c r="P7" i="13" s="1" a="1"/>
  <c r="P7" i="13" s="1"/>
  <c r="M7" i="13"/>
  <c r="R8" i="13"/>
  <c r="P8" i="13" s="1" a="1"/>
  <c r="P8" i="13" s="1"/>
  <c r="M8" i="13"/>
  <c r="R6" i="13"/>
  <c r="P6" i="13" s="1" a="1"/>
  <c r="P6" i="13" s="1"/>
  <c r="M6" i="13"/>
  <c r="R9" i="13"/>
  <c r="P9" i="13" s="1" a="1"/>
  <c r="P9" i="13" s="1"/>
  <c r="M9" i="13"/>
  <c r="R5" i="13"/>
  <c r="P5" i="13" s="1" a="1"/>
  <c r="P5" i="13" s="1"/>
  <c r="L5" i="13" s="1"/>
  <c r="M5" i="13"/>
  <c r="R4" i="13"/>
  <c r="P4" i="13" s="1" a="1"/>
  <c r="P4" i="13" s="1"/>
  <c r="L4" i="13" s="1"/>
  <c r="M4" i="13"/>
  <c r="AB9" i="13"/>
  <c r="Z9" i="13" s="1" a="1"/>
  <c r="Z9" i="13" s="1"/>
  <c r="AB12" i="13"/>
  <c r="Z12" i="13" s="1" a="1"/>
  <c r="Z12" i="13" s="1"/>
  <c r="AB6" i="13"/>
  <c r="Z6" i="13" s="1" a="1"/>
  <c r="Z6" i="13" s="1"/>
  <c r="AB4" i="13"/>
  <c r="Z4" i="13" s="1" a="1"/>
  <c r="Z4" i="13" s="1"/>
  <c r="W7" i="13"/>
  <c r="U7" i="13" s="1" a="1"/>
  <c r="U7" i="13" s="1"/>
  <c r="W12" i="13"/>
  <c r="U12" i="13" s="1" a="1"/>
  <c r="U12" i="13" s="1"/>
  <c r="W8" i="13"/>
  <c r="U8" i="13" s="1" a="1"/>
  <c r="U8" i="13" s="1"/>
  <c r="W9" i="13"/>
  <c r="U9" i="13" s="1" a="1"/>
  <c r="U9" i="13" s="1"/>
  <c r="H6" i="17"/>
  <c r="H7" i="14"/>
  <c r="H7" i="13"/>
  <c r="F12" i="13"/>
  <c r="G8" i="13"/>
  <c r="C13" i="13" a="1"/>
  <c r="C13" i="13" s="1"/>
  <c r="B5" i="12" s="1"/>
  <c r="I8" i="13"/>
  <c r="I7" i="13"/>
  <c r="H8" i="13"/>
  <c r="G7" i="13"/>
  <c r="H11" i="11"/>
  <c r="L12" i="13" l="1"/>
  <c r="M18" i="13"/>
  <c r="L6" i="13"/>
  <c r="AB21" i="13"/>
  <c r="Z21" i="13" s="1" a="1"/>
  <c r="Z21" i="13" s="1"/>
  <c r="AB18" i="13"/>
  <c r="Z18" i="13" s="1" a="1"/>
  <c r="Z18" i="13" s="1"/>
  <c r="AB20" i="13"/>
  <c r="Z20" i="13" s="1" a="1"/>
  <c r="Z20" i="13" s="1"/>
  <c r="AB22" i="13"/>
  <c r="Z22" i="13" s="1" a="1"/>
  <c r="Z22" i="13" s="1"/>
  <c r="AB23" i="13"/>
  <c r="Z23" i="13" s="1" a="1"/>
  <c r="Z23" i="13" s="1"/>
  <c r="AB19" i="13"/>
  <c r="Z19" i="13" s="1" a="1"/>
  <c r="Z19" i="13" s="1"/>
  <c r="AB24" i="13"/>
  <c r="Z24" i="13" s="1" a="1"/>
  <c r="Z24" i="13" s="1"/>
  <c r="AB25" i="13"/>
  <c r="Z25" i="13" s="1" a="1"/>
  <c r="Z25" i="13" s="1"/>
  <c r="AB26" i="13"/>
  <c r="Z26" i="13" s="1" a="1"/>
  <c r="Z26" i="13" s="1"/>
  <c r="AB17" i="13"/>
  <c r="Z17" i="13" s="1" a="1"/>
  <c r="Z17" i="13" s="1"/>
  <c r="W26" i="13"/>
  <c r="U26" i="13" s="1" a="1"/>
  <c r="U26" i="13" s="1"/>
  <c r="W20" i="13"/>
  <c r="U20" i="13" s="1" a="1"/>
  <c r="U20" i="13" s="1"/>
  <c r="W25" i="13"/>
  <c r="U25" i="13" s="1" a="1"/>
  <c r="U25" i="13" s="1"/>
  <c r="W23" i="13"/>
  <c r="U23" i="13" s="1" a="1"/>
  <c r="U23" i="13" s="1"/>
  <c r="W19" i="13"/>
  <c r="U19" i="13" s="1" a="1"/>
  <c r="U19" i="13" s="1"/>
  <c r="W22" i="13"/>
  <c r="U22" i="13" s="1" a="1"/>
  <c r="U22" i="13" s="1"/>
  <c r="W24" i="13"/>
  <c r="U24" i="13" s="1" a="1"/>
  <c r="U24" i="13" s="1"/>
  <c r="W21" i="13"/>
  <c r="U21" i="13" s="1" a="1"/>
  <c r="U21" i="13" s="1"/>
  <c r="W18" i="13"/>
  <c r="U18" i="13" s="1" a="1"/>
  <c r="U18" i="13" s="1"/>
  <c r="M23" i="13"/>
  <c r="R24" i="13"/>
  <c r="P24" i="13" s="1" a="1"/>
  <c r="P24" i="13" s="1"/>
  <c r="R18" i="13"/>
  <c r="P18" i="13" s="1" a="1"/>
  <c r="P18" i="13" s="1"/>
  <c r="R17" i="13"/>
  <c r="P17" i="13" s="1" a="1"/>
  <c r="P17" i="13" s="1"/>
  <c r="L17" i="13" s="1"/>
  <c r="M22" i="13"/>
  <c r="M19" i="13"/>
  <c r="P19" i="13" a="1"/>
  <c r="P19" i="13" s="1"/>
  <c r="P21" i="13" a="1"/>
  <c r="P21" i="13" s="1"/>
  <c r="M20" i="13"/>
  <c r="P25" i="13" a="1"/>
  <c r="P25" i="13" s="1"/>
  <c r="P23" i="13" a="1"/>
  <c r="P23" i="13" s="1"/>
  <c r="M21" i="13"/>
  <c r="M24" i="13"/>
  <c r="M26" i="13"/>
  <c r="P26" i="13" a="1"/>
  <c r="P26" i="13" s="1"/>
  <c r="P20" i="13" a="1"/>
  <c r="P20" i="13" s="1"/>
  <c r="M17" i="13"/>
  <c r="M25" i="13"/>
  <c r="P22" i="13" a="1"/>
  <c r="P22" i="13" s="1"/>
  <c r="L8" i="13"/>
  <c r="L9" i="13"/>
  <c r="L7" i="13"/>
  <c r="C14" i="13" a="1"/>
  <c r="C14" i="13" s="1"/>
  <c r="B11" i="12" s="1"/>
  <c r="C15" i="13" a="1"/>
  <c r="C15" i="13" s="1"/>
  <c r="B14" i="12" s="1"/>
  <c r="L20" i="13" l="1"/>
  <c r="L21" i="13"/>
  <c r="L25" i="13"/>
  <c r="L26" i="13"/>
  <c r="L24" i="13"/>
  <c r="L18" i="13"/>
  <c r="L23" i="13"/>
  <c r="L22" i="13"/>
  <c r="L1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Neves</author>
  </authors>
  <commentList>
    <comment ref="L1" authorId="0" shapeId="0" xr:uid="{7EF6418D-3604-4D56-AD6B-B9CE0F99BFE7}">
      <text>
        <r>
          <rPr>
            <b/>
            <sz val="9"/>
            <color indexed="81"/>
            <rFont val="Segoe UI"/>
            <family val="2"/>
          </rPr>
          <t>Aviso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Neves</author>
  </authors>
  <commentList>
    <comment ref="L1" authorId="0" shapeId="0" xr:uid="{99D1EF93-1FE4-4937-907A-C1054020131D}">
      <text>
        <r>
          <rPr>
            <b/>
            <sz val="9"/>
            <color indexed="81"/>
            <rFont val="Segoe UI"/>
            <family val="2"/>
          </rPr>
          <t>Aviso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Neves</author>
  </authors>
  <commentList>
    <comment ref="L1" authorId="0" shapeId="0" xr:uid="{03084890-BC92-4A45-B70A-8254A151F845}">
      <text>
        <r>
          <rPr>
            <b/>
            <sz val="9"/>
            <color indexed="81"/>
            <rFont val="Segoe UI"/>
            <family val="2"/>
          </rPr>
          <t>Aviso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FD523-2BF3-4BDC-A23A-E39811C281C1}" name="Consulta - pub?output=csv (3)" description="Conexão com a consulta 'pub?output=csv (3)' na pasta de trabalho." type="100" refreshedVersion="8" minRefreshableVersion="5">
    <extLst>
      <ext xmlns:x15="http://schemas.microsoft.com/office/spreadsheetml/2010/11/main" uri="{DE250136-89BD-433C-8126-D09CA5730AF9}">
        <x15:connection id="c88c36b0-5857-498b-85af-d36abe77cc55"/>
      </ext>
    </extLst>
  </connection>
  <connection id="2" xr16:uid="{777DA3A5-0E69-42CA-9CF0-8D296DE01B93}" keepAlive="1" name="Consulta - pub?output=csv (4)" description="Conexão com a consulta 'pub?output=csv (4)' na pasta de trabalho." type="5" refreshedVersion="8" background="1" saveData="1">
    <dbPr connection="Provider=Microsoft.Mashup.OleDb.1;Data Source=$Workbook$;Location=&quot;pub?output=csv (4)&quot;;Extended Properties=&quot;&quot;" command="SELECT * FROM [pub?output=csv (4)]"/>
  </connection>
  <connection id="3" xr16:uid="{6DFF2EEA-F1B0-48BB-AB29-3ED41E7325F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<sst xmlns="http://schemas.openxmlformats.org/spreadsheetml/2006/main" count="315" uniqueCount="81">
  <si>
    <t>ATIVO</t>
  </si>
  <si>
    <t>TIPO</t>
  </si>
  <si>
    <t>COTAÇÃO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</si>
  <si>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</si>
  <si>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</si>
  <si>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</si>
  <si>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</si>
  <si>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</si>
  <si>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</si>
  <si>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</si>
  <si>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</si>
  <si>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</si>
  <si>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</si>
  <si>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TAEE4</t>
  </si>
  <si>
    <t>Data</t>
  </si>
  <si>
    <t>Ativo</t>
  </si>
  <si>
    <t>Quantidade</t>
  </si>
  <si>
    <t>Valor Unitário</t>
  </si>
  <si>
    <t>Custo</t>
  </si>
  <si>
    <t>Total</t>
  </si>
  <si>
    <t>Tipo</t>
  </si>
  <si>
    <t>Ano</t>
  </si>
  <si>
    <t>Mês</t>
  </si>
  <si>
    <t>Ano/Mês</t>
  </si>
  <si>
    <t>Código</t>
  </si>
  <si>
    <t>Valor Bruto</t>
  </si>
  <si>
    <t>IR</t>
  </si>
  <si>
    <t>Valor Líquido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</si>
  <si>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</si>
  <si>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</si>
  <si>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</si>
  <si>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</si>
  <si>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</si>
  <si>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</si>
  <si>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</si>
  <si>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</si>
  <si>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</si>
  <si>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</si>
  <si>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</si>
  <si>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</si>
  <si>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</si>
  <si>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</si>
  <si>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2020/01</t>
  </si>
  <si>
    <t>2019/11</t>
  </si>
  <si>
    <t>2019/12</t>
  </si>
  <si>
    <t>Soma de Total</t>
  </si>
  <si>
    <t>Soma de Valor Líquido</t>
  </si>
  <si>
    <t>Cotação</t>
  </si>
  <si>
    <t>Total Aportado</t>
  </si>
  <si>
    <t>Total Quantidade</t>
  </si>
  <si>
    <t>Preço Médio</t>
  </si>
  <si>
    <t>Total Atual</t>
  </si>
  <si>
    <t>Valorização</t>
  </si>
  <si>
    <t>Valorização %</t>
  </si>
  <si>
    <t>Até qual Data?</t>
  </si>
  <si>
    <t>Carteira Atual</t>
  </si>
  <si>
    <t>Valorização em %</t>
  </si>
  <si>
    <t>Caixa</t>
  </si>
  <si>
    <t>Até</t>
  </si>
  <si>
    <t>Caixa:</t>
  </si>
  <si>
    <t>Valores para Caixa de Combinação</t>
  </si>
  <si>
    <t>Tudo</t>
  </si>
  <si>
    <t>Ações</t>
  </si>
  <si>
    <t>Fundos Imobiliários</t>
  </si>
  <si>
    <t>Entradas do Usuário</t>
  </si>
  <si>
    <t>Caixa de Combinação</t>
  </si>
  <si>
    <t>Valor em Caixa</t>
  </si>
  <si>
    <t>Matriz Auxiliar: Somatório por Tipo de Ativo</t>
  </si>
  <si>
    <t>Indicadores Chaves de Desempenho (KPIs)</t>
  </si>
  <si>
    <t>Composição do Patrimônio</t>
  </si>
  <si>
    <t>Gráfico Maiores Valores</t>
  </si>
  <si>
    <t>Ordem</t>
  </si>
  <si>
    <t>Valor</t>
  </si>
  <si>
    <t>Corresp</t>
  </si>
  <si>
    <t>Maiores Valores (Ações)</t>
  </si>
  <si>
    <t>Maiores Valores (FII)</t>
  </si>
  <si>
    <t>Maiores Valores (Tudo)</t>
  </si>
  <si>
    <t>Maiores Valorizações (Tudo)</t>
  </si>
  <si>
    <t>Maiores Valorizações (Ações)</t>
  </si>
  <si>
    <t>Maiores Valorizações (FII)</t>
  </si>
  <si>
    <t>Gráfico Maiores Valorizações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</si>
</sst>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#,##0_ ;[Red]\-#,##0\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5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25"/>
      <color theme="1" tint="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ck">
        <color theme="4" tint="0.39994506668294322"/>
      </top>
      <bottom style="thick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 tint="0.39991454817346722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8" fontId="4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pivotButton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0" fillId="4" borderId="0" xfId="0" applyFill="1"/>
    <xf numFmtId="0" fontId="7" fillId="4" borderId="0" xfId="0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9" fillId="4" borderId="0" xfId="0" applyFont="1" applyFill="1" applyAlignment="1">
      <alignment horizontal="right" vertical="center"/>
    </xf>
    <xf numFmtId="14" fontId="9" fillId="4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8" fontId="0" fillId="6" borderId="0" xfId="0" applyNumberFormat="1" applyFill="1" applyAlignment="1">
      <alignment vertical="center"/>
    </xf>
    <xf numFmtId="10" fontId="0" fillId="6" borderId="0" xfId="0" applyNumberFormat="1" applyFill="1" applyAlignment="1">
      <alignment vertical="center"/>
    </xf>
    <xf numFmtId="0" fontId="0" fillId="7" borderId="0" xfId="0" applyFill="1" applyAlignment="1">
      <alignment horizontal="right" vertical="center"/>
    </xf>
    <xf numFmtId="0" fontId="2" fillId="0" borderId="0" xfId="0" applyFont="1" applyAlignment="1">
      <alignment vertical="center"/>
    </xf>
    <xf numFmtId="1" fontId="0" fillId="7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1" fontId="2" fillId="0" borderId="0" xfId="0" applyNumberFormat="1" applyFont="1" applyAlignment="1">
      <alignment vertical="center"/>
    </xf>
    <xf numFmtId="8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vertical="center"/>
    </xf>
    <xf numFmtId="1" fontId="0" fillId="6" borderId="0" xfId="0" applyNumberFormat="1" applyFill="1" applyAlignment="1">
      <alignment horizontal="right" vertical="center"/>
    </xf>
    <xf numFmtId="10" fontId="9" fillId="4" borderId="2" xfId="0" applyNumberFormat="1" applyFont="1" applyFill="1" applyBorder="1" applyAlignment="1">
      <alignment horizontal="center" vertical="center"/>
    </xf>
    <xf numFmtId="8" fontId="9" fillId="4" borderId="2" xfId="0" applyNumberFormat="1" applyFont="1" applyFill="1" applyBorder="1" applyAlignment="1">
      <alignment horizontal="center" vertical="center"/>
    </xf>
    <xf numFmtId="8" fontId="10" fillId="5" borderId="4" xfId="0" applyNumberFormat="1" applyFont="1" applyFill="1" applyBorder="1" applyAlignment="1" applyProtection="1">
      <alignment horizontal="center" vertical="center"/>
      <protection locked="0"/>
    </xf>
    <xf numFmtId="0" fontId="0" fillId="4" borderId="3" xfId="0" applyFill="1" applyBorder="1"/>
    <xf numFmtId="0" fontId="0" fillId="4" borderId="5" xfId="0" applyFill="1" applyBorder="1"/>
    <xf numFmtId="0" fontId="2" fillId="8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13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numFmt numFmtId="165" formatCode="#,##0_ ;[Red]\-#,##0\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,##0_ ;[Red]\-#,##0\ 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2" formatCode="&quot;R$&quot;\ #,##0.00;[Red]\-&quot;R$&quot;\ 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2" formatCode="&quot;R$&quot;\ #,##0.00;[Red]\-&quot;R$&quot;\ 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2" formatCode="&quot;R$&quot;\ #,##0.00;[Red]\-&quot;R$&quot;\ #,##0.00"/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,##0_ ;[Red]\-#,##0\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numFmt numFmtId="14" formatCode="0.00%"/>
      <alignment horizontal="general" vertical="center" textRotation="0" wrapText="0" indent="0" justifyLastLine="0" shrinkToFit="0" readingOrder="0"/>
    </dxf>
    <dxf>
      <numFmt numFmtId="14" formatCode="0.0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4" formatCode="0.00%"/>
      <alignment horizontal="general" vertical="center" textRotation="0" wrapText="0" indent="0" justifyLastLine="0" shrinkToFit="0" readingOrder="0"/>
    </dxf>
    <dxf>
      <numFmt numFmtId="14" formatCode="0.0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4" formatCode="0.00%"/>
      <alignment horizontal="general" vertical="center" textRotation="0" wrapText="0" indent="0" justifyLastLine="0" shrinkToFit="0" readingOrder="0"/>
    </dxf>
    <dxf>
      <numFmt numFmtId="14" formatCode="0.0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2" formatCode="&quot;R$&quot;\ #,##0.00;[Red]\-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&quot;R$&quot;\ 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Composição do Patrimônio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7E-4989-B64B-21D74D7A4511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7E-4989-B64B-21D74D7A4511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7E-4989-B64B-21D74D7A451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Análise!$E$12:$E$14</c:f>
              <c:strCache>
                <c:ptCount val="3"/>
                <c:pt idx="0">
                  <c:v>Ações</c:v>
                </c:pt>
                <c:pt idx="1">
                  <c:v>FII</c:v>
                </c:pt>
                <c:pt idx="2">
                  <c:v>Caixa</c:v>
                </c:pt>
              </c:strCache>
            </c:strRef>
          </c:cat>
          <c:val>
            <c:numRef>
              <c:f>Análise!$F$12:$F$14</c:f>
              <c:numCache>
                <c:formatCode>"R$"#,##0.00_);[Red]\("R$"#,##0.00\)</c:formatCode>
                <c:ptCount val="3"/>
                <c:pt idx="0">
                  <c:v>26259</c:v>
                </c:pt>
                <c:pt idx="1">
                  <c:v>10112.09</c:v>
                </c:pt>
                <c:pt idx="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7E-4989-B64B-21D74D7A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Maior Valores Atuais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Análise!$L$4:$L$13</c:f>
              <c:strCache>
                <c:ptCount val="10"/>
                <c:pt idx="0">
                  <c:v>-</c:v>
                </c:pt>
                <c:pt idx="1">
                  <c:v>HGBS11</c:v>
                </c:pt>
                <c:pt idx="2">
                  <c:v>TAEE4</c:v>
                </c:pt>
                <c:pt idx="3">
                  <c:v>HGRE11</c:v>
                </c:pt>
                <c:pt idx="4">
                  <c:v>HGLG11</c:v>
                </c:pt>
                <c:pt idx="5">
                  <c:v>ITSA4</c:v>
                </c:pt>
                <c:pt idx="6">
                  <c:v>KNRI11</c:v>
                </c:pt>
                <c:pt idx="7">
                  <c:v>FLRY3</c:v>
                </c:pt>
                <c:pt idx="8">
                  <c:v>CSNA3</c:v>
                </c:pt>
                <c:pt idx="9">
                  <c:v>PETR4</c:v>
                </c:pt>
              </c:strCache>
            </c:strRef>
          </c:cat>
          <c:val>
            <c:numRef>
              <c:f>Análise!$M$4:$M$13</c:f>
              <c:numCache>
                <c:formatCode>"R$"#,##0.00_);[Red]\("R$"#,##0.00\)</c:formatCode>
                <c:ptCount val="10"/>
                <c:pt idx="0">
                  <c:v>0</c:v>
                </c:pt>
                <c:pt idx="1">
                  <c:v>2063.9700000000003</c:v>
                </c:pt>
                <c:pt idx="2">
                  <c:v>2262</c:v>
                </c:pt>
                <c:pt idx="3">
                  <c:v>2434.2800000000002</c:v>
                </c:pt>
                <c:pt idx="4">
                  <c:v>2708.1000000000004</c:v>
                </c:pt>
                <c:pt idx="5">
                  <c:v>2709</c:v>
                </c:pt>
                <c:pt idx="6">
                  <c:v>2905.7400000000002</c:v>
                </c:pt>
                <c:pt idx="7">
                  <c:v>3118</c:v>
                </c:pt>
                <c:pt idx="8">
                  <c:v>3498</c:v>
                </c:pt>
                <c:pt idx="9">
                  <c:v>14672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3-4C47-A6D6-5DD000C084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904962111"/>
        <c:axId val="181481423"/>
      </c:barChart>
      <c:catAx>
        <c:axId val="904962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81423"/>
        <c:crosses val="autoZero"/>
        <c:auto val="1"/>
        <c:lblAlgn val="ctr"/>
        <c:lblOffset val="100"/>
        <c:noMultiLvlLbl val="0"/>
      </c:catAx>
      <c:valAx>
        <c:axId val="181481423"/>
        <c:scaling>
          <c:orientation val="minMax"/>
        </c:scaling>
        <c:delete val="1"/>
        <c:axPos val="b"/>
        <c:numFmt formatCode="&quot;R$&quot;#,##0.00_);[Red]\(&quot;R$&quot;#,##0.00\)" sourceLinked="1"/>
        <c:majorTickMark val="none"/>
        <c:minorTickMark val="none"/>
        <c:tickLblPos val="nextTo"/>
        <c:crossAx val="90496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0.28664946346682918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DF-4862-A077-305BEA6E9323}"/>
                </c:ext>
              </c:extLst>
            </c:dLbl>
            <c:dLbl>
              <c:idx val="2"/>
              <c:layout>
                <c:manualLayout>
                  <c:x val="-0.16124032320009146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DF-4862-A077-305BEA6E9323}"/>
                </c:ext>
              </c:extLst>
            </c:dLbl>
            <c:dLbl>
              <c:idx val="5"/>
              <c:layout>
                <c:manualLayout>
                  <c:x val="-0.30888066699605965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DF-4862-A077-305BEA6E9323}"/>
                </c:ext>
              </c:extLst>
            </c:dLbl>
            <c:dLbl>
              <c:idx val="6"/>
              <c:layout>
                <c:manualLayout>
                  <c:x val="1.343704626913105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DF-4862-A077-305BEA6E9323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Análise!$L$17:$L$26</c:f>
              <c:strCache>
                <c:ptCount val="10"/>
                <c:pt idx="0">
                  <c:v>-</c:v>
                </c:pt>
                <c:pt idx="1">
                  <c:v>FLRY3</c:v>
                </c:pt>
                <c:pt idx="2">
                  <c:v>HGRE11</c:v>
                </c:pt>
                <c:pt idx="3">
                  <c:v>ITSA4</c:v>
                </c:pt>
                <c:pt idx="4">
                  <c:v>KNRI11</c:v>
                </c:pt>
                <c:pt idx="5">
                  <c:v>HGLG11</c:v>
                </c:pt>
                <c:pt idx="6">
                  <c:v>HGBS11</c:v>
                </c:pt>
                <c:pt idx="7">
                  <c:v>CSNA3</c:v>
                </c:pt>
                <c:pt idx="8">
                  <c:v>TAEE4</c:v>
                </c:pt>
                <c:pt idx="9">
                  <c:v>PETR4</c:v>
                </c:pt>
              </c:strCache>
            </c:strRef>
          </c:cat>
          <c:val>
            <c:numRef>
              <c:f>Análise!$M$17:$M$26</c:f>
              <c:numCache>
                <c:formatCode>0.00%</c:formatCode>
                <c:ptCount val="10"/>
                <c:pt idx="0">
                  <c:v>0</c:v>
                </c:pt>
                <c:pt idx="1">
                  <c:v>-0.22572634715669238</c:v>
                </c:pt>
                <c:pt idx="2">
                  <c:v>-2.338550171108511E-2</c:v>
                </c:pt>
                <c:pt idx="3">
                  <c:v>7.8423566878980999E-2</c:v>
                </c:pt>
                <c:pt idx="4">
                  <c:v>0.10262209236140096</c:v>
                </c:pt>
                <c:pt idx="5">
                  <c:v>0.1519859112391051</c:v>
                </c:pt>
                <c:pt idx="6">
                  <c:v>0.20393735234928712</c:v>
                </c:pt>
                <c:pt idx="7">
                  <c:v>0.24483985765124561</c:v>
                </c:pt>
                <c:pt idx="8">
                  <c:v>0.38348623853211006</c:v>
                </c:pt>
                <c:pt idx="9">
                  <c:v>1.218324765648624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862-A077-305BEA6E9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56486719"/>
        <c:axId val="181481423"/>
      </c:barChart>
      <c:catAx>
        <c:axId val="456486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81423"/>
        <c:crosses val="autoZero"/>
        <c:auto val="1"/>
        <c:lblAlgn val="ctr"/>
        <c:lblOffset val="100"/>
        <c:noMultiLvlLbl val="0"/>
      </c:catAx>
      <c:valAx>
        <c:axId val="181481423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45648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27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nálise!$C$8" fmlaRange="Análise!$C$3:$C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0</xdr:row>
          <xdr:rowOff>28575</xdr:rowOff>
        </xdr:from>
        <xdr:to>
          <xdr:col>2</xdr:col>
          <xdr:colOff>0</xdr:colOff>
          <xdr:row>0</xdr:row>
          <xdr:rowOff>457200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97016</xdr:colOff>
      <xdr:row>4</xdr:row>
      <xdr:rowOff>23498</xdr:rowOff>
    </xdr:from>
    <xdr:to>
      <xdr:col>4</xdr:col>
      <xdr:colOff>1553689</xdr:colOff>
      <xdr:row>13</xdr:row>
      <xdr:rowOff>419671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1612805</xdr:colOff>
      <xdr:row>4</xdr:row>
      <xdr:rowOff>23498</xdr:rowOff>
    </xdr:from>
    <xdr:to>
      <xdr:col>6</xdr:col>
      <xdr:colOff>153363</xdr:colOff>
      <xdr:row>13</xdr:row>
      <xdr:rowOff>419671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212480</xdr:colOff>
      <xdr:row>4</xdr:row>
      <xdr:rowOff>23498</xdr:rowOff>
    </xdr:from>
    <xdr:to>
      <xdr:col>7</xdr:col>
      <xdr:colOff>2006191</xdr:colOff>
      <xdr:row>13</xdr:row>
      <xdr:rowOff>419671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Neves" refreshedDate="45215.892448842591" createdVersion="8" refreshedVersion="8" minRefreshableVersion="3" recordCount="70" xr:uid="{E7F0A2B8-7DDF-41A1-BB13-D72F587C82B5}">
  <cacheSource type="worksheet">
    <worksheetSource name="Proventos"/>
  </cacheSource>
  <cacheFields count="9">
    <cacheField name="Código" numFmtId="165">
      <sharedItems containsSemiMixedTypes="0" containsString="0" containsNumber="1" containsInteger="1" minValue="13" maxValue="14"/>
    </cacheField>
    <cacheField name="Ativo" numFmtId="0">
      <sharedItems count="9">
        <s v="ITSA4"/>
        <s v="HGBS11"/>
        <s v="HGLG11"/>
        <s v="HGRE11"/>
        <s v="KNRI11"/>
        <s v="PETR4"/>
        <s v="FLRY3"/>
        <s v="TAEE4"/>
        <s v="CSNA3"/>
      </sharedItems>
    </cacheField>
    <cacheField name="Quantidade" numFmtId="165">
      <sharedItems containsSemiMixedTypes="0" containsString="0" containsNumber="1" containsInteger="1" minValue="100" maxValue="100"/>
    </cacheField>
    <cacheField name="Valor Bruto" numFmtId="164">
      <sharedItems containsSemiMixedTypes="0" containsString="0" containsNumber="1" minValue="34.770000000000003" maxValue="180.6"/>
    </cacheField>
    <cacheField name="IR" numFmtId="164">
      <sharedItems containsSemiMixedTypes="0" containsString="0" containsNumber="1" minValue="0" maxValue="6"/>
    </cacheField>
    <cacheField name="Valor Líquido" numFmtId="164">
      <sharedItems containsSemiMixedTypes="0" containsString="0" containsNumber="1" minValue="34.770000000000003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2">
        <s v="EMPRESA"/>
        <s v="F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Neves" refreshedDate="45215.892448958337" createdVersion="8" refreshedVersion="8" minRefreshableVersion="3" recordCount="28" xr:uid="{C92F887A-636B-42FF-A1C1-3D66EFC7A4A2}">
  <cacheSource type="worksheet">
    <worksheetSource name="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uantidade" numFmtId="165">
      <sharedItems containsSemiMixedTypes="0" containsString="0" containsNumber="1" containsInteger="1" minValue="1" maxValue="100"/>
    </cacheField>
    <cacheField name="Valor Unitário" numFmtId="8">
      <sharedItems containsSemiMixedTypes="0" containsString="0" containsNumber="1" minValue="7.51" maxValue="194.23"/>
    </cacheField>
    <cacheField name="Custo" numFmtId="8">
      <sharedItems containsSemiMixedTypes="0" containsString="0" containsNumber="1" containsInteger="1" minValue="0" maxValue="10"/>
    </cacheField>
    <cacheField name="Total" numFmtId="8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6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7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6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8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7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7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EA8B5-27B1-42C0-9A02-3AFF65D2AF73}" name="REAportes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numFmtId="165" showAll="0"/>
    <pivotField numFmtId="8" showAll="0"/>
    <pivotField numFmtId="8" showAll="0"/>
    <pivotField dataField="1" numFmtId="8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1" numFmtId="8"/>
  </dataFields>
  <formats count="12">
    <format dxfId="74">
      <pivotArea type="all" dataOnly="0" outline="0" fieldPosition="0"/>
    </format>
    <format dxfId="73">
      <pivotArea outline="0" collapsedLevelsAreSubtotals="1" fieldPosition="0"/>
    </format>
    <format dxfId="72">
      <pivotArea type="origin" dataOnly="0" labelOnly="1" outline="0" fieldPosition="0"/>
    </format>
    <format dxfId="71">
      <pivotArea field="9" type="button" dataOnly="0" labelOnly="1" outline="0" axis="axisCol" fieldPosition="0"/>
    </format>
    <format dxfId="70">
      <pivotArea type="topRight" dataOnly="0" labelOnly="1" outline="0" fieldPosition="0"/>
    </format>
    <format dxfId="69">
      <pivotArea field="6" type="button" dataOnly="0" labelOnly="1" outline="0" axis="axisRow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2">
          <reference field="1" count="5">
            <x v="0"/>
            <x v="1"/>
            <x v="5"/>
            <x v="7"/>
            <x v="8"/>
          </reference>
          <reference field="6" count="1" selected="0">
            <x v="0"/>
          </reference>
        </references>
      </pivotArea>
    </format>
    <format dxfId="65">
      <pivotArea dataOnly="0" labelOnly="1" fieldPosition="0">
        <references count="2">
          <reference field="1" count="4">
            <x v="2"/>
            <x v="3"/>
            <x v="4"/>
            <x v="6"/>
          </reference>
          <reference field="6" count="1" selected="0">
            <x v="1"/>
          </reference>
        </references>
      </pivotArea>
    </format>
    <format dxfId="64">
      <pivotArea dataOnly="0" labelOnly="1" fieldPosition="0">
        <references count="1">
          <reference field="9" count="0"/>
        </references>
      </pivotArea>
    </format>
    <format dxfId="6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F1DE5-6479-4636-B0B5-3A122B9C74DA}" name="REProven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N16" firstHeaderRow="1" firstDataRow="2" firstDataCol="1"/>
  <pivotFields count="9">
    <pivotField numFmtId="165" showAll="0"/>
    <pivotField axis="axisRow" showAll="0">
      <items count="10">
        <item x="8"/>
        <item x="6"/>
        <item x="1"/>
        <item x="2"/>
        <item x="3"/>
        <item x="0"/>
        <item x="4"/>
        <item x="5"/>
        <item x="7"/>
        <item t="default"/>
      </items>
    </pivotField>
    <pivotField numFmtId="165" showAll="0"/>
    <pivotField numFmtId="164" showAll="0"/>
    <pivotField numFmtId="164" showAll="0"/>
    <pivotField dataField="1" numFmtId="16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8" baseItem="0" numFmtId="8"/>
  </dataFields>
  <formats count="12">
    <format dxfId="62">
      <pivotArea type="all" dataOnly="0" outline="0" fieldPosition="0"/>
    </format>
    <format dxfId="61">
      <pivotArea outline="0" collapsedLevelsAreSubtotals="1" fieldPosition="0"/>
    </format>
    <format dxfId="60">
      <pivotArea type="origin" dataOnly="0" labelOnly="1" outline="0" fieldPosition="0"/>
    </format>
    <format dxfId="59">
      <pivotArea field="7" type="button" dataOnly="0" labelOnly="1" outline="0" axis="axisCol" fieldPosition="0"/>
    </format>
    <format dxfId="58">
      <pivotArea type="topRight" dataOnly="0" labelOnly="1" outline="0" fieldPosition="0"/>
    </format>
    <format dxfId="57">
      <pivotArea field="8" type="button" dataOnly="0" labelOnly="1" outline="0" axis="axisRow" fieldPosition="0"/>
    </format>
    <format dxfId="56">
      <pivotArea dataOnly="0" labelOnly="1" fieldPosition="0">
        <references count="1">
          <reference field="8" count="0"/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2">
          <reference field="1" count="5">
            <x v="0"/>
            <x v="1"/>
            <x v="5"/>
            <x v="7"/>
            <x v="8"/>
          </reference>
          <reference field="8" count="1" selected="0">
            <x v="0"/>
          </reference>
        </references>
      </pivotArea>
    </format>
    <format dxfId="53">
      <pivotArea dataOnly="0" labelOnly="1" fieldPosition="0">
        <references count="2">
          <reference field="1" count="4">
            <x v="2"/>
            <x v="3"/>
            <x v="4"/>
            <x v="6"/>
          </reference>
          <reference field="8" count="1" selected="0">
            <x v="1"/>
          </reference>
        </references>
      </pivotArea>
    </format>
    <format dxfId="52">
      <pivotArea dataOnly="0" labelOnly="1" fieldPosition="0">
        <references count="1">
          <reference field="7" count="0"/>
        </references>
      </pivotArea>
    </format>
    <format dxfId="51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46F3779-9227-4AFE-B4A5-60A4B91C9D8C}" autoFormatId="16" applyNumberFormats="0" applyBorderFormats="0" applyFontFormats="0" applyPatternFormats="0" applyAlignmentFormats="0" applyWidthHeightFormats="0">
  <queryTableRefresh nextId="4">
    <queryTableFields count="3">
      <queryTableField id="1" name="ATIVO" tableColumnId="1"/>
      <queryTableField id="2" name="TIPO" tableColumnId="2"/>
      <queryTableField id="3" name="COTAÇÃO" tableColumnId="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462445-AC7C-44E9-BD94-102939D18E4F}" name="Carteira" displayName="Carteira" ref="A1:I11" totalsRowCount="1" headerRowDxfId="134" dataDxfId="133">
  <autoFilter ref="A1:I10" xr:uid="{91462445-AC7C-44E9-BD94-102939D18E4F}"/>
  <tableColumns count="9">
    <tableColumn id="1" xr3:uid="{77DCC24E-0EEB-4143-BA17-A99FEF90F1E6}" name="Ativo" totalsRowLabel="Total" dataDxfId="132" totalsRowDxfId="131"/>
    <tableColumn id="2" xr3:uid="{47ADB92E-C289-4BAA-B3EF-BB660D3197DC}" name="Tipo" dataDxfId="130" totalsRowDxfId="129">
      <calculatedColumnFormula>VLOOKUP(Carteira[[#This Row],[Ativo]],Ativos[],2,FALSE)</calculatedColumnFormula>
    </tableColumn>
    <tableColumn id="3" xr3:uid="{FCD36299-D5A2-4349-B3EA-5AC418871C82}" name="Cotação" dataDxfId="128" totalsRowDxfId="127">
      <calculatedColumnFormula>VLOOKUP(Carteira[[#This Row],[Ativo]],Ativos[],3,FALSE)</calculatedColumnFormula>
    </tableColumn>
    <tableColumn id="4" xr3:uid="{26581616-B0A0-412A-A62C-465684A5F561}" name="Total Aportado" totalsRowFunction="sum" dataDxfId="126" totalsRowDxfId="125">
      <calculatedColumnFormula>SUMIFS(Aportes[Total],Aportes[Ativo],Carteira[[#This Row],[Ativo]],Aportes[Data],"&lt;="&amp;IF($L$1="",TODAY(),$L$1))</calculatedColumnFormula>
    </tableColumn>
    <tableColumn id="5" xr3:uid="{276E6FA7-AD71-4B80-847C-90E51D48A8BC}" name="Total Quantidade" dataDxfId="124" totalsRowDxfId="123">
      <calculatedColumnFormula xml:space="preserve"> SUMIFS(Aportes[Quantidade],Aportes[Ativo],Carteira[[#This Row],[Ativo]],Aportes[Data],"&lt;="&amp;IF($L$1="",TODAY(),$L$1))</calculatedColumnFormula>
    </tableColumn>
    <tableColumn id="6" xr3:uid="{0599461D-7BB6-44C9-B17A-72D02214B967}" name="Preço Médio" dataDxfId="122" totalsRowDxfId="121">
      <calculatedColumnFormula>Carteira[[#This Row],[Total Aportado]]/Carteira[[#This Row],[Total Quantidade]]</calculatedColumnFormula>
    </tableColumn>
    <tableColumn id="7" xr3:uid="{8015EA51-8BF9-4C55-980C-1420895909C4}" name="Total Atual" totalsRowFunction="sum" dataDxfId="120" totalsRowDxfId="119">
      <calculatedColumnFormula>Carteira[[#This Row],[Total Quantidade]]*Carteira[[#This Row],[Cotação]]</calculatedColumnFormula>
    </tableColumn>
    <tableColumn id="8" xr3:uid="{4F753A67-FA34-4661-8FBB-D1EB5204E15F}" name="Valorização" totalsRowFunction="sum" dataDxfId="118" totalsRowDxfId="117">
      <calculatedColumnFormula>Carteira[[#This Row],[Total Atual]]-Carteira[[#This Row],[Total Aportado]]</calculatedColumnFormula>
    </tableColumn>
    <tableColumn id="9" xr3:uid="{2A7C6501-D0E9-4E97-9DDC-35F050CE63C4}" name="Valorização %" dataDxfId="116" totalsRowDxfId="115">
      <calculatedColumnFormula xml:space="preserve"> (Carteira[[#This Row],[Total Atual]]/Carteira[[#This Row],[Total Aportado]]) - 1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D94DB4-31D2-4C5E-80EF-6C026C027BAF}" name="CarteiraAcoes" displayName="CarteiraAcoes" ref="A1:I7" totalsRowCount="1" headerRowDxfId="114" dataDxfId="113">
  <autoFilter ref="A1:I6" xr:uid="{91462445-AC7C-44E9-BD94-102939D18E4F}"/>
  <sortState xmlns:xlrd2="http://schemas.microsoft.com/office/spreadsheetml/2017/richdata2" ref="A2:I6">
    <sortCondition ref="B1:B6"/>
  </sortState>
  <tableColumns count="9">
    <tableColumn id="1" xr3:uid="{73BAB937-D44D-4037-A331-2E30CBFD53AD}" name="Ativo" totalsRowLabel="Total" dataDxfId="112" totalsRowDxfId="111"/>
    <tableColumn id="2" xr3:uid="{4274752D-0151-4145-BA63-EB318FF0CDCA}" name="Tipo" dataDxfId="110" totalsRowDxfId="109">
      <calculatedColumnFormula>VLOOKUP(CarteiraAcoes[[#This Row],[Ativo]],Ativos[],2,FALSE)</calculatedColumnFormula>
    </tableColumn>
    <tableColumn id="3" xr3:uid="{4C47F9EC-BAFF-42BD-9D8C-2991FD9FB17E}" name="Cotação" dataDxfId="108" totalsRowDxfId="107">
      <calculatedColumnFormula>VLOOKUP(CarteiraAcoes[[#This Row],[Ativo]],Ativos[],3,FALSE)</calculatedColumnFormula>
    </tableColumn>
    <tableColumn id="4" xr3:uid="{53361D8D-872C-48F7-8E31-43AEF03FC21F}" name="Total Aportado" totalsRowFunction="sum" dataDxfId="106" totalsRowDxfId="105">
      <calculatedColumnFormula>SUMIFS(Aportes[Total],Aportes[Ativo],CarteiraAcoes[[#This Row],[Ativo]],Aportes[Data],"&lt;="&amp;IF($L$1="",TODAY(),$L$1))</calculatedColumnFormula>
    </tableColumn>
    <tableColumn id="5" xr3:uid="{2AD88C57-FBA5-45BE-BA33-B69F545E7F35}" name="Total Quantidade" dataDxfId="104" totalsRowDxfId="103">
      <calculatedColumnFormula xml:space="preserve"> SUMIFS(Aportes[Quantidade],Aportes[Ativo],CarteiraAcoes[[#This Row],[Ativo]],Aportes[Data],"&lt;="&amp;IF($L$1="",TODAY(),$L$1))</calculatedColumnFormula>
    </tableColumn>
    <tableColumn id="6" xr3:uid="{B3563684-900C-4333-9FB2-79AB9060895E}" name="Preço Médio" dataDxfId="102" totalsRowDxfId="101">
      <calculatedColumnFormula>CarteiraAcoes[[#This Row],[Total Aportado]]/CarteiraAcoes[[#This Row],[Total Quantidade]]</calculatedColumnFormula>
    </tableColumn>
    <tableColumn id="7" xr3:uid="{698E35CD-18E7-4FBF-8BDF-634662183241}" name="Total Atual" totalsRowFunction="sum" dataDxfId="100" totalsRowDxfId="99">
      <calculatedColumnFormula>CarteiraAcoes[[#This Row],[Total Quantidade]]*CarteiraAcoes[[#This Row],[Cotação]]</calculatedColumnFormula>
    </tableColumn>
    <tableColumn id="8" xr3:uid="{41CE8350-2280-446B-8D89-461D821EED99}" name="Valorização" totalsRowFunction="sum" dataDxfId="98" totalsRowDxfId="97">
      <calculatedColumnFormula>CarteiraAcoes[[#This Row],[Total Atual]]-CarteiraAcoes[[#This Row],[Total Aportado]]</calculatedColumnFormula>
    </tableColumn>
    <tableColumn id="9" xr3:uid="{68CBDF88-556A-47BE-802D-F1A8126B74C6}" name="Valorização %" dataDxfId="96" totalsRowDxfId="95">
      <calculatedColumnFormula xml:space="preserve"> (CarteiraAcoes[[#This Row],[Total Atual]]/CarteiraAcoes[[#This Row],[Total Aportado]]) - 1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4AADD4-03A0-4D83-A8A5-CC517ACFEDF1}" name="CarteiraFII" displayName="CarteiraFII" ref="A1:I6" totalsRowCount="1" headerRowDxfId="94" dataDxfId="93">
  <autoFilter ref="A1:I5" xr:uid="{91462445-AC7C-44E9-BD94-102939D18E4F}"/>
  <sortState xmlns:xlrd2="http://schemas.microsoft.com/office/spreadsheetml/2017/richdata2" ref="A2:I5">
    <sortCondition ref="B1:B5"/>
  </sortState>
  <tableColumns count="9">
    <tableColumn id="1" xr3:uid="{2B3ABCD4-064D-4EE7-8986-AD2DCC7FEB3B}" name="Ativo" totalsRowLabel="Total" dataDxfId="92" totalsRowDxfId="91"/>
    <tableColumn id="2" xr3:uid="{436BE15B-BDF6-4841-A9DD-D70A08CEA898}" name="Tipo" dataDxfId="90" totalsRowDxfId="89">
      <calculatedColumnFormula>VLOOKUP(CarteiraFII[[#This Row],[Ativo]],Ativos[],2,FALSE)</calculatedColumnFormula>
    </tableColumn>
    <tableColumn id="3" xr3:uid="{D0EEFCDF-A278-4393-8105-31D9765867C1}" name="Cotação" dataDxfId="88" totalsRowDxfId="87">
      <calculatedColumnFormula>VLOOKUP(CarteiraFII[[#This Row],[Ativo]],Ativos[],3,FALSE)</calculatedColumnFormula>
    </tableColumn>
    <tableColumn id="4" xr3:uid="{1588222D-A264-48C0-A8A0-8BE0EF943FDF}" name="Total Aportado" totalsRowFunction="sum" dataDxfId="86" totalsRowDxfId="85">
      <calculatedColumnFormula>SUMIFS(Aportes[Total],Aportes[Ativo],CarteiraFII[[#This Row],[Ativo]],Aportes[Data],"&lt;="&amp;IF($L$1="",TODAY(),$L$1))</calculatedColumnFormula>
    </tableColumn>
    <tableColumn id="5" xr3:uid="{D0F9ED97-2AC5-4BF9-AFB6-5FF1137E5A3D}" name="Total Quantidade" dataDxfId="84" totalsRowDxfId="83">
      <calculatedColumnFormula xml:space="preserve"> SUMIFS(Aportes[Quantidade],Aportes[Ativo],CarteiraFII[[#This Row],[Ativo]],Aportes[Data],"&lt;="&amp;IF($L$1="",TODAY(),$L$1))</calculatedColumnFormula>
    </tableColumn>
    <tableColumn id="6" xr3:uid="{8A405303-4392-4105-B9EC-EC48C718F11F}" name="Preço Médio" dataDxfId="82" totalsRowDxfId="81">
      <calculatedColumnFormula>CarteiraFII[[#This Row],[Total Aportado]]/CarteiraFII[[#This Row],[Total Quantidade]]</calculatedColumnFormula>
    </tableColumn>
    <tableColumn id="7" xr3:uid="{418C6C58-E77B-4AA5-A187-A42C352FBD2A}" name="Total Atual" totalsRowFunction="sum" dataDxfId="80" totalsRowDxfId="79">
      <calculatedColumnFormula>CarteiraFII[[#This Row],[Total Quantidade]]*CarteiraFII[[#This Row],[Cotação]]</calculatedColumnFormula>
    </tableColumn>
    <tableColumn id="8" xr3:uid="{199671A2-220C-4CB6-BF8A-D2DC89C8884F}" name="Valorização" totalsRowFunction="sum" dataDxfId="78" totalsRowDxfId="77">
      <calculatedColumnFormula>CarteiraFII[[#This Row],[Total Atual]]-CarteiraFII[[#This Row],[Total Aportado]]</calculatedColumnFormula>
    </tableColumn>
    <tableColumn id="9" xr3:uid="{DAA6F475-54D4-411C-8BE1-8C6199C90C92}" name="Valorização %" dataDxfId="76" totalsRowDxfId="75">
      <calculatedColumnFormula xml:space="preserve"> (CarteiraFII[[#This Row],[Total Atual]]/CarteiraFII[[#This Row],[Total Aportado]]) - 1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0320CE-D591-4E20-ACF0-66D6F62EC16D}" name="Aportes" displayName="Aportes" ref="A1:J29" headerRowDxfId="50" dataDxfId="49">
  <autoFilter ref="A1:J29" xr:uid="{DC0320CE-D591-4E20-ACF0-66D6F62EC16D}"/>
  <tableColumns count="10">
    <tableColumn id="1" xr3:uid="{452AA927-9D2F-4E60-B036-D023073851E5}" name="Data" totalsRowLabel="Total" dataDxfId="48" totalsRowDxfId="47"/>
    <tableColumn id="2" xr3:uid="{A5201024-E6C3-4677-AD98-AF844D823486}" name="Ativo" dataDxfId="46" totalsRowDxfId="45"/>
    <tableColumn id="3" xr3:uid="{9CCD9004-F3AB-4DE1-AB77-060272BAB70D}" name="Quantidade" dataDxfId="44" totalsRowDxfId="43"/>
    <tableColumn id="4" xr3:uid="{98CBB545-AC54-4E64-947C-FD59294246F6}" name="Valor Unitário" dataDxfId="42" totalsRowDxfId="41"/>
    <tableColumn id="5" xr3:uid="{80F29DB1-652C-4F5C-A85C-4B581EBB5238}" name="Custo" dataDxfId="40" totalsRowDxfId="39"/>
    <tableColumn id="6" xr3:uid="{7D7628E4-447A-4CEA-A20A-BA7295630ED1}" name="Total" dataDxfId="38" totalsRowDxfId="37">
      <calculatedColumnFormula>Aportes[[#This Row],[Valor Unitário]]*Aportes[[#This Row],[Quantidade]] + Aportes[[#This Row],[Custo]]</calculatedColumnFormula>
    </tableColumn>
    <tableColumn id="7" xr3:uid="{E715D608-240F-4EF3-B533-879653485D42}" name="Tipo" dataDxfId="36" totalsRowDxfId="35">
      <calculatedColumnFormula xml:space="preserve"> IF(Aportes[[#This Row],[Ativo]]="","",VLOOKUP(Aportes[[#This Row],[Ativo]],Ativos[],2,FALSE))</calculatedColumnFormula>
    </tableColumn>
    <tableColumn id="8" xr3:uid="{435EEDDD-3ADB-4E61-ACBD-9AACDECA3DF9}" name="Ano" dataDxfId="34" totalsRowDxfId="33">
      <calculatedColumnFormula>YEAR(Aportes[[#This Row],[Data]])</calculatedColumnFormula>
    </tableColumn>
    <tableColumn id="9" xr3:uid="{163BA4F3-A3A5-4F7E-9DBA-6EA6BE0A0E0D}" name="Mês" dataDxfId="32" totalsRowDxfId="31">
      <calculatedColumnFormula>MONTH(Aportes[[#This Row],[Data]])</calculatedColumnFormula>
    </tableColumn>
    <tableColumn id="10" xr3:uid="{2C49A2D8-AB10-41AD-8DB6-B0C9595C5F8D}" name="Ano/Mês" totalsRowFunction="count" dataDxfId="30" totalsRowDxfId="29">
      <calculatedColumnFormula>CONCATENATE(Aportes[[#This Row],[Ano]],"/",IF(Aportes[[#This Row],[Mês]]&lt;10,"0",""),Aportes[[#This Row],[Mês]])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5166B-B934-43B3-93A4-ECD6D93CE3CF}" name="Proventos" displayName="Proventos" ref="A1:I71" totalsRowShown="0" headerRowDxfId="28" dataDxfId="27">
  <autoFilter ref="A1:I71" xr:uid="{A8E5166B-B934-43B3-93A4-ECD6D93CE3CF}"/>
  <tableColumns count="9">
    <tableColumn id="1" xr3:uid="{5883C44A-D2A4-479A-8754-DFBA1CFC593E}" name="Código" dataDxfId="26"/>
    <tableColumn id="2" xr3:uid="{8DCA182F-AE37-4A99-BF1F-2B7E50286E30}" name="Ativo" dataDxfId="25"/>
    <tableColumn id="3" xr3:uid="{36FA5AEB-8943-45FB-994B-5D5D4311650E}" name="Quantidade" dataDxfId="24"/>
    <tableColumn id="4" xr3:uid="{83B5B94E-D87F-4ABD-8532-97EF5E55C1BA}" name="Valor Bruto" dataDxfId="23"/>
    <tableColumn id="5" xr3:uid="{94E23BC8-B376-4ACA-B59E-B36E40BD6C3E}" name="IR" dataDxfId="22"/>
    <tableColumn id="6" xr3:uid="{5DA815C1-1BFB-417D-BF79-7326A02AB73B}" name="Valor Líquido" dataDxfId="21"/>
    <tableColumn id="7" xr3:uid="{A164C523-9372-4C44-8AE1-E7A413DB1F85}" name="Data" dataDxfId="20"/>
    <tableColumn id="8" xr3:uid="{FC6372D2-4404-4C2B-8FFB-7EEB9EDDBDA3}" name="Ano/Mês" dataDxfId="19">
      <calculatedColumnFormula>CONCATENATE(YEAR(Proventos[[#This Row],[Data]]),"/",IF(MONTH(Proventos[[#This Row],[Data]])&lt;10,"0",""),MONTH(Proventos[[#This Row],[Data]]))</calculatedColumnFormula>
    </tableColumn>
    <tableColumn id="9" xr3:uid="{70FC5DBC-92E0-4A31-BAE6-7A059A5B994E}" name="Tipo" dataDxfId="18">
      <calculatedColumnFormula xml:space="preserve"> IF(Proventos[[#This Row],[Ativo]]="","",VLOOKUP(Proventos[[#This Row],[Ativo]],Ativos[],2,FALSE))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FA085A-1D19-4CC8-83C7-3A9FC86DF152}" name="Ativos" displayName="Ativos" ref="A1:C10" tableType="queryTable" totalsRowShown="0" headerRowDxfId="17" dataDxfId="16">
  <autoFilter ref="A1:C10" xr:uid="{C6FA085A-1D19-4CC8-83C7-3A9FC86DF152}"/>
  <tableColumns count="3">
    <tableColumn id="1" xr3:uid="{EE805919-0EB2-41CD-9890-4B625AEC8A05}" uniqueName="1" name="ATIVO" queryTableFieldId="1" dataDxfId="15"/>
    <tableColumn id="2" xr3:uid="{D9D587A1-D6A3-4D80-A123-78EBDECCE595}" uniqueName="2" name="TIPO" queryTableFieldId="2" dataDxfId="14"/>
    <tableColumn id="3" xr3:uid="{60E87E84-DE1C-4E8C-8E9F-829826D1968C}" uniqueName="3" name="COTAÇÃO" queryTableFieldId="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8463-BE55-4F27-88F7-2C01145F00D0}">
  <dimension ref="A1:I17"/>
  <sheetViews>
    <sheetView showGridLines="0" showRowColHeaders="0" tabSelected="1" zoomScale="145" zoomScaleNormal="145" workbookViewId="0">
      <selection activeCell="E1" sqref="E1"/>
    </sheetView>
  </sheetViews>
  <sheetFormatPr defaultColWidth="0" defaultRowHeight="15" x14ac:dyDescent="0.25"/>
  <cols>
    <col min="1" max="1" width="2.7109375" customWidth="1"/>
    <col min="2" max="2" width="31.42578125" customWidth="1"/>
    <col min="3" max="3" width="3.28515625" customWidth="1"/>
    <col min="4" max="4" width="19.7109375" customWidth="1"/>
    <col min="5" max="5" width="27.7109375" customWidth="1"/>
    <col min="6" max="6" width="39" customWidth="1"/>
    <col min="7" max="7" width="17.85546875" customWidth="1"/>
    <col min="8" max="8" width="30.140625" customWidth="1"/>
    <col min="9" max="9" width="2.5703125" customWidth="1"/>
    <col min="10" max="16384" width="9.140625" hidden="1"/>
  </cols>
  <sheetData>
    <row r="1" spans="2:8" ht="38.25" customHeight="1" x14ac:dyDescent="0.25">
      <c r="B1" s="25"/>
      <c r="C1" s="25"/>
      <c r="D1" s="26" t="s">
        <v>59</v>
      </c>
      <c r="E1" s="45">
        <v>20000</v>
      </c>
      <c r="F1" s="25"/>
      <c r="G1" s="28" t="s">
        <v>58</v>
      </c>
      <c r="H1" s="29">
        <f ca="1" xml:space="preserve"> IF(ReCarteira!L1="",TODAY(),ReCarteira!L1)</f>
        <v>45216</v>
      </c>
    </row>
    <row r="2" spans="2:8" ht="15.75" thickBot="1" x14ac:dyDescent="0.3">
      <c r="B2" s="47"/>
      <c r="C2" s="47"/>
      <c r="D2" s="47"/>
      <c r="E2" s="47"/>
      <c r="F2" s="47"/>
      <c r="G2" s="47"/>
      <c r="H2" s="47"/>
    </row>
    <row r="3" spans="2:8" ht="15.75" thickTop="1" x14ac:dyDescent="0.25"/>
    <row r="4" spans="2:8" x14ac:dyDescent="0.25">
      <c r="B4" s="27" t="s">
        <v>55</v>
      </c>
    </row>
    <row r="5" spans="2:8" ht="35.25" customHeight="1" x14ac:dyDescent="0.25">
      <c r="B5" s="44">
        <f ca="1">Análise!C13</f>
        <v>36371.089999999997</v>
      </c>
    </row>
    <row r="6" spans="2:8" x14ac:dyDescent="0.25">
      <c r="B6" s="2"/>
    </row>
    <row r="7" spans="2:8" x14ac:dyDescent="0.25">
      <c r="B7" s="27" t="s">
        <v>48</v>
      </c>
    </row>
    <row r="8" spans="2:8" ht="35.25" customHeight="1" x14ac:dyDescent="0.25">
      <c r="B8" s="44">
        <f ca="1">Análise!C12</f>
        <v>26791.03</v>
      </c>
    </row>
    <row r="9" spans="2:8" x14ac:dyDescent="0.25">
      <c r="B9" s="2"/>
    </row>
    <row r="10" spans="2:8" x14ac:dyDescent="0.25">
      <c r="B10" s="27" t="s">
        <v>52</v>
      </c>
    </row>
    <row r="11" spans="2:8" ht="35.25" customHeight="1" x14ac:dyDescent="0.25">
      <c r="B11" s="44">
        <f ca="1">Análise!C14</f>
        <v>9580.0600000000031</v>
      </c>
    </row>
    <row r="12" spans="2:8" x14ac:dyDescent="0.25">
      <c r="B12" s="2"/>
    </row>
    <row r="13" spans="2:8" x14ac:dyDescent="0.25">
      <c r="B13" s="27" t="s">
        <v>56</v>
      </c>
    </row>
    <row r="14" spans="2:8" ht="35.25" customHeight="1" x14ac:dyDescent="0.25">
      <c r="B14" s="43">
        <f ca="1">Análise!C15</f>
        <v>0.35758460947563409</v>
      </c>
    </row>
    <row r="15" spans="2:8" ht="15.75" thickBot="1" x14ac:dyDescent="0.3"/>
    <row r="16" spans="2:8" ht="16.5" thickTop="1" thickBot="1" x14ac:dyDescent="0.3">
      <c r="B16" s="46"/>
      <c r="C16" s="46"/>
      <c r="D16" s="46"/>
      <c r="E16" s="46"/>
      <c r="F16" s="46"/>
      <c r="G16" s="46"/>
      <c r="H16" s="46"/>
    </row>
    <row r="17" ht="15.75" thickTop="1" x14ac:dyDescent="0.25"/>
  </sheetData>
  <sheetProtection sheet="1" objects="1" scenarios="1" selectLockedCells="1"/>
  <conditionalFormatting sqref="B5">
    <cfRule type="cellIs" dxfId="12" priority="1" operator="lessThan">
      <formula>0</formula>
    </cfRule>
  </conditionalFormatting>
  <conditionalFormatting sqref="B8">
    <cfRule type="cellIs" dxfId="11" priority="2" operator="lessThan">
      <formula>0</formula>
    </cfRule>
  </conditionalFormatting>
  <conditionalFormatting sqref="B11">
    <cfRule type="cellIs" dxfId="10" priority="3" operator="lessThan">
      <formula>0</formula>
    </cfRule>
  </conditionalFormatting>
  <conditionalFormatting sqref="B14">
    <cfRule type="cellIs" dxfId="9" priority="4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Drop Down 1">
              <controlPr defaultSize="0" autoLine="0" autoPict="0">
                <anchor moveWithCells="1">
                  <from>
                    <xdr:col>0</xdr:col>
                    <xdr:colOff>180975</xdr:colOff>
                    <xdr:row>0</xdr:row>
                    <xdr:rowOff>28575</xdr:rowOff>
                  </from>
                  <to>
                    <xdr:col>2</xdr:col>
                    <xdr:colOff>0</xdr:colOff>
                    <xdr:row>0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0AD7-5D40-4313-B532-EC264D957A67}">
  <dimension ref="B2:AB26"/>
  <sheetViews>
    <sheetView showGridLines="0" zoomScale="130" zoomScaleNormal="130" workbookViewId="0">
      <selection activeCell="N14" sqref="N14"/>
    </sheetView>
  </sheetViews>
  <sheetFormatPr defaultRowHeight="15" x14ac:dyDescent="0.25"/>
  <cols>
    <col min="1" max="1" width="2.7109375" style="2" customWidth="1"/>
    <col min="2" max="2" width="18.5703125" style="2" customWidth="1"/>
    <col min="3" max="3" width="22.85546875" style="2" customWidth="1"/>
    <col min="4" max="4" width="2.7109375" style="2" customWidth="1"/>
    <col min="5" max="5" width="9.140625" style="2"/>
    <col min="6" max="6" width="16.42578125" style="2" customWidth="1"/>
    <col min="7" max="9" width="12.140625" style="2" bestFit="1" customWidth="1"/>
    <col min="10" max="10" width="2.85546875" style="2" customWidth="1"/>
    <col min="11" max="11" width="9.140625" style="11"/>
    <col min="12" max="12" width="9.140625" style="2"/>
    <col min="13" max="13" width="12.140625" style="2" bestFit="1" customWidth="1"/>
    <col min="14" max="14" width="2.7109375" style="2" customWidth="1"/>
    <col min="15" max="15" width="9.140625" style="2"/>
    <col min="16" max="16" width="12" style="7" bestFit="1" customWidth="1"/>
    <col min="17" max="17" width="13.7109375" style="2" bestFit="1" customWidth="1"/>
    <col min="18" max="18" width="9.140625" style="11"/>
    <col min="19" max="19" width="2.7109375" style="2" customWidth="1"/>
    <col min="20" max="21" width="9.140625" style="2"/>
    <col min="22" max="22" width="13.7109375" style="2" bestFit="1" customWidth="1"/>
    <col min="23" max="23" width="9.140625" style="2"/>
    <col min="24" max="24" width="2.7109375" style="2" customWidth="1"/>
    <col min="25" max="26" width="9.140625" style="2"/>
    <col min="27" max="27" width="12.7109375" style="2" bestFit="1" customWidth="1"/>
    <col min="28" max="28" width="9.140625" style="2"/>
    <col min="29" max="29" width="12.42578125" style="2" bestFit="1" customWidth="1"/>
    <col min="30" max="16384" width="9.140625" style="2"/>
  </cols>
  <sheetData>
    <row r="2" spans="2:28" x14ac:dyDescent="0.25">
      <c r="B2" s="48" t="s">
        <v>60</v>
      </c>
      <c r="C2" s="48"/>
      <c r="E2" s="48" t="s">
        <v>67</v>
      </c>
      <c r="F2" s="48"/>
      <c r="G2" s="48"/>
      <c r="H2" s="48"/>
      <c r="I2" s="48"/>
      <c r="K2" s="48" t="s">
        <v>70</v>
      </c>
      <c r="L2" s="48"/>
      <c r="M2" s="48"/>
      <c r="O2" s="48" t="s">
        <v>76</v>
      </c>
      <c r="P2" s="48"/>
      <c r="Q2" s="48"/>
      <c r="R2" s="48"/>
      <c r="T2" s="48" t="s">
        <v>74</v>
      </c>
      <c r="U2" s="48"/>
      <c r="V2" s="48"/>
      <c r="W2" s="48"/>
      <c r="Y2" s="48" t="s">
        <v>75</v>
      </c>
      <c r="Z2" s="48"/>
      <c r="AA2" s="48"/>
      <c r="AB2" s="48"/>
    </row>
    <row r="3" spans="2:28" x14ac:dyDescent="0.25">
      <c r="B3" s="30">
        <v>1</v>
      </c>
      <c r="C3" s="31" t="s">
        <v>61</v>
      </c>
      <c r="E3" s="30"/>
      <c r="F3" s="30"/>
      <c r="G3" s="32">
        <v>1</v>
      </c>
      <c r="H3" s="32">
        <v>2</v>
      </c>
      <c r="I3" s="32">
        <v>3</v>
      </c>
      <c r="K3" s="37" t="s">
        <v>71</v>
      </c>
      <c r="L3" s="32" t="s">
        <v>15</v>
      </c>
      <c r="M3" s="32" t="s">
        <v>72</v>
      </c>
      <c r="O3" s="37" t="s">
        <v>71</v>
      </c>
      <c r="P3" s="32" t="s">
        <v>15</v>
      </c>
      <c r="Q3" s="32" t="s">
        <v>72</v>
      </c>
      <c r="R3" s="37" t="s">
        <v>73</v>
      </c>
      <c r="T3" s="37" t="s">
        <v>71</v>
      </c>
      <c r="U3" s="32" t="s">
        <v>15</v>
      </c>
      <c r="V3" s="32" t="s">
        <v>72</v>
      </c>
      <c r="W3" s="37" t="s">
        <v>73</v>
      </c>
      <c r="Y3" s="37" t="s">
        <v>71</v>
      </c>
      <c r="Z3" s="32" t="s">
        <v>15</v>
      </c>
      <c r="AA3" s="32" t="s">
        <v>72</v>
      </c>
      <c r="AB3" s="37" t="s">
        <v>73</v>
      </c>
    </row>
    <row r="4" spans="2:28" x14ac:dyDescent="0.25">
      <c r="B4" s="30">
        <v>2</v>
      </c>
      <c r="C4" s="31" t="s">
        <v>62</v>
      </c>
      <c r="E4" s="30"/>
      <c r="F4" s="30"/>
      <c r="G4" s="32" t="s">
        <v>61</v>
      </c>
      <c r="H4" s="32" t="s">
        <v>62</v>
      </c>
      <c r="I4" s="32" t="s">
        <v>9</v>
      </c>
      <c r="K4" s="38">
        <v>10</v>
      </c>
      <c r="L4" s="33" t="str">
        <f ca="1" xml:space="preserve"> IF($C$8=1,P4,IF($C$8=2,U4,Z4))</f>
        <v>-</v>
      </c>
      <c r="M4" s="33">
        <f ca="1">IF($C$8=1,Q4,IF($C$8=2,V4,AA4))</f>
        <v>0</v>
      </c>
      <c r="O4" s="38">
        <v>10</v>
      </c>
      <c r="P4" s="40" t="str" cm="1">
        <f t="array" aca="1" ref="P4" ca="1">IF(ISNUMBER(R4),INDEX(Carteira[Ativo],R4),"-")</f>
        <v>-</v>
      </c>
      <c r="Q4" s="41">
        <f ca="1">IF(ISNUMBER(LARGE(Carteira[Total Atual],O4)),LARGE(Carteira[Total Atual],O4),0)</f>
        <v>0</v>
      </c>
      <c r="R4" s="42" t="str">
        <f ca="1">IF(ISNA(MATCH(Q4,Carteira[Total Atual],0)),"-",MATCH(Q4,Carteira[Total Atual],0))</f>
        <v>-</v>
      </c>
      <c r="T4" s="38">
        <v>10</v>
      </c>
      <c r="U4" s="40" t="str" cm="1">
        <f t="array" aca="1" ref="U4" ca="1">IF(ISNUMBER(W4),INDEX(CarteiraAcoes[Ativo],W4),"-")</f>
        <v>-</v>
      </c>
      <c r="V4" s="41">
        <f ca="1">IF(ISNUMBER(LARGE(CarteiraAcoes[Total Atual],T4)),LARGE(CarteiraAcoes[Total Atual],T4),0)</f>
        <v>0</v>
      </c>
      <c r="W4" s="42" t="str">
        <f ca="1">IF(ISNA(MATCH(V4,CarteiraAcoes[Total Atual],0)),"-",MATCH(V4,CarteiraAcoes[Total Atual],0))</f>
        <v>-</v>
      </c>
      <c r="Y4" s="38">
        <v>10</v>
      </c>
      <c r="Z4" s="40" t="str" cm="1">
        <f t="array" aca="1" ref="Z4" ca="1">IF(ISNUMBER(AB4),INDEX(CarteiraFII[Ativo],AB4),"-")</f>
        <v>-</v>
      </c>
      <c r="AA4" s="41">
        <f ca="1">IF(ISNUMBER(LARGE(CarteiraFII[Total Atual],Y4)),LARGE(CarteiraFII[Total Atual],Y4),0)</f>
        <v>0</v>
      </c>
      <c r="AB4" s="42" t="str">
        <f ca="1">IF(ISNA(MATCH(AA4,CarteiraFII[Total Atual],0)),"-",MATCH(AA4,CarteiraFII[Total Atual],0))</f>
        <v>-</v>
      </c>
    </row>
    <row r="5" spans="2:28" x14ac:dyDescent="0.25">
      <c r="B5" s="30">
        <v>3</v>
      </c>
      <c r="C5" s="31" t="s">
        <v>63</v>
      </c>
      <c r="E5" s="30">
        <v>1</v>
      </c>
      <c r="F5" s="30" t="s">
        <v>48</v>
      </c>
      <c r="G5" s="33">
        <f ca="1">SUM(Carteira[Total Aportado])</f>
        <v>26791.03</v>
      </c>
      <c r="H5" s="33">
        <f ca="1">SUMIF(Carteira[Tipo],"EMPRESA",Carteira[Total Aportado])</f>
        <v>17598</v>
      </c>
      <c r="I5" s="33">
        <f ca="1">SUMIF(Carteira[Tipo],"FII",Carteira[Total Aportado])</f>
        <v>9193.0299999999988</v>
      </c>
      <c r="K5" s="38">
        <v>9</v>
      </c>
      <c r="L5" s="33" t="str">
        <f t="shared" ref="L5:L13" ca="1" si="0" xml:space="preserve"> IF($C$8=1,P5,IF($C$8=2,U5,Z5))</f>
        <v>HGBS11</v>
      </c>
      <c r="M5" s="33">
        <f t="shared" ref="M5:M13" ca="1" si="1">IF($C$8=1,Q5,IF($C$8=2,V5,AA5))</f>
        <v>2063.9700000000003</v>
      </c>
      <c r="O5" s="38">
        <v>9</v>
      </c>
      <c r="P5" s="40" t="str" cm="1">
        <f t="array" aca="1" ref="P5" ca="1">IF(ISNUMBER(R5),INDEX(Carteira[Ativo],R5),"-")</f>
        <v>HGBS11</v>
      </c>
      <c r="Q5" s="41">
        <f ca="1">IF(ISNUMBER(LARGE(Carteira[Total Atual],O5)),LARGE(Carteira[Total Atual],O5),0)</f>
        <v>2063.9700000000003</v>
      </c>
      <c r="R5" s="42">
        <f ca="1">IF(ISNA(MATCH(Q5,Carteira[Total Atual],0)),"-",MATCH(Q5,Carteira[Total Atual],0))</f>
        <v>5</v>
      </c>
      <c r="T5" s="38">
        <v>9</v>
      </c>
      <c r="U5" s="40" t="str" cm="1">
        <f t="array" aca="1" ref="U5" ca="1">IF(ISNUMBER(W5),INDEX(CarteiraAcoes[Ativo],W5),"-")</f>
        <v>-</v>
      </c>
      <c r="V5" s="41">
        <f ca="1">IF(ISNUMBER(LARGE(CarteiraAcoes[Total Atual],T5)),LARGE(CarteiraAcoes[Total Atual],T5),0)</f>
        <v>0</v>
      </c>
      <c r="W5" s="42" t="str">
        <f ca="1">IF(ISNA(MATCH(V5,CarteiraAcoes[Total Atual],0)),"-",MATCH(V5,CarteiraAcoes[Total Atual],0))</f>
        <v>-</v>
      </c>
      <c r="Y5" s="38">
        <v>9</v>
      </c>
      <c r="Z5" s="40" t="str" cm="1">
        <f t="array" aca="1" ref="Z5" ca="1">IF(ISNUMBER(AB5),INDEX(CarteiraFII[Ativo],AB5),"-")</f>
        <v>-</v>
      </c>
      <c r="AA5" s="41">
        <f ca="1">IF(ISNUMBER(LARGE(CarteiraFII[Total Atual],Y5)),LARGE(CarteiraFII[Total Atual],Y5),0)</f>
        <v>0</v>
      </c>
      <c r="AB5" s="42" t="str">
        <f ca="1">IF(ISNA(MATCH(AA5,CarteiraFII[Total Atual],0)),"-",MATCH(AA5,CarteiraFII[Total Atual],0))</f>
        <v>-</v>
      </c>
    </row>
    <row r="6" spans="2:28" x14ac:dyDescent="0.25">
      <c r="E6" s="30">
        <v>2</v>
      </c>
      <c r="F6" s="30" t="s">
        <v>55</v>
      </c>
      <c r="G6" s="33">
        <f ca="1">SUM(Carteira[Total Atual])</f>
        <v>36371.089999999997</v>
      </c>
      <c r="H6" s="33">
        <f ca="1">SUMIF(Carteira[Tipo],"EMPRESA",Carteira[Total Atual])</f>
        <v>26259</v>
      </c>
      <c r="I6" s="33">
        <f ca="1">SUMIF(Carteira[Tipo],"FII",Carteira[Total Atual])</f>
        <v>10112.09</v>
      </c>
      <c r="K6" s="38">
        <v>8</v>
      </c>
      <c r="L6" s="33" t="str">
        <f t="shared" ca="1" si="0"/>
        <v>TAEE4</v>
      </c>
      <c r="M6" s="33">
        <f t="shared" ca="1" si="1"/>
        <v>2262</v>
      </c>
      <c r="O6" s="38">
        <v>8</v>
      </c>
      <c r="P6" s="40" t="str" cm="1">
        <f t="array" aca="1" ref="P6" ca="1">IF(ISNUMBER(R6),INDEX(Carteira[Ativo],R6),"-")</f>
        <v>TAEE4</v>
      </c>
      <c r="Q6" s="41">
        <f ca="1">IF(ISNUMBER(LARGE(Carteira[Total Atual],O6)),LARGE(Carteira[Total Atual],O6),0)</f>
        <v>2262</v>
      </c>
      <c r="R6" s="42">
        <f ca="1">IF(ISNA(MATCH(Q6,Carteira[Total Atual],0)),"-",MATCH(Q6,Carteira[Total Atual],0))</f>
        <v>9</v>
      </c>
      <c r="T6" s="38">
        <v>8</v>
      </c>
      <c r="U6" s="40" t="str" cm="1">
        <f t="array" aca="1" ref="U6" ca="1">IF(ISNUMBER(W6),INDEX(CarteiraAcoes[Ativo],W6),"-")</f>
        <v>-</v>
      </c>
      <c r="V6" s="41">
        <f ca="1">IF(ISNUMBER(LARGE(CarteiraAcoes[Total Atual],T6)),LARGE(CarteiraAcoes[Total Atual],T6),0)</f>
        <v>0</v>
      </c>
      <c r="W6" s="42" t="str">
        <f ca="1">IF(ISNA(MATCH(V6,CarteiraAcoes[Total Atual],0)),"-",MATCH(V6,CarteiraAcoes[Total Atual],0))</f>
        <v>-</v>
      </c>
      <c r="Y6" s="38">
        <v>8</v>
      </c>
      <c r="Z6" s="40" t="str" cm="1">
        <f t="array" aca="1" ref="Z6" ca="1">IF(ISNUMBER(AB6),INDEX(CarteiraFII[Ativo],AB6),"-")</f>
        <v>-</v>
      </c>
      <c r="AA6" s="41">
        <f ca="1">IF(ISNUMBER(LARGE(CarteiraFII[Total Atual],Y6)),LARGE(CarteiraFII[Total Atual],Y6),0)</f>
        <v>0</v>
      </c>
      <c r="AB6" s="42" t="str">
        <f ca="1">IF(ISNA(MATCH(AA6,CarteiraFII[Total Atual],0)),"-",MATCH(AA6,CarteiraFII[Total Atual],0))</f>
        <v>-</v>
      </c>
    </row>
    <row r="7" spans="2:28" x14ac:dyDescent="0.25">
      <c r="B7" s="48" t="s">
        <v>64</v>
      </c>
      <c r="C7" s="48"/>
      <c r="E7" s="30">
        <v>3</v>
      </c>
      <c r="F7" s="30" t="s">
        <v>52</v>
      </c>
      <c r="G7" s="33">
        <f ca="1">SUM(Carteira[Valorização])</f>
        <v>9580.0600000000031</v>
      </c>
      <c r="H7" s="33">
        <f ca="1">H6-H5</f>
        <v>8661</v>
      </c>
      <c r="I7" s="33">
        <f ca="1">I6-I5</f>
        <v>919.06000000000131</v>
      </c>
      <c r="K7" s="38">
        <v>7</v>
      </c>
      <c r="L7" s="33" t="str">
        <f t="shared" ca="1" si="0"/>
        <v>HGRE11</v>
      </c>
      <c r="M7" s="33">
        <f t="shared" ca="1" si="1"/>
        <v>2434.2800000000002</v>
      </c>
      <c r="O7" s="38">
        <v>7</v>
      </c>
      <c r="P7" s="40" t="str" cm="1">
        <f t="array" aca="1" ref="P7" ca="1">IF(ISNUMBER(R7),INDEX(Carteira[Ativo],R7),"-")</f>
        <v>HGRE11</v>
      </c>
      <c r="Q7" s="41">
        <f ca="1">IF(ISNUMBER(LARGE(Carteira[Total Atual],O7)),LARGE(Carteira[Total Atual],O7),0)</f>
        <v>2434.2800000000002</v>
      </c>
      <c r="R7" s="42">
        <f ca="1">IF(ISNA(MATCH(Q7,Carteira[Total Atual],0)),"-",MATCH(Q7,Carteira[Total Atual],0))</f>
        <v>7</v>
      </c>
      <c r="T7" s="38">
        <v>7</v>
      </c>
      <c r="U7" s="40" t="str" cm="1">
        <f t="array" aca="1" ref="U7" ca="1">IF(ISNUMBER(W7),INDEX(CarteiraAcoes[Ativo],W7),"-")</f>
        <v>-</v>
      </c>
      <c r="V7" s="41">
        <f ca="1">IF(ISNUMBER(LARGE(CarteiraAcoes[Total Atual],T7)),LARGE(CarteiraAcoes[Total Atual],T7),0)</f>
        <v>0</v>
      </c>
      <c r="W7" s="42" t="str">
        <f ca="1">IF(ISNA(MATCH(V7,CarteiraAcoes[Total Atual],0)),"-",MATCH(V7,CarteiraAcoes[Total Atual],0))</f>
        <v>-</v>
      </c>
      <c r="Y7" s="38">
        <v>7</v>
      </c>
      <c r="Z7" s="40" t="str" cm="1">
        <f t="array" aca="1" ref="Z7" ca="1">IF(ISNUMBER(AB7),INDEX(CarteiraFII[Ativo],AB7),"-")</f>
        <v>-</v>
      </c>
      <c r="AA7" s="41">
        <f ca="1">IF(ISNUMBER(LARGE(CarteiraFII[Total Atual],Y7)),LARGE(CarteiraFII[Total Atual],Y7),0)</f>
        <v>0</v>
      </c>
      <c r="AB7" s="42" t="str">
        <f ca="1">IF(ISNA(MATCH(AA7,CarteiraFII[Total Atual],0)),"-",MATCH(AA7,CarteiraFII[Total Atual],0))</f>
        <v>-</v>
      </c>
    </row>
    <row r="8" spans="2:28" x14ac:dyDescent="0.25">
      <c r="B8" s="30" t="s">
        <v>65</v>
      </c>
      <c r="C8" s="31">
        <v>1</v>
      </c>
      <c r="E8" s="30">
        <v>4</v>
      </c>
      <c r="F8" s="30" t="s">
        <v>56</v>
      </c>
      <c r="G8" s="34">
        <f ca="1">(G6 / G5) - 1</f>
        <v>0.35758460947563409</v>
      </c>
      <c r="H8" s="34">
        <f t="shared" ref="H8:I8" ca="1" si="2">(H6 / H5) - 1</f>
        <v>0.49215819979543141</v>
      </c>
      <c r="I8" s="34">
        <f t="shared" ca="1" si="2"/>
        <v>9.9973566930598556E-2</v>
      </c>
      <c r="K8" s="38">
        <v>6</v>
      </c>
      <c r="L8" s="33" t="str">
        <f t="shared" ca="1" si="0"/>
        <v>HGLG11</v>
      </c>
      <c r="M8" s="33">
        <f t="shared" ca="1" si="1"/>
        <v>2708.1000000000004</v>
      </c>
      <c r="O8" s="38">
        <v>6</v>
      </c>
      <c r="P8" s="40" t="str" cm="1">
        <f t="array" aca="1" ref="P8" ca="1">IF(ISNUMBER(R8),INDEX(Carteira[Ativo],R8),"-")</f>
        <v>HGLG11</v>
      </c>
      <c r="Q8" s="41">
        <f ca="1">IF(ISNUMBER(LARGE(Carteira[Total Atual],O8)),LARGE(Carteira[Total Atual],O8),0)</f>
        <v>2708.1000000000004</v>
      </c>
      <c r="R8" s="42">
        <f ca="1">IF(ISNA(MATCH(Q8,Carteira[Total Atual],0)),"-",MATCH(Q8,Carteira[Total Atual],0))</f>
        <v>6</v>
      </c>
      <c r="T8" s="38">
        <v>6</v>
      </c>
      <c r="U8" s="40" t="str" cm="1">
        <f t="array" aca="1" ref="U8" ca="1">IF(ISNUMBER(W8),INDEX(CarteiraAcoes[Ativo],W8),"-")</f>
        <v>-</v>
      </c>
      <c r="V8" s="41">
        <f ca="1">IF(ISNUMBER(LARGE(CarteiraAcoes[Total Atual],T8)),LARGE(CarteiraAcoes[Total Atual],T8),0)</f>
        <v>0</v>
      </c>
      <c r="W8" s="42" t="str">
        <f ca="1">IF(ISNA(MATCH(V8,CarteiraAcoes[Total Atual],0)),"-",MATCH(V8,CarteiraAcoes[Total Atual],0))</f>
        <v>-</v>
      </c>
      <c r="Y8" s="38">
        <v>6</v>
      </c>
      <c r="Z8" s="40" t="str" cm="1">
        <f t="array" aca="1" ref="Z8" ca="1">IF(ISNUMBER(AB8),INDEX(CarteiraFII[Ativo],AB8),"-")</f>
        <v>-</v>
      </c>
      <c r="AA8" s="41">
        <f ca="1">IF(ISNUMBER(LARGE(CarteiraFII[Total Atual],Y8)),LARGE(CarteiraFII[Total Atual],Y8),0)</f>
        <v>0</v>
      </c>
      <c r="AB8" s="42" t="str">
        <f ca="1">IF(ISNA(MATCH(AA8,CarteiraFII[Total Atual],0)),"-",MATCH(AA8,CarteiraFII[Total Atual],0))</f>
        <v>-</v>
      </c>
    </row>
    <row r="9" spans="2:28" x14ac:dyDescent="0.25">
      <c r="B9" s="30" t="s">
        <v>66</v>
      </c>
      <c r="C9" s="31">
        <f>DashBoard!E1</f>
        <v>20000</v>
      </c>
      <c r="K9" s="38">
        <v>5</v>
      </c>
      <c r="L9" s="33" t="str">
        <f t="shared" ca="1" si="0"/>
        <v>ITSA4</v>
      </c>
      <c r="M9" s="33">
        <f t="shared" ca="1" si="1"/>
        <v>2709</v>
      </c>
      <c r="O9" s="38">
        <v>5</v>
      </c>
      <c r="P9" s="40" t="str" cm="1">
        <f t="array" aca="1" ref="P9" ca="1">IF(ISNUMBER(R9),INDEX(Carteira[Ativo],R9),"-")</f>
        <v>ITSA4</v>
      </c>
      <c r="Q9" s="41">
        <f ca="1">IF(ISNUMBER(LARGE(Carteira[Total Atual],O9)),LARGE(Carteira[Total Atual],O9),0)</f>
        <v>2709</v>
      </c>
      <c r="R9" s="42">
        <f ca="1">IF(ISNA(MATCH(Q9,Carteira[Total Atual],0)),"-",MATCH(Q9,Carteira[Total Atual],0))</f>
        <v>3</v>
      </c>
      <c r="T9" s="38">
        <v>5</v>
      </c>
      <c r="U9" s="40" t="str" cm="1">
        <f t="array" aca="1" ref="U9" ca="1">IF(ISNUMBER(W9),INDEX(CarteiraAcoes[Ativo],W9),"-")</f>
        <v>TAEE4</v>
      </c>
      <c r="V9" s="41">
        <f ca="1">IF(ISNUMBER(LARGE(CarteiraAcoes[Total Atual],T9)),LARGE(CarteiraAcoes[Total Atual],T9),0)</f>
        <v>2262</v>
      </c>
      <c r="W9" s="42">
        <f ca="1">IF(ISNA(MATCH(V9,CarteiraAcoes[Total Atual],0)),"-",MATCH(V9,CarteiraAcoes[Total Atual],0))</f>
        <v>5</v>
      </c>
      <c r="Y9" s="38">
        <v>5</v>
      </c>
      <c r="Z9" s="40" t="str" cm="1">
        <f t="array" aca="1" ref="Z9" ca="1">IF(ISNUMBER(AB9),INDEX(CarteiraFII[Ativo],AB9),"-")</f>
        <v>-</v>
      </c>
      <c r="AA9" s="41">
        <f ca="1">IF(ISNUMBER(LARGE(CarteiraFII[Total Atual],Y9)),LARGE(CarteiraFII[Total Atual],Y9),0)</f>
        <v>0</v>
      </c>
      <c r="AB9" s="42" t="str">
        <f ca="1">IF(ISNA(MATCH(AA9,CarteiraFII[Total Atual],0)),"-",MATCH(AA9,CarteiraFII[Total Atual],0))</f>
        <v>-</v>
      </c>
    </row>
    <row r="10" spans="2:28" x14ac:dyDescent="0.25">
      <c r="K10" s="38">
        <v>4</v>
      </c>
      <c r="L10" s="33" t="str">
        <f t="shared" ca="1" si="0"/>
        <v>KNRI11</v>
      </c>
      <c r="M10" s="33">
        <f t="shared" ca="1" si="1"/>
        <v>2905.7400000000002</v>
      </c>
      <c r="O10" s="38">
        <v>4</v>
      </c>
      <c r="P10" s="40" t="str" cm="1">
        <f t="array" aca="1" ref="P10" ca="1">IF(ISNUMBER(R10),INDEX(Carteira[Ativo],R10),"-")</f>
        <v>KNRI11</v>
      </c>
      <c r="Q10" s="41">
        <f ca="1">IF(ISNUMBER(LARGE(Carteira[Total Atual],O10)),LARGE(Carteira[Total Atual],O10),0)</f>
        <v>2905.7400000000002</v>
      </c>
      <c r="R10" s="42">
        <f ca="1">IF(ISNA(MATCH(Q10,Carteira[Total Atual],0)),"-",MATCH(Q10,Carteira[Total Atual],0))</f>
        <v>8</v>
      </c>
      <c r="T10" s="38">
        <v>4</v>
      </c>
      <c r="U10" s="40" t="str" cm="1">
        <f t="array" aca="1" ref="U10" ca="1">IF(ISNUMBER(W10),INDEX(CarteiraAcoes[Ativo],W10),"-")</f>
        <v>ITSA4</v>
      </c>
      <c r="V10" s="41">
        <f ca="1">IF(ISNUMBER(LARGE(CarteiraAcoes[Total Atual],T10)),LARGE(CarteiraAcoes[Total Atual],T10),0)</f>
        <v>2709</v>
      </c>
      <c r="W10" s="42">
        <f ca="1">IF(ISNA(MATCH(V10,CarteiraAcoes[Total Atual],0)),"-",MATCH(V10,CarteiraAcoes[Total Atual],0))</f>
        <v>3</v>
      </c>
      <c r="Y10" s="38">
        <v>4</v>
      </c>
      <c r="Z10" s="40" t="str" cm="1">
        <f t="array" aca="1" ref="Z10" ca="1">IF(ISNUMBER(AB10),INDEX(CarteiraFII[Ativo],AB10),"-")</f>
        <v>HGBS11</v>
      </c>
      <c r="AA10" s="41">
        <f ca="1">IF(ISNUMBER(LARGE(CarteiraFII[Total Atual],Y10)),LARGE(CarteiraFII[Total Atual],Y10),0)</f>
        <v>2063.9700000000003</v>
      </c>
      <c r="AB10" s="42">
        <f ca="1">IF(ISNA(MATCH(AA10,CarteiraFII[Total Atual],0)),"-",MATCH(AA10,CarteiraFII[Total Atual],0))</f>
        <v>1</v>
      </c>
    </row>
    <row r="11" spans="2:28" x14ac:dyDescent="0.25">
      <c r="B11" s="48" t="s">
        <v>68</v>
      </c>
      <c r="C11" s="48"/>
      <c r="E11" s="48" t="s">
        <v>69</v>
      </c>
      <c r="F11" s="48"/>
      <c r="G11"/>
      <c r="H11"/>
      <c r="I11"/>
      <c r="J11"/>
      <c r="K11" s="38">
        <v>3</v>
      </c>
      <c r="L11" s="33" t="str">
        <f t="shared" ca="1" si="0"/>
        <v>FLRY3</v>
      </c>
      <c r="M11" s="33">
        <f t="shared" ca="1" si="1"/>
        <v>3118</v>
      </c>
      <c r="O11" s="38">
        <v>3</v>
      </c>
      <c r="P11" s="40" t="str" cm="1">
        <f t="array" aca="1" ref="P11" ca="1">IF(ISNUMBER(R11),INDEX(Carteira[Ativo],R11),"-")</f>
        <v>FLRY3</v>
      </c>
      <c r="Q11" s="41">
        <f ca="1">IF(ISNUMBER(LARGE(Carteira[Total Atual],O11)),LARGE(Carteira[Total Atual],O11),0)</f>
        <v>3118</v>
      </c>
      <c r="R11" s="42">
        <f ca="1">IF(ISNA(MATCH(Q11,Carteira[Total Atual],0)),"-",MATCH(Q11,Carteira[Total Atual],0))</f>
        <v>2</v>
      </c>
      <c r="T11" s="38">
        <v>3</v>
      </c>
      <c r="U11" s="40" t="str" cm="1">
        <f t="array" aca="1" ref="U11" ca="1">IF(ISNUMBER(W11),INDEX(CarteiraAcoes[Ativo],W11),"-")</f>
        <v>FLRY3</v>
      </c>
      <c r="V11" s="41">
        <f ca="1">IF(ISNUMBER(LARGE(CarteiraAcoes[Total Atual],T11)),LARGE(CarteiraAcoes[Total Atual],T11),0)</f>
        <v>3118</v>
      </c>
      <c r="W11" s="42">
        <f ca="1">IF(ISNA(MATCH(V11,CarteiraAcoes[Total Atual],0)),"-",MATCH(V11,CarteiraAcoes[Total Atual],0))</f>
        <v>2</v>
      </c>
      <c r="Y11" s="38">
        <v>3</v>
      </c>
      <c r="Z11" s="40" t="str" cm="1">
        <f t="array" aca="1" ref="Z11" ca="1">IF(ISNUMBER(AB11),INDEX(CarteiraFII[Ativo],AB11),"-")</f>
        <v>HGRE11</v>
      </c>
      <c r="AA11" s="41">
        <f ca="1">IF(ISNUMBER(LARGE(CarteiraFII[Total Atual],Y11)),LARGE(CarteiraFII[Total Atual],Y11),0)</f>
        <v>2434.2800000000002</v>
      </c>
      <c r="AB11" s="42">
        <f ca="1">IF(ISNA(MATCH(AA11,CarteiraFII[Total Atual],0)),"-",MATCH(AA11,CarteiraFII[Total Atual],0))</f>
        <v>3</v>
      </c>
    </row>
    <row r="12" spans="2:28" x14ac:dyDescent="0.25">
      <c r="B12" s="30" t="s">
        <v>48</v>
      </c>
      <c r="C12" s="33" cm="1">
        <f t="array" aca="1" ref="C12" ca="1" xml:space="preserve"> INDEX($G$5:$I$8, E5,$C$8)</f>
        <v>26791.03</v>
      </c>
      <c r="E12" s="35" t="s">
        <v>62</v>
      </c>
      <c r="F12" s="33">
        <f ca="1">H6</f>
        <v>26259</v>
      </c>
      <c r="G12"/>
      <c r="H12"/>
      <c r="I12"/>
      <c r="J12"/>
      <c r="K12" s="38">
        <v>2</v>
      </c>
      <c r="L12" s="33" t="str">
        <f t="shared" ca="1" si="0"/>
        <v>CSNA3</v>
      </c>
      <c r="M12" s="33">
        <f t="shared" ca="1" si="1"/>
        <v>3498</v>
      </c>
      <c r="O12" s="38">
        <v>2</v>
      </c>
      <c r="P12" s="40" t="str" cm="1">
        <f t="array" aca="1" ref="P12" ca="1">IF(ISNUMBER(R12),INDEX(Carteira[Ativo],R12),"-")</f>
        <v>CSNA3</v>
      </c>
      <c r="Q12" s="41">
        <f ca="1">IF(ISNUMBER(LARGE(Carteira[Total Atual],O12)),LARGE(Carteira[Total Atual],O12),0)</f>
        <v>3498</v>
      </c>
      <c r="R12" s="42">
        <f ca="1">IF(ISNA(MATCH(Q12,Carteira[Total Atual],0)),"-",MATCH(Q12,Carteira[Total Atual],0))</f>
        <v>1</v>
      </c>
      <c r="T12" s="38">
        <v>2</v>
      </c>
      <c r="U12" s="40" t="str" cm="1">
        <f t="array" aca="1" ref="U12" ca="1">IF(ISNUMBER(W12),INDEX(CarteiraAcoes[Ativo],W12),"-")</f>
        <v>CSNA3</v>
      </c>
      <c r="V12" s="41">
        <f ca="1">IF(ISNUMBER(LARGE(CarteiraAcoes[Total Atual],T12)),LARGE(CarteiraAcoes[Total Atual],T12),0)</f>
        <v>3498</v>
      </c>
      <c r="W12" s="42">
        <f ca="1">IF(ISNA(MATCH(V12,CarteiraAcoes[Total Atual],0)),"-",MATCH(V12,CarteiraAcoes[Total Atual],0))</f>
        <v>1</v>
      </c>
      <c r="Y12" s="38">
        <v>2</v>
      </c>
      <c r="Z12" s="40" t="str" cm="1">
        <f t="array" aca="1" ref="Z12" ca="1">IF(ISNUMBER(AB12),INDEX(CarteiraFII[Ativo],AB12),"-")</f>
        <v>HGLG11</v>
      </c>
      <c r="AA12" s="41">
        <f ca="1">IF(ISNUMBER(LARGE(CarteiraFII[Total Atual],Y12)),LARGE(CarteiraFII[Total Atual],Y12),0)</f>
        <v>2708.1000000000004</v>
      </c>
      <c r="AB12" s="42">
        <f ca="1">IF(ISNA(MATCH(AA12,CarteiraFII[Total Atual],0)),"-",MATCH(AA12,CarteiraFII[Total Atual],0))</f>
        <v>2</v>
      </c>
    </row>
    <row r="13" spans="2:28" x14ac:dyDescent="0.25">
      <c r="B13" s="30" t="s">
        <v>55</v>
      </c>
      <c r="C13" s="33" cm="1">
        <f t="array" aca="1" ref="C13" ca="1" xml:space="preserve"> INDEX($G$5:$I$8, E6,$C$8)</f>
        <v>36371.089999999997</v>
      </c>
      <c r="E13" s="35" t="s">
        <v>9</v>
      </c>
      <c r="F13" s="33">
        <f ca="1">I6</f>
        <v>10112.09</v>
      </c>
      <c r="G13"/>
      <c r="H13"/>
      <c r="I13"/>
      <c r="J13"/>
      <c r="K13" s="38">
        <v>1</v>
      </c>
      <c r="L13" s="33" t="str">
        <f t="shared" ca="1" si="0"/>
        <v>PETR4</v>
      </c>
      <c r="M13" s="33">
        <f t="shared" ca="1" si="1"/>
        <v>14672</v>
      </c>
      <c r="O13" s="38">
        <v>1</v>
      </c>
      <c r="P13" s="40" t="str" cm="1">
        <f t="array" aca="1" ref="P13" ca="1">IF(ISNUMBER(R13),INDEX(Carteira[Ativo],R13),"-")</f>
        <v>PETR4</v>
      </c>
      <c r="Q13" s="41">
        <f ca="1">IFERROR(LARGE(Carteira[Total Atual],O13),0)</f>
        <v>14672</v>
      </c>
      <c r="R13" s="42">
        <f ca="1">IF(ISNA(MATCH(Q13,Carteira[Total Atual],0)),"-",MATCH(Q13,Carteira[Total Atual],0))</f>
        <v>4</v>
      </c>
      <c r="T13" s="38">
        <v>1</v>
      </c>
      <c r="U13" s="40" t="str" cm="1">
        <f t="array" aca="1" ref="U13" ca="1">IF(ISNUMBER(W13),INDEX(CarteiraAcoes[Ativo],W13),"-")</f>
        <v>PETR4</v>
      </c>
      <c r="V13" s="41">
        <f ca="1">IF(ISNUMBER(LARGE(CarteiraAcoes[Total Atual],T13)),LARGE(CarteiraAcoes[Total Atual],T13),0)</f>
        <v>14672</v>
      </c>
      <c r="W13" s="42">
        <f ca="1">IF(ISNA(MATCH(V13,CarteiraAcoes[Total Atual],0)),"-",MATCH(V13,CarteiraAcoes[Total Atual],0))</f>
        <v>4</v>
      </c>
      <c r="Y13" s="38">
        <v>1</v>
      </c>
      <c r="Z13" s="40" t="str" cm="1">
        <f t="array" aca="1" ref="Z13" ca="1">IF(ISNUMBER(AB13),INDEX(CarteiraFII[Ativo],AB13),"-")</f>
        <v>KNRI11</v>
      </c>
      <c r="AA13" s="41">
        <f ca="1">IF(ISNUMBER(LARGE(CarteiraFII[Total Atual],Y13)),LARGE(CarteiraFII[Total Atual],Y13),0)</f>
        <v>2905.7400000000002</v>
      </c>
      <c r="AB13" s="42">
        <f ca="1">IF(ISNA(MATCH(AA13,CarteiraFII[Total Atual],0)),"-",MATCH(AA13,CarteiraFII[Total Atual],0))</f>
        <v>4</v>
      </c>
    </row>
    <row r="14" spans="2:28" x14ac:dyDescent="0.25">
      <c r="B14" s="30" t="s">
        <v>52</v>
      </c>
      <c r="C14" s="33" cm="1">
        <f t="array" aca="1" ref="C14" ca="1" xml:space="preserve"> INDEX($G$5:$I$8, E7,$C$8)</f>
        <v>9580.0600000000031</v>
      </c>
      <c r="E14" s="35" t="s">
        <v>57</v>
      </c>
      <c r="F14" s="33">
        <f>C9</f>
        <v>20000</v>
      </c>
      <c r="G14"/>
      <c r="H14"/>
      <c r="I14"/>
      <c r="J14"/>
      <c r="K14" s="39"/>
      <c r="L14" s="36"/>
      <c r="M14" s="36"/>
    </row>
    <row r="15" spans="2:28" x14ac:dyDescent="0.25">
      <c r="B15" s="30" t="s">
        <v>56</v>
      </c>
      <c r="C15" s="34" cm="1">
        <f t="array" aca="1" ref="C15" ca="1" xml:space="preserve"> INDEX($G$5:$I$8, E8,$C$8)</f>
        <v>0.35758460947563409</v>
      </c>
      <c r="G15"/>
      <c r="H15"/>
      <c r="I15"/>
      <c r="J15"/>
      <c r="K15" s="48" t="s">
        <v>80</v>
      </c>
      <c r="L15" s="48"/>
      <c r="M15" s="48"/>
      <c r="O15" s="48" t="s">
        <v>77</v>
      </c>
      <c r="P15" s="48"/>
      <c r="Q15" s="48"/>
      <c r="R15" s="48"/>
      <c r="T15" s="48" t="s">
        <v>78</v>
      </c>
      <c r="U15" s="48"/>
      <c r="V15" s="48"/>
      <c r="W15" s="48"/>
      <c r="Y15" s="48" t="s">
        <v>79</v>
      </c>
      <c r="Z15" s="48"/>
      <c r="AA15" s="48"/>
      <c r="AB15" s="48"/>
    </row>
    <row r="16" spans="2:28" x14ac:dyDescent="0.25">
      <c r="K16" s="37" t="s">
        <v>71</v>
      </c>
      <c r="L16" s="32" t="s">
        <v>15</v>
      </c>
      <c r="M16" s="32" t="s">
        <v>72</v>
      </c>
      <c r="O16" s="37" t="s">
        <v>71</v>
      </c>
      <c r="P16" s="32" t="s">
        <v>15</v>
      </c>
      <c r="Q16" s="32" t="s">
        <v>53</v>
      </c>
      <c r="R16" s="37" t="s">
        <v>73</v>
      </c>
      <c r="T16" s="37" t="s">
        <v>71</v>
      </c>
      <c r="U16" s="32" t="s">
        <v>15</v>
      </c>
      <c r="V16" s="32" t="s">
        <v>53</v>
      </c>
      <c r="W16" s="37" t="s">
        <v>73</v>
      </c>
      <c r="Y16" s="37" t="s">
        <v>71</v>
      </c>
      <c r="Z16" s="32" t="s">
        <v>15</v>
      </c>
      <c r="AA16" s="32" t="s">
        <v>53</v>
      </c>
      <c r="AB16" s="37" t="s">
        <v>73</v>
      </c>
    </row>
    <row r="17" spans="11:28" x14ac:dyDescent="0.25">
      <c r="K17" s="38">
        <v>10</v>
      </c>
      <c r="L17" s="33" t="str">
        <f ca="1" xml:space="preserve"> IF($C$8=1,P17,IF($C$8=2,U17,Z17))</f>
        <v>-</v>
      </c>
      <c r="M17" s="34">
        <f ca="1">IF($C$8=1,Q17,IF($C$8=2,V17,AA17))</f>
        <v>0</v>
      </c>
      <c r="O17" s="38">
        <v>10</v>
      </c>
      <c r="P17" s="40" t="str" cm="1">
        <f t="array" aca="1" ref="P17" ca="1">IF(ISNUMBER(R17),INDEX(Carteira[Ativo],R17),"-")</f>
        <v>-</v>
      </c>
      <c r="Q17" s="34">
        <f ca="1">IF(ISNUMBER(LARGE(Carteira[Valorização %],O17)),LARGE(Carteira[Valorização %],O17),0)</f>
        <v>0</v>
      </c>
      <c r="R17" s="42" t="str">
        <f ca="1">IF(ISNA(MATCH(Q17,Carteira[Valorização %],0)),"-",MATCH(Q17,Carteira[Valorização %],0))</f>
        <v>-</v>
      </c>
      <c r="T17" s="38">
        <v>10</v>
      </c>
      <c r="U17" s="40" t="str" cm="1">
        <f t="array" aca="1" ref="U17" ca="1">IF(ISNUMBER(W17),INDEX(CarteiraAcoes[Ativo],W17),"-")</f>
        <v>-</v>
      </c>
      <c r="V17" s="34">
        <f ca="1">IF(ISNUMBER(LARGE(CarteiraAcoes[Valorização %],T17)),LARGE(CarteiraAcoes[Valorização %],T17),0)</f>
        <v>0</v>
      </c>
      <c r="W17" s="42" t="str">
        <f ca="1">IF(ISNA(MATCH(V17,CarteiraAcoes[Valorização %],0)),"-",MATCH(V17,CarteiraAcoes[Valorização %],0))</f>
        <v>-</v>
      </c>
      <c r="Y17" s="38">
        <v>10</v>
      </c>
      <c r="Z17" s="40" t="str" cm="1">
        <f t="array" aca="1" ref="Z17" ca="1">IF(ISNUMBER(AB17),INDEX(CarteiraFII[Ativo],AB17),"-")</f>
        <v>-</v>
      </c>
      <c r="AA17" s="34">
        <f ca="1">IF(ISNUMBER(LARGE(CarteiraFII[Valorização %],Y17)),LARGE(CarteiraFII[Valorização %],Y17),0)</f>
        <v>0</v>
      </c>
      <c r="AB17" s="42" t="str">
        <f ca="1">IF(ISNA(MATCH(AA17,CarteiraFII[Valorização %],0)),"-",MATCH(AA17,CarteiraFII[Valorização %],0))</f>
        <v>-</v>
      </c>
    </row>
    <row r="18" spans="11:28" x14ac:dyDescent="0.25">
      <c r="K18" s="38">
        <v>9</v>
      </c>
      <c r="L18" s="33" t="str">
        <f t="shared" ref="L18:L26" ca="1" si="3" xml:space="preserve"> IF($C$8=1,P18,IF($C$8=2,U18,Z18))</f>
        <v>FLRY3</v>
      </c>
      <c r="M18" s="34">
        <f t="shared" ref="M18:M26" ca="1" si="4">IF($C$8=1,Q18,IF($C$8=2,V18,AA18))</f>
        <v>-0.22572634715669238</v>
      </c>
      <c r="O18" s="38">
        <v>9</v>
      </c>
      <c r="P18" s="40" t="str" cm="1">
        <f t="array" aca="1" ref="P18" ca="1">IF(ISNUMBER(R18),INDEX(Carteira[Ativo],R18),"-")</f>
        <v>FLRY3</v>
      </c>
      <c r="Q18" s="34">
        <f ca="1">IF(ISNUMBER(LARGE(Carteira[Valorização %],O18)),LARGE(Carteira[Valorização %],O18),0)</f>
        <v>-0.22572634715669238</v>
      </c>
      <c r="R18" s="42">
        <f ca="1">IF(ISNA(MATCH(Q18,Carteira[Valorização %],0)),"-",MATCH(Q18,Carteira[Valorização %],0))</f>
        <v>2</v>
      </c>
      <c r="T18" s="38">
        <v>9</v>
      </c>
      <c r="U18" s="40" t="str" cm="1">
        <f t="array" aca="1" ref="U18" ca="1">IF(ISNUMBER(W18),INDEX(CarteiraAcoes[Ativo],W18),"-")</f>
        <v>-</v>
      </c>
      <c r="V18" s="34">
        <f ca="1">IF(ISNUMBER(LARGE(CarteiraAcoes[Valorização %],T18)),LARGE(CarteiraAcoes[Valorização %],T18),0)</f>
        <v>0</v>
      </c>
      <c r="W18" s="42" t="str">
        <f ca="1">IF(ISNA(MATCH(V18,CarteiraAcoes[Valorização %],0)),"-",MATCH(V18,CarteiraAcoes[Valorização %],0))</f>
        <v>-</v>
      </c>
      <c r="Y18" s="38">
        <v>9</v>
      </c>
      <c r="Z18" s="40" t="str" cm="1">
        <f t="array" aca="1" ref="Z18" ca="1">IF(ISNUMBER(AB18),INDEX(CarteiraFII[Ativo],AB18),"-")</f>
        <v>-</v>
      </c>
      <c r="AA18" s="34">
        <f ca="1">IF(ISNUMBER(LARGE(CarteiraFII[Valorização %],Y18)),LARGE(CarteiraFII[Valorização %],Y18),0)</f>
        <v>0</v>
      </c>
      <c r="AB18" s="42" t="str">
        <f ca="1">IF(ISNA(MATCH(AA18,CarteiraFII[Valorização %],0)),"-",MATCH(AA18,CarteiraFII[Valorização %],0))</f>
        <v>-</v>
      </c>
    </row>
    <row r="19" spans="11:28" x14ac:dyDescent="0.25">
      <c r="K19" s="38">
        <v>8</v>
      </c>
      <c r="L19" s="33" t="str">
        <f t="shared" ca="1" si="3"/>
        <v>HGRE11</v>
      </c>
      <c r="M19" s="34">
        <f t="shared" ca="1" si="4"/>
        <v>-2.338550171108511E-2</v>
      </c>
      <c r="O19" s="38">
        <v>8</v>
      </c>
      <c r="P19" s="40" t="str" cm="1">
        <f t="array" aca="1" ref="P19" ca="1">IF(ISNUMBER(R19),INDEX(Carteira[Ativo],R19),"-")</f>
        <v>HGRE11</v>
      </c>
      <c r="Q19" s="34">
        <f ca="1">IF(ISNUMBER(LARGE(Carteira[Valorização %],O19)),LARGE(Carteira[Valorização %],O19),0)</f>
        <v>-2.338550171108511E-2</v>
      </c>
      <c r="R19" s="42">
        <f ca="1">IF(ISNA(MATCH(Q19,Carteira[Valorização %],0)),"-",MATCH(Q19,Carteira[Valorização %],0))</f>
        <v>7</v>
      </c>
      <c r="T19" s="38">
        <v>8</v>
      </c>
      <c r="U19" s="40" t="str" cm="1">
        <f t="array" aca="1" ref="U19" ca="1">IF(ISNUMBER(W19),INDEX(CarteiraAcoes[Ativo],W19),"-")</f>
        <v>-</v>
      </c>
      <c r="V19" s="34">
        <f ca="1">IF(ISNUMBER(LARGE(CarteiraAcoes[Valorização %],T19)),LARGE(CarteiraAcoes[Valorização %],T19),0)</f>
        <v>0</v>
      </c>
      <c r="W19" s="42" t="str">
        <f ca="1">IF(ISNA(MATCH(V19,CarteiraAcoes[Valorização %],0)),"-",MATCH(V19,CarteiraAcoes[Valorização %],0))</f>
        <v>-</v>
      </c>
      <c r="Y19" s="38">
        <v>8</v>
      </c>
      <c r="Z19" s="40" t="str" cm="1">
        <f t="array" aca="1" ref="Z19" ca="1">IF(ISNUMBER(AB19),INDEX(CarteiraFII[Ativo],AB19),"-")</f>
        <v>-</v>
      </c>
      <c r="AA19" s="34">
        <f ca="1">IF(ISNUMBER(LARGE(CarteiraFII[Valorização %],Y19)),LARGE(CarteiraFII[Valorização %],Y19),0)</f>
        <v>0</v>
      </c>
      <c r="AB19" s="42" t="str">
        <f ca="1">IF(ISNA(MATCH(AA19,CarteiraFII[Valorização %],0)),"-",MATCH(AA19,CarteiraFII[Valorização %],0))</f>
        <v>-</v>
      </c>
    </row>
    <row r="20" spans="11:28" x14ac:dyDescent="0.25">
      <c r="K20" s="38">
        <v>7</v>
      </c>
      <c r="L20" s="33" t="str">
        <f t="shared" ca="1" si="3"/>
        <v>ITSA4</v>
      </c>
      <c r="M20" s="34">
        <f t="shared" ca="1" si="4"/>
        <v>7.8423566878980999E-2</v>
      </c>
      <c r="O20" s="38">
        <v>7</v>
      </c>
      <c r="P20" s="40" t="str" cm="1">
        <f t="array" aca="1" ref="P20" ca="1">IF(ISNUMBER(R20),INDEX(Carteira[Ativo],R20),"-")</f>
        <v>ITSA4</v>
      </c>
      <c r="Q20" s="34">
        <f ca="1">IF(ISNUMBER(LARGE(Carteira[Valorização %],O20)),LARGE(Carteira[Valorização %],O20),0)</f>
        <v>7.8423566878980999E-2</v>
      </c>
      <c r="R20" s="42">
        <f ca="1">IF(ISNA(MATCH(Q20,Carteira[Valorização %],0)),"-",MATCH(Q20,Carteira[Valorização %],0))</f>
        <v>3</v>
      </c>
      <c r="T20" s="38">
        <v>7</v>
      </c>
      <c r="U20" s="40" t="str" cm="1">
        <f t="array" aca="1" ref="U20" ca="1">IF(ISNUMBER(W20),INDEX(CarteiraAcoes[Ativo],W20),"-")</f>
        <v>-</v>
      </c>
      <c r="V20" s="34">
        <f ca="1">IF(ISNUMBER(LARGE(CarteiraAcoes[Valorização %],T20)),LARGE(CarteiraAcoes[Valorização %],T20),0)</f>
        <v>0</v>
      </c>
      <c r="W20" s="42" t="str">
        <f ca="1">IF(ISNA(MATCH(V20,CarteiraAcoes[Valorização %],0)),"-",MATCH(V20,CarteiraAcoes[Valorização %],0))</f>
        <v>-</v>
      </c>
      <c r="Y20" s="38">
        <v>7</v>
      </c>
      <c r="Z20" s="40" t="str" cm="1">
        <f t="array" aca="1" ref="Z20" ca="1">IF(ISNUMBER(AB20),INDEX(CarteiraFII[Ativo],AB20),"-")</f>
        <v>-</v>
      </c>
      <c r="AA20" s="34">
        <f ca="1">IF(ISNUMBER(LARGE(CarteiraFII[Valorização %],Y20)),LARGE(CarteiraFII[Valorização %],Y20),0)</f>
        <v>0</v>
      </c>
      <c r="AB20" s="42" t="str">
        <f ca="1">IF(ISNA(MATCH(AA20,CarteiraFII[Valorização %],0)),"-",MATCH(AA20,CarteiraFII[Valorização %],0))</f>
        <v>-</v>
      </c>
    </row>
    <row r="21" spans="11:28" x14ac:dyDescent="0.25">
      <c r="K21" s="38">
        <v>6</v>
      </c>
      <c r="L21" s="33" t="str">
        <f t="shared" ca="1" si="3"/>
        <v>KNRI11</v>
      </c>
      <c r="M21" s="34">
        <f t="shared" ca="1" si="4"/>
        <v>0.10262209236140096</v>
      </c>
      <c r="O21" s="38">
        <v>6</v>
      </c>
      <c r="P21" s="40" t="str" cm="1">
        <f t="array" aca="1" ref="P21" ca="1">IF(ISNUMBER(R21),INDEX(Carteira[Ativo],R21),"-")</f>
        <v>KNRI11</v>
      </c>
      <c r="Q21" s="34">
        <f ca="1">IF(ISNUMBER(LARGE(Carteira[Valorização %],O21)),LARGE(Carteira[Valorização %],O21),0)</f>
        <v>0.10262209236140096</v>
      </c>
      <c r="R21" s="42">
        <f ca="1">IF(ISNA(MATCH(Q21,Carteira[Valorização %],0)),"-",MATCH(Q21,Carteira[Valorização %],0))</f>
        <v>8</v>
      </c>
      <c r="T21" s="38">
        <v>6</v>
      </c>
      <c r="U21" s="40" t="str" cm="1">
        <f t="array" aca="1" ref="U21" ca="1">IF(ISNUMBER(W21),INDEX(CarteiraAcoes[Ativo],W21),"-")</f>
        <v>-</v>
      </c>
      <c r="V21" s="34">
        <f ca="1">IF(ISNUMBER(LARGE(CarteiraAcoes[Valorização %],T21)),LARGE(CarteiraAcoes[Valorização %],T21),0)</f>
        <v>0</v>
      </c>
      <c r="W21" s="42" t="str">
        <f ca="1">IF(ISNA(MATCH(V21,CarteiraAcoes[Valorização %],0)),"-",MATCH(V21,CarteiraAcoes[Valorização %],0))</f>
        <v>-</v>
      </c>
      <c r="Y21" s="38">
        <v>6</v>
      </c>
      <c r="Z21" s="40" t="str" cm="1">
        <f t="array" aca="1" ref="Z21" ca="1">IF(ISNUMBER(AB21),INDEX(CarteiraFII[Ativo],AB21),"-")</f>
        <v>-</v>
      </c>
      <c r="AA21" s="34">
        <f ca="1">IF(ISNUMBER(LARGE(CarteiraFII[Valorização %],Y21)),LARGE(CarteiraFII[Valorização %],Y21),0)</f>
        <v>0</v>
      </c>
      <c r="AB21" s="42" t="str">
        <f ca="1">IF(ISNA(MATCH(AA21,CarteiraFII[Valorização %],0)),"-",MATCH(AA21,CarteiraFII[Valorização %],0))</f>
        <v>-</v>
      </c>
    </row>
    <row r="22" spans="11:28" x14ac:dyDescent="0.25">
      <c r="K22" s="38">
        <v>5</v>
      </c>
      <c r="L22" s="33" t="str">
        <f t="shared" ca="1" si="3"/>
        <v>HGLG11</v>
      </c>
      <c r="M22" s="34">
        <f t="shared" ca="1" si="4"/>
        <v>0.1519859112391051</v>
      </c>
      <c r="O22" s="38">
        <v>5</v>
      </c>
      <c r="P22" s="40" t="str" cm="1">
        <f t="array" aca="1" ref="P22" ca="1">IF(ISNUMBER(R22),INDEX(Carteira[Ativo],R22),"-")</f>
        <v>HGLG11</v>
      </c>
      <c r="Q22" s="34">
        <f ca="1">IF(ISNUMBER(LARGE(Carteira[Valorização %],O22)),LARGE(Carteira[Valorização %],O22),0)</f>
        <v>0.1519859112391051</v>
      </c>
      <c r="R22" s="42">
        <f ca="1">IF(ISNA(MATCH(Q22,Carteira[Valorização %],0)),"-",MATCH(Q22,Carteira[Valorização %],0))</f>
        <v>6</v>
      </c>
      <c r="T22" s="38">
        <v>5</v>
      </c>
      <c r="U22" s="40" t="str" cm="1">
        <f t="array" aca="1" ref="U22" ca="1">IF(ISNUMBER(W22),INDEX(CarteiraAcoes[Ativo],W22),"-")</f>
        <v>FLRY3</v>
      </c>
      <c r="V22" s="34">
        <f ca="1">IF(ISNUMBER(LARGE(CarteiraAcoes[Valorização %],T22)),LARGE(CarteiraAcoes[Valorização %],T22),0)</f>
        <v>-0.22572634715669238</v>
      </c>
      <c r="W22" s="42">
        <f ca="1">IF(ISNA(MATCH(V22,CarteiraAcoes[Valorização %],0)),"-",MATCH(V22,CarteiraAcoes[Valorização %],0))</f>
        <v>2</v>
      </c>
      <c r="Y22" s="38">
        <v>5</v>
      </c>
      <c r="Z22" s="40" t="str" cm="1">
        <f t="array" aca="1" ref="Z22" ca="1">IF(ISNUMBER(AB22),INDEX(CarteiraFII[Ativo],AB22),"-")</f>
        <v>-</v>
      </c>
      <c r="AA22" s="34">
        <f ca="1">IF(ISNUMBER(LARGE(CarteiraFII[Valorização %],Y22)),LARGE(CarteiraFII[Valorização %],Y22),0)</f>
        <v>0</v>
      </c>
      <c r="AB22" s="42" t="str">
        <f ca="1">IF(ISNA(MATCH(AA22,CarteiraFII[Valorização %],0)),"-",MATCH(AA22,CarteiraFII[Valorização %],0))</f>
        <v>-</v>
      </c>
    </row>
    <row r="23" spans="11:28" x14ac:dyDescent="0.25">
      <c r="K23" s="38">
        <v>4</v>
      </c>
      <c r="L23" s="33" t="str">
        <f t="shared" ca="1" si="3"/>
        <v>HGBS11</v>
      </c>
      <c r="M23" s="34">
        <f t="shared" ca="1" si="4"/>
        <v>0.20393735234928712</v>
      </c>
      <c r="O23" s="38">
        <v>4</v>
      </c>
      <c r="P23" s="40" t="str" cm="1">
        <f t="array" aca="1" ref="P23" ca="1">IF(ISNUMBER(R23),INDEX(Carteira[Ativo],R23),"-")</f>
        <v>HGBS11</v>
      </c>
      <c r="Q23" s="34">
        <f ca="1">IF(ISNUMBER(LARGE(Carteira[Valorização %],O23)),LARGE(Carteira[Valorização %],O23),0)</f>
        <v>0.20393735234928712</v>
      </c>
      <c r="R23" s="42">
        <f ca="1">IF(ISNA(MATCH(Q23,Carteira[Valorização %],0)),"-",MATCH(Q23,Carteira[Valorização %],0))</f>
        <v>5</v>
      </c>
      <c r="T23" s="38">
        <v>4</v>
      </c>
      <c r="U23" s="40" t="str" cm="1">
        <f t="array" aca="1" ref="U23" ca="1">IF(ISNUMBER(W23),INDEX(CarteiraAcoes[Ativo],W23),"-")</f>
        <v>ITSA4</v>
      </c>
      <c r="V23" s="34">
        <f ca="1">IF(ISNUMBER(LARGE(CarteiraAcoes[Valorização %],T23)),LARGE(CarteiraAcoes[Valorização %],T23),0)</f>
        <v>7.8423566878980999E-2</v>
      </c>
      <c r="W23" s="42">
        <f ca="1">IF(ISNA(MATCH(V23,CarteiraAcoes[Valorização %],0)),"-",MATCH(V23,CarteiraAcoes[Valorização %],0))</f>
        <v>3</v>
      </c>
      <c r="Y23" s="38">
        <v>4</v>
      </c>
      <c r="Z23" s="40" t="str" cm="1">
        <f t="array" aca="1" ref="Z23" ca="1">IF(ISNUMBER(AB23),INDEX(CarteiraFII[Ativo],AB23),"-")</f>
        <v>HGRE11</v>
      </c>
      <c r="AA23" s="34">
        <f ca="1">IF(ISNUMBER(LARGE(CarteiraFII[Valorização %],Y23)),LARGE(CarteiraFII[Valorização %],Y23),0)</f>
        <v>-2.338550171108511E-2</v>
      </c>
      <c r="AB23" s="42">
        <f ca="1">IF(ISNA(MATCH(AA23,CarteiraFII[Valorização %],0)),"-",MATCH(AA23,CarteiraFII[Valorização %],0))</f>
        <v>3</v>
      </c>
    </row>
    <row r="24" spans="11:28" x14ac:dyDescent="0.25">
      <c r="K24" s="38">
        <v>3</v>
      </c>
      <c r="L24" s="33" t="str">
        <f t="shared" ca="1" si="3"/>
        <v>CSNA3</v>
      </c>
      <c r="M24" s="34">
        <f t="shared" ca="1" si="4"/>
        <v>0.24483985765124561</v>
      </c>
      <c r="O24" s="38">
        <v>3</v>
      </c>
      <c r="P24" s="40" t="str" cm="1">
        <f t="array" aca="1" ref="P24" ca="1">IF(ISNUMBER(R24),INDEX(Carteira[Ativo],R24),"-")</f>
        <v>CSNA3</v>
      </c>
      <c r="Q24" s="34">
        <f ca="1">IF(ISNUMBER(LARGE(Carteira[Valorização %],O24)),LARGE(Carteira[Valorização %],O24),0)</f>
        <v>0.24483985765124561</v>
      </c>
      <c r="R24" s="42">
        <f ca="1">IF(ISNA(MATCH(Q24,Carteira[Valorização %],0)),"-",MATCH(Q24,Carteira[Valorização %],0))</f>
        <v>1</v>
      </c>
      <c r="T24" s="38">
        <v>3</v>
      </c>
      <c r="U24" s="40" t="str" cm="1">
        <f t="array" aca="1" ref="U24" ca="1">IF(ISNUMBER(W24),INDEX(CarteiraAcoes[Ativo],W24),"-")</f>
        <v>CSNA3</v>
      </c>
      <c r="V24" s="34">
        <f ca="1">IF(ISNUMBER(LARGE(CarteiraAcoes[Valorização %],T24)),LARGE(CarteiraAcoes[Valorização %],T24),0)</f>
        <v>0.24483985765124561</v>
      </c>
      <c r="W24" s="42">
        <f ca="1">IF(ISNA(MATCH(V24,CarteiraAcoes[Valorização %],0)),"-",MATCH(V24,CarteiraAcoes[Valorização %],0))</f>
        <v>1</v>
      </c>
      <c r="Y24" s="38">
        <v>3</v>
      </c>
      <c r="Z24" s="40" t="str" cm="1">
        <f t="array" aca="1" ref="Z24" ca="1">IF(ISNUMBER(AB24),INDEX(CarteiraFII[Ativo],AB24),"-")</f>
        <v>KNRI11</v>
      </c>
      <c r="AA24" s="34">
        <f ca="1">IF(ISNUMBER(LARGE(CarteiraFII[Valorização %],Y24)),LARGE(CarteiraFII[Valorização %],Y24),0)</f>
        <v>0.10262209236140096</v>
      </c>
      <c r="AB24" s="42">
        <f ca="1">IF(ISNA(MATCH(AA24,CarteiraFII[Valorização %],0)),"-",MATCH(AA24,CarteiraFII[Valorização %],0))</f>
        <v>4</v>
      </c>
    </row>
    <row r="25" spans="11:28" x14ac:dyDescent="0.25">
      <c r="K25" s="38">
        <v>2</v>
      </c>
      <c r="L25" s="33" t="str">
        <f t="shared" ca="1" si="3"/>
        <v>TAEE4</v>
      </c>
      <c r="M25" s="34">
        <f t="shared" ca="1" si="4"/>
        <v>0.38348623853211006</v>
      </c>
      <c r="O25" s="38">
        <v>2</v>
      </c>
      <c r="P25" s="40" t="str" cm="1">
        <f t="array" aca="1" ref="P25" ca="1">IF(ISNUMBER(R25),INDEX(Carteira[Ativo],R25),"-")</f>
        <v>TAEE4</v>
      </c>
      <c r="Q25" s="34">
        <f ca="1">IF(ISNUMBER(LARGE(Carteira[Valorização %],O25)),LARGE(Carteira[Valorização %],O25),0)</f>
        <v>0.38348623853211006</v>
      </c>
      <c r="R25" s="42">
        <f ca="1">IF(ISNA(MATCH(Q25,Carteira[Valorização %],0)),"-",MATCH(Q25,Carteira[Valorização %],0))</f>
        <v>9</v>
      </c>
      <c r="T25" s="38">
        <v>2</v>
      </c>
      <c r="U25" s="40" t="str" cm="1">
        <f t="array" aca="1" ref="U25" ca="1">IF(ISNUMBER(W25),INDEX(CarteiraAcoes[Ativo],W25),"-")</f>
        <v>TAEE4</v>
      </c>
      <c r="V25" s="34">
        <f ca="1">IF(ISNUMBER(LARGE(CarteiraAcoes[Valorização %],T25)),LARGE(CarteiraAcoes[Valorização %],T25),0)</f>
        <v>0.38348623853211006</v>
      </c>
      <c r="W25" s="42">
        <f ca="1">IF(ISNA(MATCH(V25,CarteiraAcoes[Valorização %],0)),"-",MATCH(V25,CarteiraAcoes[Valorização %],0))</f>
        <v>5</v>
      </c>
      <c r="Y25" s="38">
        <v>2</v>
      </c>
      <c r="Z25" s="40" t="str" cm="1">
        <f t="array" aca="1" ref="Z25" ca="1">IF(ISNUMBER(AB25),INDEX(CarteiraFII[Ativo],AB25),"-")</f>
        <v>HGLG11</v>
      </c>
      <c r="AA25" s="34">
        <f ca="1">IF(ISNUMBER(LARGE(CarteiraFII[Valorização %],Y25)),LARGE(CarteiraFII[Valorização %],Y25),0)</f>
        <v>0.1519859112391051</v>
      </c>
      <c r="AB25" s="42">
        <f ca="1">IF(ISNA(MATCH(AA25,CarteiraFII[Valorização %],0)),"-",MATCH(AA25,CarteiraFII[Valorização %],0))</f>
        <v>2</v>
      </c>
    </row>
    <row r="26" spans="11:28" x14ac:dyDescent="0.25">
      <c r="K26" s="38">
        <v>1</v>
      </c>
      <c r="L26" s="33" t="str">
        <f t="shared" ca="1" si="3"/>
        <v>PETR4</v>
      </c>
      <c r="M26" s="34">
        <f t="shared" ca="1" si="4"/>
        <v>1.218324765648624</v>
      </c>
      <c r="O26" s="38">
        <v>1</v>
      </c>
      <c r="P26" s="40" t="str" cm="1">
        <f t="array" aca="1" ref="P26" ca="1">IF(ISNUMBER(R26),INDEX(Carteira[Ativo],R26),"-")</f>
        <v>PETR4</v>
      </c>
      <c r="Q26" s="34">
        <f ca="1">IF(ISNUMBER(LARGE(Carteira[Valorização %],O26)),LARGE(Carteira[Valorização %],O26),0)</f>
        <v>1.218324765648624</v>
      </c>
      <c r="R26" s="42">
        <f ca="1">IF(ISNA(MATCH(Q26,Carteira[Valorização %],0)),"-",MATCH(Q26,Carteira[Valorização %],0))</f>
        <v>4</v>
      </c>
      <c r="T26" s="38">
        <v>1</v>
      </c>
      <c r="U26" s="40" t="str" cm="1">
        <f t="array" aca="1" ref="U26" ca="1">IF(ISNUMBER(W26),INDEX(CarteiraAcoes[Ativo],W26),"-")</f>
        <v>PETR4</v>
      </c>
      <c r="V26" s="34">
        <f ca="1">IF(ISNUMBER(LARGE(CarteiraAcoes[Valorização %],T26)),LARGE(CarteiraAcoes[Valorização %],T26),0)</f>
        <v>1.218324765648624</v>
      </c>
      <c r="W26" s="42">
        <f ca="1">IF(ISNA(MATCH(V26,CarteiraAcoes[Valorização %],0)),"-",MATCH(V26,CarteiraAcoes[Valorização %],0))</f>
        <v>4</v>
      </c>
      <c r="Y26" s="38">
        <v>1</v>
      </c>
      <c r="Z26" s="40" t="str" cm="1">
        <f t="array" aca="1" ref="Z26" ca="1">IF(ISNUMBER(AB26),INDEX(CarteiraFII[Ativo],AB26),"-")</f>
        <v>HGBS11</v>
      </c>
      <c r="AA26" s="34">
        <f ca="1">IF(ISNUMBER(LARGE(CarteiraFII[Valorização %],Y26)),LARGE(CarteiraFII[Valorização %],Y26),0)</f>
        <v>0.20393735234928712</v>
      </c>
      <c r="AB26" s="42">
        <f ca="1">IF(ISNA(MATCH(AA26,CarteiraFII[Valorização %],0)),"-",MATCH(AA26,CarteiraFII[Valorização %],0))</f>
        <v>1</v>
      </c>
    </row>
  </sheetData>
  <sheetProtection sheet="1" objects="1" scenarios="1" selectLockedCells="1"/>
  <mergeCells count="13">
    <mergeCell ref="B2:C2"/>
    <mergeCell ref="B7:C7"/>
    <mergeCell ref="B11:C11"/>
    <mergeCell ref="E2:I2"/>
    <mergeCell ref="E11:F11"/>
    <mergeCell ref="K2:M2"/>
    <mergeCell ref="O2:R2"/>
    <mergeCell ref="T2:W2"/>
    <mergeCell ref="O15:R15"/>
    <mergeCell ref="Y2:AB2"/>
    <mergeCell ref="K15:M15"/>
    <mergeCell ref="T15:W15"/>
    <mergeCell ref="Y15:AB15"/>
  </mergeCells>
  <conditionalFormatting sqref="C15">
    <cfRule type="cellIs" dxfId="8" priority="5" operator="lessThan">
      <formula>0</formula>
    </cfRule>
  </conditionalFormatting>
  <conditionalFormatting sqref="G8:I8">
    <cfRule type="cellIs" dxfId="7" priority="7" operator="lessThan">
      <formula>0</formula>
    </cfRule>
  </conditionalFormatting>
  <conditionalFormatting sqref="M17:M26">
    <cfRule type="cellIs" dxfId="6" priority="1" operator="lessThan">
      <formula>0</formula>
    </cfRule>
  </conditionalFormatting>
  <conditionalFormatting sqref="Q17:Q26">
    <cfRule type="cellIs" dxfId="5" priority="4" operator="lessThan">
      <formula>0</formula>
    </cfRule>
  </conditionalFormatting>
  <conditionalFormatting sqref="V17:V26">
    <cfRule type="cellIs" dxfId="4" priority="3" operator="lessThan">
      <formula>0</formula>
    </cfRule>
  </conditionalFormatting>
  <conditionalFormatting sqref="AA17:AA26">
    <cfRule type="cellIs" dxfId="3" priority="2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9D81-E03D-447C-80ED-C0CF44CA8FDF}">
  <dimension ref="A1:L11"/>
  <sheetViews>
    <sheetView showGridLines="0" showRowColHeaders="0" zoomScale="145" zoomScaleNormal="145" workbookViewId="0">
      <selection activeCell="L1" sqref="L1"/>
    </sheetView>
  </sheetViews>
  <sheetFormatPr defaultColWidth="0" defaultRowHeight="20.100000000000001" customHeight="1" x14ac:dyDescent="0.25"/>
  <cols>
    <col min="1" max="2" width="15.7109375" style="2" customWidth="1"/>
    <col min="3" max="3" width="15.7109375" style="21" customWidth="1"/>
    <col min="4" max="4" width="15.7109375" style="4" customWidth="1"/>
    <col min="5" max="5" width="16.7109375" style="11" customWidth="1"/>
    <col min="6" max="8" width="15.7109375" style="4" customWidth="1"/>
    <col min="9" max="9" width="15.7109375" style="23" customWidth="1"/>
    <col min="10" max="13" width="15.7109375" style="2" customWidth="1"/>
    <col min="14" max="16384" width="15.7109375" style="2" hidden="1"/>
  </cols>
  <sheetData>
    <row r="1" spans="1:12" ht="20.100000000000001" customHeight="1" x14ac:dyDescent="0.25">
      <c r="A1" s="2" t="s">
        <v>15</v>
      </c>
      <c r="B1" s="2" t="s">
        <v>20</v>
      </c>
      <c r="C1" s="21" t="s">
        <v>47</v>
      </c>
      <c r="D1" s="4" t="s">
        <v>48</v>
      </c>
      <c r="E1" s="11" t="s">
        <v>49</v>
      </c>
      <c r="F1" s="4" t="s">
        <v>50</v>
      </c>
      <c r="G1" s="4" t="s">
        <v>51</v>
      </c>
      <c r="H1" s="4" t="s">
        <v>52</v>
      </c>
      <c r="I1" s="23" t="s">
        <v>53</v>
      </c>
      <c r="K1" s="20" t="s">
        <v>54</v>
      </c>
      <c r="L1" s="24"/>
    </row>
    <row r="2" spans="1:12" ht="20.100000000000001" customHeight="1" x14ac:dyDescent="0.25">
      <c r="A2" s="2" t="s">
        <v>3</v>
      </c>
      <c r="B2" s="2" t="str">
        <f>VLOOKUP(Carteira[[#This Row],[Ativo]],Ativos[],2,FALSE)</f>
        <v>EMPRESA</v>
      </c>
      <c r="C2" s="21">
        <f>VLOOKUP(Carteira[[#This Row],[Ativo]],Ativos[],3,FALSE)</f>
        <v>11.66</v>
      </c>
      <c r="D2" s="4">
        <f ca="1">SUMIFS(Aportes[Total],Aportes[Ativo],Carteira[[#This Row],[Ativo]],Aportes[Data],"&lt;="&amp;IF($L$1="",TODAY(),$L$1))</f>
        <v>2810</v>
      </c>
      <c r="E2" s="11">
        <f ca="1" xml:space="preserve"> SUMIFS(Aportes[Quantidade],Aportes[Ativo],Carteira[[#This Row],[Ativo]],Aportes[Data],"&lt;="&amp;IF($L$1="",TODAY(),$L$1))</f>
        <v>300</v>
      </c>
      <c r="F2" s="4">
        <f ca="1">Carteira[[#This Row],[Total Aportado]]/Carteira[[#This Row],[Total Quantidade]]</f>
        <v>9.3666666666666671</v>
      </c>
      <c r="G2" s="4">
        <f ca="1">Carteira[[#This Row],[Total Quantidade]]*Carteira[[#This Row],[Cotação]]</f>
        <v>3498</v>
      </c>
      <c r="H2" s="4">
        <f ca="1">Carteira[[#This Row],[Total Atual]]-Carteira[[#This Row],[Total Aportado]]</f>
        <v>688</v>
      </c>
      <c r="I2" s="23">
        <f ca="1" xml:space="preserve"> (Carteira[[#This Row],[Total Atual]]/Carteira[[#This Row],[Total Aportado]]) - 1</f>
        <v>0.24483985765124561</v>
      </c>
    </row>
    <row r="3" spans="1:12" ht="20.100000000000001" customHeight="1" x14ac:dyDescent="0.25">
      <c r="A3" s="2" t="s">
        <v>5</v>
      </c>
      <c r="B3" s="2" t="str">
        <f>VLOOKUP(Carteira[[#This Row],[Ativo]],Ativos[],2,FALSE)</f>
        <v>EMPRESA</v>
      </c>
      <c r="C3" s="21">
        <f>VLOOKUP(Carteira[[#This Row],[Ativo]],Ativos[],3,FALSE)</f>
        <v>15.59</v>
      </c>
      <c r="D3" s="4">
        <f ca="1">SUMIFS(Aportes[Total],Aportes[Ativo],Carteira[[#This Row],[Ativo]],Aportes[Data],"&lt;="&amp;IF($L$1="",TODAY(),$L$1))</f>
        <v>4027</v>
      </c>
      <c r="E3" s="11">
        <f ca="1" xml:space="preserve"> SUMIFS(Aportes[Quantidade],Aportes[Ativo],Carteira[[#This Row],[Ativo]],Aportes[Data],"&lt;="&amp;IF($L$1="",TODAY(),$L$1))</f>
        <v>200</v>
      </c>
      <c r="F3" s="4">
        <f ca="1">Carteira[[#This Row],[Total Aportado]]/Carteira[[#This Row],[Total Quantidade]]</f>
        <v>20.135000000000002</v>
      </c>
      <c r="G3" s="4">
        <f ca="1">Carteira[[#This Row],[Total Quantidade]]*Carteira[[#This Row],[Cotação]]</f>
        <v>3118</v>
      </c>
      <c r="H3" s="4">
        <f ca="1">Carteira[[#This Row],[Total Atual]]-Carteira[[#This Row],[Total Aportado]]</f>
        <v>-909</v>
      </c>
      <c r="I3" s="23">
        <f ca="1" xml:space="preserve"> (Carteira[[#This Row],[Total Atual]]/Carteira[[#This Row],[Total Aportado]]) - 1</f>
        <v>-0.22572634715669238</v>
      </c>
    </row>
    <row r="4" spans="1:12" ht="20.100000000000001" customHeight="1" x14ac:dyDescent="0.25">
      <c r="A4" s="2" t="s">
        <v>6</v>
      </c>
      <c r="B4" s="2" t="str">
        <f>VLOOKUP(Carteira[[#This Row],[Ativo]],Ativos[],2,FALSE)</f>
        <v>EMPRESA</v>
      </c>
      <c r="C4" s="21">
        <f>VLOOKUP(Carteira[[#This Row],[Ativo]],Ativos[],3,FALSE)</f>
        <v>9.0299999999999994</v>
      </c>
      <c r="D4" s="4">
        <f ca="1">SUMIFS(Aportes[Total],Aportes[Ativo],Carteira[[#This Row],[Ativo]],Aportes[Data],"&lt;="&amp;IF($L$1="",TODAY(),$L$1))</f>
        <v>2512</v>
      </c>
      <c r="E4" s="11">
        <f ca="1" xml:space="preserve"> SUMIFS(Aportes[Quantidade],Aportes[Ativo],Carteira[[#This Row],[Ativo]],Aportes[Data],"&lt;="&amp;IF($L$1="",TODAY(),$L$1))</f>
        <v>300</v>
      </c>
      <c r="F4" s="4">
        <f ca="1">Carteira[[#This Row],[Total Aportado]]/Carteira[[#This Row],[Total Quantidade]]</f>
        <v>8.3733333333333331</v>
      </c>
      <c r="G4" s="4">
        <f ca="1">Carteira[[#This Row],[Total Quantidade]]*Carteira[[#This Row],[Cotação]]</f>
        <v>2709</v>
      </c>
      <c r="H4" s="4">
        <f ca="1">Carteira[[#This Row],[Total Atual]]-Carteira[[#This Row],[Total Aportado]]</f>
        <v>197</v>
      </c>
      <c r="I4" s="23">
        <f ca="1" xml:space="preserve"> (Carteira[[#This Row],[Total Atual]]/Carteira[[#This Row],[Total Aportado]]) - 1</f>
        <v>7.8423566878980999E-2</v>
      </c>
    </row>
    <row r="5" spans="1:12" ht="20.100000000000001" customHeight="1" x14ac:dyDescent="0.25">
      <c r="A5" s="2" t="s">
        <v>7</v>
      </c>
      <c r="B5" s="2" t="str">
        <f>VLOOKUP(Carteira[[#This Row],[Ativo]],Ativos[],2,FALSE)</f>
        <v>EMPRESA</v>
      </c>
      <c r="C5" s="21">
        <f>VLOOKUP(Carteira[[#This Row],[Ativo]],Ativos[],3,FALSE)</f>
        <v>36.68</v>
      </c>
      <c r="D5" s="4">
        <f ca="1">SUMIFS(Aportes[Total],Aportes[Ativo],Carteira[[#This Row],[Ativo]],Aportes[Data],"&lt;="&amp;IF($L$1="",TODAY(),$L$1))</f>
        <v>6614</v>
      </c>
      <c r="E5" s="11">
        <f ca="1" xml:space="preserve"> SUMIFS(Aportes[Quantidade],Aportes[Ativo],Carteira[[#This Row],[Ativo]],Aportes[Data],"&lt;="&amp;IF($L$1="",TODAY(),$L$1))</f>
        <v>400</v>
      </c>
      <c r="F5" s="4">
        <f ca="1">Carteira[[#This Row],[Total Aportado]]/Carteira[[#This Row],[Total Quantidade]]</f>
        <v>16.535</v>
      </c>
      <c r="G5" s="4">
        <f ca="1">Carteira[[#This Row],[Total Quantidade]]*Carteira[[#This Row],[Cotação]]</f>
        <v>14672</v>
      </c>
      <c r="H5" s="4">
        <f ca="1">Carteira[[#This Row],[Total Atual]]-Carteira[[#This Row],[Total Aportado]]</f>
        <v>8058</v>
      </c>
      <c r="I5" s="23">
        <f ca="1" xml:space="preserve"> (Carteira[[#This Row],[Total Atual]]/Carteira[[#This Row],[Total Aportado]]) - 1</f>
        <v>1.218324765648624</v>
      </c>
    </row>
    <row r="6" spans="1:12" ht="20.100000000000001" customHeight="1" x14ac:dyDescent="0.25">
      <c r="A6" s="2" t="s">
        <v>8</v>
      </c>
      <c r="B6" s="2" t="str">
        <f>VLOOKUP(Carteira[[#This Row],[Ativo]],Ativos[],2,FALSE)</f>
        <v>FII</v>
      </c>
      <c r="C6" s="21">
        <f>VLOOKUP(Carteira[[#This Row],[Ativo]],Ativos[],3,FALSE)</f>
        <v>229.33</v>
      </c>
      <c r="D6" s="4">
        <f ca="1">SUMIFS(Aportes[Total],Aportes[Ativo],Carteira[[#This Row],[Ativo]],Aportes[Data],"&lt;="&amp;IF($L$1="",TODAY(),$L$1))</f>
        <v>1714.35</v>
      </c>
      <c r="E6" s="11">
        <f ca="1" xml:space="preserve"> SUMIFS(Aportes[Quantidade],Aportes[Ativo],Carteira[[#This Row],[Ativo]],Aportes[Data],"&lt;="&amp;IF($L$1="",TODAY(),$L$1))</f>
        <v>9</v>
      </c>
      <c r="F6" s="4">
        <f ca="1">Carteira[[#This Row],[Total Aportado]]/Carteira[[#This Row],[Total Quantidade]]</f>
        <v>190.48333333333332</v>
      </c>
      <c r="G6" s="4">
        <f ca="1">Carteira[[#This Row],[Total Quantidade]]*Carteira[[#This Row],[Cotação]]</f>
        <v>2063.9700000000003</v>
      </c>
      <c r="H6" s="4">
        <f ca="1">Carteira[[#This Row],[Total Atual]]-Carteira[[#This Row],[Total Aportado]]</f>
        <v>349.62000000000035</v>
      </c>
      <c r="I6" s="23">
        <f ca="1" xml:space="preserve"> (Carteira[[#This Row],[Total Atual]]/Carteira[[#This Row],[Total Aportado]]) - 1</f>
        <v>0.20393735234928712</v>
      </c>
    </row>
    <row r="7" spans="1:12" ht="20.100000000000001" customHeight="1" x14ac:dyDescent="0.25">
      <c r="A7" s="2" t="s">
        <v>10</v>
      </c>
      <c r="B7" s="2" t="str">
        <f>VLOOKUP(Carteira[[#This Row],[Ativo]],Ativos[],2,FALSE)</f>
        <v>FII</v>
      </c>
      <c r="C7" s="21">
        <f>VLOOKUP(Carteira[[#This Row],[Ativo]],Ativos[],3,FALSE)</f>
        <v>159.30000000000001</v>
      </c>
      <c r="D7" s="4">
        <f ca="1">SUMIFS(Aportes[Total],Aportes[Ativo],Carteira[[#This Row],[Ativo]],Aportes[Data],"&lt;="&amp;IF($L$1="",TODAY(),$L$1))</f>
        <v>2350.81</v>
      </c>
      <c r="E7" s="11">
        <f ca="1" xml:space="preserve"> SUMIFS(Aportes[Quantidade],Aportes[Ativo],Carteira[[#This Row],[Ativo]],Aportes[Data],"&lt;="&amp;IF($L$1="",TODAY(),$L$1))</f>
        <v>17</v>
      </c>
      <c r="F7" s="4">
        <f ca="1">Carteira[[#This Row],[Total Aportado]]/Carteira[[#This Row],[Total Quantidade]]</f>
        <v>138.28294117647059</v>
      </c>
      <c r="G7" s="4">
        <f ca="1">Carteira[[#This Row],[Total Quantidade]]*Carteira[[#This Row],[Cotação]]</f>
        <v>2708.1000000000004</v>
      </c>
      <c r="H7" s="4">
        <f ca="1">Carteira[[#This Row],[Total Atual]]-Carteira[[#This Row],[Total Aportado]]</f>
        <v>357.29000000000042</v>
      </c>
      <c r="I7" s="23">
        <f ca="1" xml:space="preserve"> (Carteira[[#This Row],[Total Atual]]/Carteira[[#This Row],[Total Aportado]]) - 1</f>
        <v>0.1519859112391051</v>
      </c>
    </row>
    <row r="8" spans="1:12" ht="20.100000000000001" customHeight="1" x14ac:dyDescent="0.25">
      <c r="A8" s="2" t="s">
        <v>11</v>
      </c>
      <c r="B8" s="2" t="str">
        <f>VLOOKUP(Carteira[[#This Row],[Ativo]],Ativos[],2,FALSE)</f>
        <v>FII</v>
      </c>
      <c r="C8" s="21">
        <f>VLOOKUP(Carteira[[#This Row],[Ativo]],Ativos[],3,FALSE)</f>
        <v>128.12</v>
      </c>
      <c r="D8" s="4">
        <f ca="1">SUMIFS(Aportes[Total],Aportes[Ativo],Carteira[[#This Row],[Ativo]],Aportes[Data],"&lt;="&amp;IF($L$1="",TODAY(),$L$1))</f>
        <v>2492.5699999999997</v>
      </c>
      <c r="E8" s="11">
        <f ca="1" xml:space="preserve"> SUMIFS(Aportes[Quantidade],Aportes[Ativo],Carteira[[#This Row],[Ativo]],Aportes[Data],"&lt;="&amp;IF($L$1="",TODAY(),$L$1))</f>
        <v>19</v>
      </c>
      <c r="F8" s="4">
        <f ca="1">Carteira[[#This Row],[Total Aportado]]/Carteira[[#This Row],[Total Quantidade]]</f>
        <v>131.18789473684208</v>
      </c>
      <c r="G8" s="4">
        <f ca="1">Carteira[[#This Row],[Total Quantidade]]*Carteira[[#This Row],[Cotação]]</f>
        <v>2434.2800000000002</v>
      </c>
      <c r="H8" s="4">
        <f ca="1">Carteira[[#This Row],[Total Atual]]-Carteira[[#This Row],[Total Aportado]]</f>
        <v>-58.289999999999509</v>
      </c>
      <c r="I8" s="23">
        <f ca="1" xml:space="preserve"> (Carteira[[#This Row],[Total Atual]]/Carteira[[#This Row],[Total Aportado]]) - 1</f>
        <v>-2.338550171108511E-2</v>
      </c>
    </row>
    <row r="9" spans="1:12" ht="20.100000000000001" customHeight="1" x14ac:dyDescent="0.25">
      <c r="A9" s="2" t="s">
        <v>12</v>
      </c>
      <c r="B9" s="2" t="str">
        <f>VLOOKUP(Carteira[[#This Row],[Ativo]],Ativos[],2,FALSE)</f>
        <v>FII</v>
      </c>
      <c r="C9" s="21">
        <f>VLOOKUP(Carteira[[#This Row],[Ativo]],Ativos[],3,FALSE)</f>
        <v>161.43</v>
      </c>
      <c r="D9" s="4">
        <f ca="1">SUMIFS(Aportes[Total],Aportes[Ativo],Carteira[[#This Row],[Ativo]],Aportes[Data],"&lt;="&amp;IF($L$1="",TODAY(),$L$1))</f>
        <v>2635.3</v>
      </c>
      <c r="E9" s="11">
        <f ca="1" xml:space="preserve"> SUMIFS(Aportes[Quantidade],Aportes[Ativo],Carteira[[#This Row],[Ativo]],Aportes[Data],"&lt;="&amp;IF($L$1="",TODAY(),$L$1))</f>
        <v>18</v>
      </c>
      <c r="F9" s="4">
        <f ca="1">Carteira[[#This Row],[Total Aportado]]/Carteira[[#This Row],[Total Quantidade]]</f>
        <v>146.40555555555557</v>
      </c>
      <c r="G9" s="4">
        <f ca="1">Carteira[[#This Row],[Total Quantidade]]*Carteira[[#This Row],[Cotação]]</f>
        <v>2905.7400000000002</v>
      </c>
      <c r="H9" s="4">
        <f ca="1">Carteira[[#This Row],[Total Atual]]-Carteira[[#This Row],[Total Aportado]]</f>
        <v>270.44000000000005</v>
      </c>
      <c r="I9" s="23">
        <f ca="1" xml:space="preserve"> (Carteira[[#This Row],[Total Atual]]/Carteira[[#This Row],[Total Aportado]]) - 1</f>
        <v>0.10262209236140096</v>
      </c>
    </row>
    <row r="10" spans="1:12" ht="20.100000000000001" customHeight="1" x14ac:dyDescent="0.25">
      <c r="A10" s="2" t="s">
        <v>13</v>
      </c>
      <c r="B10" s="2" t="str">
        <f>VLOOKUP(Carteira[[#This Row],[Ativo]],Ativos[],2,FALSE)</f>
        <v>EMPRESA</v>
      </c>
      <c r="C10" s="21">
        <f>VLOOKUP(Carteira[[#This Row],[Ativo]],Ativos[],3,FALSE)</f>
        <v>11.31</v>
      </c>
      <c r="D10" s="4">
        <f ca="1">SUMIFS(Aportes[Total],Aportes[Ativo],Carteira[[#This Row],[Ativo]],Aportes[Data],"&lt;="&amp;IF($L$1="",TODAY(),$L$1))</f>
        <v>1635</v>
      </c>
      <c r="E10" s="11">
        <f ca="1" xml:space="preserve"> SUMIFS(Aportes[Quantidade],Aportes[Ativo],Carteira[[#This Row],[Ativo]],Aportes[Data],"&lt;="&amp;IF($L$1="",TODAY(),$L$1))</f>
        <v>200</v>
      </c>
      <c r="F10" s="4">
        <f ca="1">Carteira[[#This Row],[Total Aportado]]/Carteira[[#This Row],[Total Quantidade]]</f>
        <v>8.1750000000000007</v>
      </c>
      <c r="G10" s="4">
        <f ca="1">Carteira[[#This Row],[Total Quantidade]]*Carteira[[#This Row],[Cotação]]</f>
        <v>2262</v>
      </c>
      <c r="H10" s="4">
        <f ca="1">Carteira[[#This Row],[Total Atual]]-Carteira[[#This Row],[Total Aportado]]</f>
        <v>627</v>
      </c>
      <c r="I10" s="23">
        <f ca="1" xml:space="preserve"> (Carteira[[#This Row],[Total Atual]]/Carteira[[#This Row],[Total Aportado]]) - 1</f>
        <v>0.38348623853211006</v>
      </c>
    </row>
    <row r="11" spans="1:12" ht="20.100000000000001" customHeight="1" x14ac:dyDescent="0.25">
      <c r="A11" s="2" t="s">
        <v>19</v>
      </c>
      <c r="C11" s="2"/>
      <c r="D11" s="4">
        <f ca="1">SUBTOTAL(109,Carteira[Total Aportado])</f>
        <v>26791.03</v>
      </c>
      <c r="G11" s="4">
        <f ca="1">SUBTOTAL(109,Carteira[Total Atual])</f>
        <v>36371.089999999997</v>
      </c>
      <c r="H11" s="4">
        <f ca="1">SUBTOTAL(109,Carteira[Valorização])</f>
        <v>9580.0600000000031</v>
      </c>
    </row>
  </sheetData>
  <sheetProtection sheet="1" objects="1" scenarios="1" selectLockedCells="1" autoFilter="0" pivotTables="0"/>
  <conditionalFormatting sqref="I2:I10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671D-90FB-4F9E-BA76-0559833F54F6}">
  <dimension ref="A1:L7"/>
  <sheetViews>
    <sheetView showGridLines="0" showRowColHeaders="0" zoomScale="145" zoomScaleNormal="145" workbookViewId="0">
      <selection activeCell="L1" sqref="L1"/>
    </sheetView>
  </sheetViews>
  <sheetFormatPr defaultColWidth="0" defaultRowHeight="20.100000000000001" customHeight="1" x14ac:dyDescent="0.25"/>
  <cols>
    <col min="1" max="2" width="15.7109375" style="2" customWidth="1"/>
    <col min="3" max="3" width="15.7109375" style="21" customWidth="1"/>
    <col min="4" max="4" width="15.7109375" style="4" customWidth="1"/>
    <col min="5" max="5" width="16.7109375" style="11" customWidth="1"/>
    <col min="6" max="8" width="15.7109375" style="4" customWidth="1"/>
    <col min="9" max="9" width="15.7109375" style="23" customWidth="1"/>
    <col min="10" max="13" width="15.7109375" style="2" customWidth="1"/>
    <col min="14" max="16384" width="15.7109375" style="2" hidden="1"/>
  </cols>
  <sheetData>
    <row r="1" spans="1:12" ht="20.100000000000001" customHeight="1" x14ac:dyDescent="0.25">
      <c r="A1" s="2" t="s">
        <v>15</v>
      </c>
      <c r="B1" s="2" t="s">
        <v>20</v>
      </c>
      <c r="C1" s="21" t="s">
        <v>47</v>
      </c>
      <c r="D1" s="4" t="s">
        <v>48</v>
      </c>
      <c r="E1" s="11" t="s">
        <v>49</v>
      </c>
      <c r="F1" s="4" t="s">
        <v>50</v>
      </c>
      <c r="G1" s="4" t="s">
        <v>51</v>
      </c>
      <c r="H1" s="4" t="s">
        <v>52</v>
      </c>
      <c r="I1" s="23" t="s">
        <v>53</v>
      </c>
      <c r="K1" s="20" t="s">
        <v>54</v>
      </c>
      <c r="L1" s="24"/>
    </row>
    <row r="2" spans="1:12" ht="20.100000000000001" customHeight="1" x14ac:dyDescent="0.25">
      <c r="A2" s="2" t="s">
        <v>3</v>
      </c>
      <c r="B2" s="2" t="str">
        <f>VLOOKUP(CarteiraAcoes[[#This Row],[Ativo]],Ativos[],2,FALSE)</f>
        <v>EMPRESA</v>
      </c>
      <c r="C2" s="21">
        <f>VLOOKUP(CarteiraAcoes[[#This Row],[Ativo]],Ativos[],3,FALSE)</f>
        <v>11.66</v>
      </c>
      <c r="D2" s="4">
        <f ca="1">SUMIFS(Aportes[Total],Aportes[Ativo],CarteiraAcoes[[#This Row],[Ativo]],Aportes[Data],"&lt;="&amp;IF($L$1="",TODAY(),$L$1))</f>
        <v>2810</v>
      </c>
      <c r="E2" s="11">
        <f ca="1" xml:space="preserve"> SUMIFS(Aportes[Quantidade],Aportes[Ativo],CarteiraAcoes[[#This Row],[Ativo]],Aportes[Data],"&lt;="&amp;IF($L$1="",TODAY(),$L$1))</f>
        <v>300</v>
      </c>
      <c r="F2" s="4">
        <f ca="1">CarteiraAcoes[[#This Row],[Total Aportado]]/CarteiraAcoes[[#This Row],[Total Quantidade]]</f>
        <v>9.3666666666666671</v>
      </c>
      <c r="G2" s="4">
        <f ca="1">CarteiraAcoes[[#This Row],[Total Quantidade]]*CarteiraAcoes[[#This Row],[Cotação]]</f>
        <v>3498</v>
      </c>
      <c r="H2" s="4">
        <f ca="1">CarteiraAcoes[[#This Row],[Total Atual]]-CarteiraAcoes[[#This Row],[Total Aportado]]</f>
        <v>688</v>
      </c>
      <c r="I2" s="23">
        <f ca="1" xml:space="preserve"> (CarteiraAcoes[[#This Row],[Total Atual]]/CarteiraAcoes[[#This Row],[Total Aportado]]) - 1</f>
        <v>0.24483985765124561</v>
      </c>
    </row>
    <row r="3" spans="1:12" ht="20.100000000000001" customHeight="1" x14ac:dyDescent="0.25">
      <c r="A3" s="2" t="s">
        <v>5</v>
      </c>
      <c r="B3" s="2" t="str">
        <f>VLOOKUP(CarteiraAcoes[[#This Row],[Ativo]],Ativos[],2,FALSE)</f>
        <v>EMPRESA</v>
      </c>
      <c r="C3" s="21">
        <f>VLOOKUP(CarteiraAcoes[[#This Row],[Ativo]],Ativos[],3,FALSE)</f>
        <v>15.59</v>
      </c>
      <c r="D3" s="4">
        <f ca="1">SUMIFS(Aportes[Total],Aportes[Ativo],CarteiraAcoes[[#This Row],[Ativo]],Aportes[Data],"&lt;="&amp;IF($L$1="",TODAY(),$L$1))</f>
        <v>4027</v>
      </c>
      <c r="E3" s="11">
        <f ca="1" xml:space="preserve"> SUMIFS(Aportes[Quantidade],Aportes[Ativo],CarteiraAcoes[[#This Row],[Ativo]],Aportes[Data],"&lt;="&amp;IF($L$1="",TODAY(),$L$1))</f>
        <v>200</v>
      </c>
      <c r="F3" s="4">
        <f ca="1">CarteiraAcoes[[#This Row],[Total Aportado]]/CarteiraAcoes[[#This Row],[Total Quantidade]]</f>
        <v>20.135000000000002</v>
      </c>
      <c r="G3" s="4">
        <f ca="1">CarteiraAcoes[[#This Row],[Total Quantidade]]*CarteiraAcoes[[#This Row],[Cotação]]</f>
        <v>3118</v>
      </c>
      <c r="H3" s="4">
        <f ca="1">CarteiraAcoes[[#This Row],[Total Atual]]-CarteiraAcoes[[#This Row],[Total Aportado]]</f>
        <v>-909</v>
      </c>
      <c r="I3" s="23">
        <f ca="1" xml:space="preserve"> (CarteiraAcoes[[#This Row],[Total Atual]]/CarteiraAcoes[[#This Row],[Total Aportado]]) - 1</f>
        <v>-0.22572634715669238</v>
      </c>
    </row>
    <row r="4" spans="1:12" ht="20.100000000000001" customHeight="1" x14ac:dyDescent="0.25">
      <c r="A4" s="2" t="s">
        <v>6</v>
      </c>
      <c r="B4" s="2" t="str">
        <f>VLOOKUP(CarteiraAcoes[[#This Row],[Ativo]],Ativos[],2,FALSE)</f>
        <v>EMPRESA</v>
      </c>
      <c r="C4" s="21">
        <f>VLOOKUP(CarteiraAcoes[[#This Row],[Ativo]],Ativos[],3,FALSE)</f>
        <v>9.0299999999999994</v>
      </c>
      <c r="D4" s="4">
        <f ca="1">SUMIFS(Aportes[Total],Aportes[Ativo],CarteiraAcoes[[#This Row],[Ativo]],Aportes[Data],"&lt;="&amp;IF($L$1="",TODAY(),$L$1))</f>
        <v>2512</v>
      </c>
      <c r="E4" s="11">
        <f ca="1" xml:space="preserve"> SUMIFS(Aportes[Quantidade],Aportes[Ativo],CarteiraAcoes[[#This Row],[Ativo]],Aportes[Data],"&lt;="&amp;IF($L$1="",TODAY(),$L$1))</f>
        <v>300</v>
      </c>
      <c r="F4" s="4">
        <f ca="1">CarteiraAcoes[[#This Row],[Total Aportado]]/CarteiraAcoes[[#This Row],[Total Quantidade]]</f>
        <v>8.3733333333333331</v>
      </c>
      <c r="G4" s="4">
        <f ca="1">CarteiraAcoes[[#This Row],[Total Quantidade]]*CarteiraAcoes[[#This Row],[Cotação]]</f>
        <v>2709</v>
      </c>
      <c r="H4" s="4">
        <f ca="1">CarteiraAcoes[[#This Row],[Total Atual]]-CarteiraAcoes[[#This Row],[Total Aportado]]</f>
        <v>197</v>
      </c>
      <c r="I4" s="23">
        <f ca="1" xml:space="preserve"> (CarteiraAcoes[[#This Row],[Total Atual]]/CarteiraAcoes[[#This Row],[Total Aportado]]) - 1</f>
        <v>7.8423566878980999E-2</v>
      </c>
    </row>
    <row r="5" spans="1:12" ht="20.100000000000001" customHeight="1" x14ac:dyDescent="0.25">
      <c r="A5" s="2" t="s">
        <v>7</v>
      </c>
      <c r="B5" s="2" t="str">
        <f>VLOOKUP(CarteiraAcoes[[#This Row],[Ativo]],Ativos[],2,FALSE)</f>
        <v>EMPRESA</v>
      </c>
      <c r="C5" s="21">
        <f>VLOOKUP(CarteiraAcoes[[#This Row],[Ativo]],Ativos[],3,FALSE)</f>
        <v>36.68</v>
      </c>
      <c r="D5" s="4">
        <f ca="1">SUMIFS(Aportes[Total],Aportes[Ativo],CarteiraAcoes[[#This Row],[Ativo]],Aportes[Data],"&lt;="&amp;IF($L$1="",TODAY(),$L$1))</f>
        <v>6614</v>
      </c>
      <c r="E5" s="11">
        <f ca="1" xml:space="preserve"> SUMIFS(Aportes[Quantidade],Aportes[Ativo],CarteiraAcoes[[#This Row],[Ativo]],Aportes[Data],"&lt;="&amp;IF($L$1="",TODAY(),$L$1))</f>
        <v>400</v>
      </c>
      <c r="F5" s="4">
        <f ca="1">CarteiraAcoes[[#This Row],[Total Aportado]]/CarteiraAcoes[[#This Row],[Total Quantidade]]</f>
        <v>16.535</v>
      </c>
      <c r="G5" s="4">
        <f ca="1">CarteiraAcoes[[#This Row],[Total Quantidade]]*CarteiraAcoes[[#This Row],[Cotação]]</f>
        <v>14672</v>
      </c>
      <c r="H5" s="4">
        <f ca="1">CarteiraAcoes[[#This Row],[Total Atual]]-CarteiraAcoes[[#This Row],[Total Aportado]]</f>
        <v>8058</v>
      </c>
      <c r="I5" s="23">
        <f ca="1" xml:space="preserve"> (CarteiraAcoes[[#This Row],[Total Atual]]/CarteiraAcoes[[#This Row],[Total Aportado]]) - 1</f>
        <v>1.218324765648624</v>
      </c>
    </row>
    <row r="6" spans="1:12" ht="20.100000000000001" customHeight="1" x14ac:dyDescent="0.25">
      <c r="A6" s="2" t="s">
        <v>13</v>
      </c>
      <c r="B6" s="2" t="str">
        <f>VLOOKUP(CarteiraAcoes[[#This Row],[Ativo]],Ativos[],2,FALSE)</f>
        <v>EMPRESA</v>
      </c>
      <c r="C6" s="21">
        <f>VLOOKUP(CarteiraAcoes[[#This Row],[Ativo]],Ativos[],3,FALSE)</f>
        <v>11.31</v>
      </c>
      <c r="D6" s="4">
        <f ca="1">SUMIFS(Aportes[Total],Aportes[Ativo],CarteiraAcoes[[#This Row],[Ativo]],Aportes[Data],"&lt;="&amp;IF($L$1="",TODAY(),$L$1))</f>
        <v>1635</v>
      </c>
      <c r="E6" s="11">
        <f ca="1" xml:space="preserve"> SUMIFS(Aportes[Quantidade],Aportes[Ativo],CarteiraAcoes[[#This Row],[Ativo]],Aportes[Data],"&lt;="&amp;IF($L$1="",TODAY(),$L$1))</f>
        <v>200</v>
      </c>
      <c r="F6" s="4">
        <f ca="1">CarteiraAcoes[[#This Row],[Total Aportado]]/CarteiraAcoes[[#This Row],[Total Quantidade]]</f>
        <v>8.1750000000000007</v>
      </c>
      <c r="G6" s="4">
        <f ca="1">CarteiraAcoes[[#This Row],[Total Quantidade]]*CarteiraAcoes[[#This Row],[Cotação]]</f>
        <v>2262</v>
      </c>
      <c r="H6" s="4">
        <f ca="1">CarteiraAcoes[[#This Row],[Total Atual]]-CarteiraAcoes[[#This Row],[Total Aportado]]</f>
        <v>627</v>
      </c>
      <c r="I6" s="23">
        <f ca="1" xml:space="preserve"> (CarteiraAcoes[[#This Row],[Total Atual]]/CarteiraAcoes[[#This Row],[Total Aportado]]) - 1</f>
        <v>0.38348623853211006</v>
      </c>
    </row>
    <row r="7" spans="1:12" ht="20.100000000000001" customHeight="1" x14ac:dyDescent="0.25">
      <c r="A7" s="2" t="s">
        <v>19</v>
      </c>
      <c r="C7" s="2"/>
      <c r="D7" s="4">
        <f ca="1">SUBTOTAL(109,CarteiraAcoes[Total Aportado])</f>
        <v>17598</v>
      </c>
      <c r="G7" s="4">
        <f ca="1">SUBTOTAL(109,CarteiraAcoes[Total Atual])</f>
        <v>26259</v>
      </c>
      <c r="H7" s="4">
        <f ca="1">SUBTOTAL(109,CarteiraAcoes[Valorização])</f>
        <v>8661</v>
      </c>
    </row>
  </sheetData>
  <sheetProtection sheet="1" objects="1" scenarios="1" selectLockedCells="1" autoFilter="0" pivotTables="0"/>
  <conditionalFormatting sqref="I2:I6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01A5-1161-4FF0-B3FB-6457EDE87D08}">
  <dimension ref="A1:L6"/>
  <sheetViews>
    <sheetView showGridLines="0" showRowColHeaders="0" zoomScale="145" zoomScaleNormal="145" workbookViewId="0">
      <selection activeCell="L1" sqref="L1"/>
    </sheetView>
  </sheetViews>
  <sheetFormatPr defaultColWidth="0" defaultRowHeight="20.100000000000001" customHeight="1" x14ac:dyDescent="0.25"/>
  <cols>
    <col min="1" max="2" width="15.7109375" style="2" customWidth="1"/>
    <col min="3" max="3" width="15.7109375" style="21" customWidth="1"/>
    <col min="4" max="4" width="15.7109375" style="4" customWidth="1"/>
    <col min="5" max="5" width="16.7109375" style="11" customWidth="1"/>
    <col min="6" max="8" width="15.7109375" style="4" customWidth="1"/>
    <col min="9" max="9" width="15.7109375" style="23" customWidth="1"/>
    <col min="10" max="13" width="15.7109375" style="2" customWidth="1"/>
    <col min="14" max="16384" width="15.7109375" style="2" hidden="1"/>
  </cols>
  <sheetData>
    <row r="1" spans="1:12" ht="20.100000000000001" customHeight="1" x14ac:dyDescent="0.25">
      <c r="A1" s="2" t="s">
        <v>15</v>
      </c>
      <c r="B1" s="2" t="s">
        <v>20</v>
      </c>
      <c r="C1" s="21" t="s">
        <v>47</v>
      </c>
      <c r="D1" s="4" t="s">
        <v>48</v>
      </c>
      <c r="E1" s="11" t="s">
        <v>49</v>
      </c>
      <c r="F1" s="4" t="s">
        <v>50</v>
      </c>
      <c r="G1" s="4" t="s">
        <v>51</v>
      </c>
      <c r="H1" s="4" t="s">
        <v>52</v>
      </c>
      <c r="I1" s="23" t="s">
        <v>53</v>
      </c>
      <c r="K1" s="20" t="s">
        <v>54</v>
      </c>
      <c r="L1" s="24"/>
    </row>
    <row r="2" spans="1:12" ht="20.100000000000001" customHeight="1" x14ac:dyDescent="0.25">
      <c r="A2" s="2" t="s">
        <v>8</v>
      </c>
      <c r="B2" s="2" t="str">
        <f>VLOOKUP(CarteiraFII[[#This Row],[Ativo]],Ativos[],2,FALSE)</f>
        <v>FII</v>
      </c>
      <c r="C2" s="21">
        <f>VLOOKUP(CarteiraFII[[#This Row],[Ativo]],Ativos[],3,FALSE)</f>
        <v>229.33</v>
      </c>
      <c r="D2" s="4">
        <f ca="1">SUMIFS(Aportes[Total],Aportes[Ativo],CarteiraFII[[#This Row],[Ativo]],Aportes[Data],"&lt;="&amp;IF($L$1="",TODAY(),$L$1))</f>
        <v>1714.35</v>
      </c>
      <c r="E2" s="11">
        <f ca="1" xml:space="preserve"> SUMIFS(Aportes[Quantidade],Aportes[Ativo],CarteiraFII[[#This Row],[Ativo]],Aportes[Data],"&lt;="&amp;IF($L$1="",TODAY(),$L$1))</f>
        <v>9</v>
      </c>
      <c r="F2" s="4">
        <f ca="1">CarteiraFII[[#This Row],[Total Aportado]]/CarteiraFII[[#This Row],[Total Quantidade]]</f>
        <v>190.48333333333332</v>
      </c>
      <c r="G2" s="4">
        <f ca="1">CarteiraFII[[#This Row],[Total Quantidade]]*CarteiraFII[[#This Row],[Cotação]]</f>
        <v>2063.9700000000003</v>
      </c>
      <c r="H2" s="4">
        <f ca="1">CarteiraFII[[#This Row],[Total Atual]]-CarteiraFII[[#This Row],[Total Aportado]]</f>
        <v>349.62000000000035</v>
      </c>
      <c r="I2" s="23">
        <f ca="1" xml:space="preserve"> (CarteiraFII[[#This Row],[Total Atual]]/CarteiraFII[[#This Row],[Total Aportado]]) - 1</f>
        <v>0.20393735234928712</v>
      </c>
    </row>
    <row r="3" spans="1:12" ht="20.100000000000001" customHeight="1" x14ac:dyDescent="0.25">
      <c r="A3" s="2" t="s">
        <v>10</v>
      </c>
      <c r="B3" s="2" t="str">
        <f>VLOOKUP(CarteiraFII[[#This Row],[Ativo]],Ativos[],2,FALSE)</f>
        <v>FII</v>
      </c>
      <c r="C3" s="21">
        <f>VLOOKUP(CarteiraFII[[#This Row],[Ativo]],Ativos[],3,FALSE)</f>
        <v>159.30000000000001</v>
      </c>
      <c r="D3" s="4">
        <f ca="1">SUMIFS(Aportes[Total],Aportes[Ativo],CarteiraFII[[#This Row],[Ativo]],Aportes[Data],"&lt;="&amp;IF($L$1="",TODAY(),$L$1))</f>
        <v>2350.81</v>
      </c>
      <c r="E3" s="11">
        <f ca="1" xml:space="preserve"> SUMIFS(Aportes[Quantidade],Aportes[Ativo],CarteiraFII[[#This Row],[Ativo]],Aportes[Data],"&lt;="&amp;IF($L$1="",TODAY(),$L$1))</f>
        <v>17</v>
      </c>
      <c r="F3" s="4">
        <f ca="1">CarteiraFII[[#This Row],[Total Aportado]]/CarteiraFII[[#This Row],[Total Quantidade]]</f>
        <v>138.28294117647059</v>
      </c>
      <c r="G3" s="4">
        <f ca="1">CarteiraFII[[#This Row],[Total Quantidade]]*CarteiraFII[[#This Row],[Cotação]]</f>
        <v>2708.1000000000004</v>
      </c>
      <c r="H3" s="4">
        <f ca="1">CarteiraFII[[#This Row],[Total Atual]]-CarteiraFII[[#This Row],[Total Aportado]]</f>
        <v>357.29000000000042</v>
      </c>
      <c r="I3" s="23">
        <f ca="1" xml:space="preserve"> (CarteiraFII[[#This Row],[Total Atual]]/CarteiraFII[[#This Row],[Total Aportado]]) - 1</f>
        <v>0.1519859112391051</v>
      </c>
    </row>
    <row r="4" spans="1:12" ht="20.100000000000001" customHeight="1" x14ac:dyDescent="0.25">
      <c r="A4" s="2" t="s">
        <v>11</v>
      </c>
      <c r="B4" s="2" t="str">
        <f>VLOOKUP(CarteiraFII[[#This Row],[Ativo]],Ativos[],2,FALSE)</f>
        <v>FII</v>
      </c>
      <c r="C4" s="21">
        <f>VLOOKUP(CarteiraFII[[#This Row],[Ativo]],Ativos[],3,FALSE)</f>
        <v>128.12</v>
      </c>
      <c r="D4" s="4">
        <f ca="1">SUMIFS(Aportes[Total],Aportes[Ativo],CarteiraFII[[#This Row],[Ativo]],Aportes[Data],"&lt;="&amp;IF($L$1="",TODAY(),$L$1))</f>
        <v>2492.5699999999997</v>
      </c>
      <c r="E4" s="11">
        <f ca="1" xml:space="preserve"> SUMIFS(Aportes[Quantidade],Aportes[Ativo],CarteiraFII[[#This Row],[Ativo]],Aportes[Data],"&lt;="&amp;IF($L$1="",TODAY(),$L$1))</f>
        <v>19</v>
      </c>
      <c r="F4" s="4">
        <f ca="1">CarteiraFII[[#This Row],[Total Aportado]]/CarteiraFII[[#This Row],[Total Quantidade]]</f>
        <v>131.18789473684208</v>
      </c>
      <c r="G4" s="4">
        <f ca="1">CarteiraFII[[#This Row],[Total Quantidade]]*CarteiraFII[[#This Row],[Cotação]]</f>
        <v>2434.2800000000002</v>
      </c>
      <c r="H4" s="4">
        <f ca="1">CarteiraFII[[#This Row],[Total Atual]]-CarteiraFII[[#This Row],[Total Aportado]]</f>
        <v>-58.289999999999509</v>
      </c>
      <c r="I4" s="23">
        <f ca="1" xml:space="preserve"> (CarteiraFII[[#This Row],[Total Atual]]/CarteiraFII[[#This Row],[Total Aportado]]) - 1</f>
        <v>-2.338550171108511E-2</v>
      </c>
    </row>
    <row r="5" spans="1:12" ht="20.100000000000001" customHeight="1" x14ac:dyDescent="0.25">
      <c r="A5" s="2" t="s">
        <v>12</v>
      </c>
      <c r="B5" s="2" t="str">
        <f>VLOOKUP(CarteiraFII[[#This Row],[Ativo]],Ativos[],2,FALSE)</f>
        <v>FII</v>
      </c>
      <c r="C5" s="21">
        <f>VLOOKUP(CarteiraFII[[#This Row],[Ativo]],Ativos[],3,FALSE)</f>
        <v>161.43</v>
      </c>
      <c r="D5" s="4">
        <f ca="1">SUMIFS(Aportes[Total],Aportes[Ativo],CarteiraFII[[#This Row],[Ativo]],Aportes[Data],"&lt;="&amp;IF($L$1="",TODAY(),$L$1))</f>
        <v>2635.3</v>
      </c>
      <c r="E5" s="11">
        <f ca="1" xml:space="preserve"> SUMIFS(Aportes[Quantidade],Aportes[Ativo],CarteiraFII[[#This Row],[Ativo]],Aportes[Data],"&lt;="&amp;IF($L$1="",TODAY(),$L$1))</f>
        <v>18</v>
      </c>
      <c r="F5" s="4">
        <f ca="1">CarteiraFII[[#This Row],[Total Aportado]]/CarteiraFII[[#This Row],[Total Quantidade]]</f>
        <v>146.40555555555557</v>
      </c>
      <c r="G5" s="4">
        <f ca="1">CarteiraFII[[#This Row],[Total Quantidade]]*CarteiraFII[[#This Row],[Cotação]]</f>
        <v>2905.7400000000002</v>
      </c>
      <c r="H5" s="4">
        <f ca="1">CarteiraFII[[#This Row],[Total Atual]]-CarteiraFII[[#This Row],[Total Aportado]]</f>
        <v>270.44000000000005</v>
      </c>
      <c r="I5" s="23">
        <f ca="1" xml:space="preserve"> (CarteiraFII[[#This Row],[Total Atual]]/CarteiraFII[[#This Row],[Total Aportado]]) - 1</f>
        <v>0.10262209236140096</v>
      </c>
    </row>
    <row r="6" spans="1:12" ht="20.100000000000001" customHeight="1" x14ac:dyDescent="0.25">
      <c r="A6" s="2" t="s">
        <v>19</v>
      </c>
      <c r="C6" s="2"/>
      <c r="D6" s="4">
        <f ca="1">SUBTOTAL(109,CarteiraFII[Total Aportado])</f>
        <v>9193.0299999999988</v>
      </c>
      <c r="G6" s="4">
        <f ca="1">SUBTOTAL(109,CarteiraFII[Total Atual])</f>
        <v>10112.09</v>
      </c>
      <c r="H6" s="4">
        <f ca="1">SUBTOTAL(109,CarteiraFII[Valorização])</f>
        <v>919.06000000000131</v>
      </c>
    </row>
  </sheetData>
  <sheetProtection sheet="1" objects="1" scenarios="1" selectLockedCells="1" autoFilter="0" pivotTables="0"/>
  <conditionalFormatting sqref="I2:I5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F38A-5970-41C4-A554-E1C2FCC47A61}">
  <dimension ref="A1:P16"/>
  <sheetViews>
    <sheetView showGridLines="0" showRowColHeaders="0" zoomScale="130" zoomScaleNormal="130" workbookViewId="0">
      <selection activeCell="Q2" sqref="Q2"/>
    </sheetView>
  </sheetViews>
  <sheetFormatPr defaultColWidth="0" defaultRowHeight="20.100000000000001" customHeight="1" x14ac:dyDescent="0.25"/>
  <cols>
    <col min="1" max="16" width="12.7109375" style="2" customWidth="1"/>
    <col min="17" max="17" width="5.7109375" style="2" customWidth="1"/>
    <col min="18" max="16384" width="9.140625" style="2" hidden="1"/>
  </cols>
  <sheetData>
    <row r="1" spans="1:16" ht="9.9499999999999993" customHeight="1" x14ac:dyDescent="0.25"/>
    <row r="2" spans="1:16" ht="9.9499999999999993" customHeight="1" x14ac:dyDescent="0.25"/>
    <row r="3" spans="1:16" ht="20.100000000000001" customHeight="1" x14ac:dyDescent="0.25">
      <c r="A3" s="19" t="s">
        <v>45</v>
      </c>
      <c r="B3" s="19" t="s">
        <v>30</v>
      </c>
    </row>
    <row r="4" spans="1:16" ht="20.100000000000001" customHeight="1" x14ac:dyDescent="0.25">
      <c r="A4" s="19" t="s">
        <v>28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43</v>
      </c>
      <c r="N4" s="2" t="s">
        <v>44</v>
      </c>
      <c r="O4" s="2" t="s">
        <v>42</v>
      </c>
      <c r="P4" s="2" t="s">
        <v>29</v>
      </c>
    </row>
    <row r="5" spans="1:16" ht="20.100000000000001" customHeight="1" x14ac:dyDescent="0.25">
      <c r="A5" s="12" t="s">
        <v>4</v>
      </c>
      <c r="B5" s="4">
        <v>1594</v>
      </c>
      <c r="C5" s="4">
        <v>1644</v>
      </c>
      <c r="D5" s="4">
        <v>788</v>
      </c>
      <c r="E5" s="4">
        <v>1985</v>
      </c>
      <c r="F5" s="4"/>
      <c r="G5" s="4">
        <v>1721</v>
      </c>
      <c r="H5" s="4">
        <v>1591</v>
      </c>
      <c r="I5" s="4">
        <v>2042</v>
      </c>
      <c r="J5" s="4">
        <v>1765.9999999999998</v>
      </c>
      <c r="K5" s="4">
        <v>1021.9999999999999</v>
      </c>
      <c r="L5" s="4">
        <v>1613</v>
      </c>
      <c r="M5" s="4">
        <v>962.99999999999989</v>
      </c>
      <c r="N5" s="4">
        <v>869</v>
      </c>
      <c r="O5" s="4"/>
      <c r="P5" s="4">
        <v>17598</v>
      </c>
    </row>
    <row r="6" spans="1:16" ht="20.100000000000001" customHeight="1" x14ac:dyDescent="0.25">
      <c r="A6" s="12" t="s">
        <v>3</v>
      </c>
      <c r="B6" s="4">
        <v>833</v>
      </c>
      <c r="C6" s="4"/>
      <c r="D6" s="4"/>
      <c r="E6" s="4"/>
      <c r="F6" s="4"/>
      <c r="G6" s="4">
        <v>954.99999999999989</v>
      </c>
      <c r="H6" s="4"/>
      <c r="I6" s="4"/>
      <c r="J6" s="4"/>
      <c r="K6" s="4">
        <v>1021.9999999999999</v>
      </c>
      <c r="L6" s="4"/>
      <c r="M6" s="4"/>
      <c r="N6" s="4"/>
      <c r="O6" s="4"/>
      <c r="P6" s="4">
        <v>2810</v>
      </c>
    </row>
    <row r="7" spans="1:16" ht="20.100000000000001" customHeight="1" x14ac:dyDescent="0.25">
      <c r="A7" s="12" t="s">
        <v>5</v>
      </c>
      <c r="B7" s="4"/>
      <c r="C7" s="4"/>
      <c r="D7" s="4"/>
      <c r="E7" s="4">
        <v>1985</v>
      </c>
      <c r="F7" s="4"/>
      <c r="G7" s="4"/>
      <c r="H7" s="4"/>
      <c r="I7" s="4">
        <v>2042</v>
      </c>
      <c r="J7" s="4"/>
      <c r="K7" s="4"/>
      <c r="L7" s="4"/>
      <c r="M7" s="4"/>
      <c r="N7" s="4"/>
      <c r="O7" s="4"/>
      <c r="P7" s="4">
        <v>4027</v>
      </c>
    </row>
    <row r="8" spans="1:16" ht="20.100000000000001" customHeight="1" x14ac:dyDescent="0.25">
      <c r="A8" s="12" t="s">
        <v>6</v>
      </c>
      <c r="B8" s="4">
        <v>761</v>
      </c>
      <c r="C8" s="4"/>
      <c r="D8" s="4">
        <v>788</v>
      </c>
      <c r="E8" s="4"/>
      <c r="F8" s="4"/>
      <c r="G8" s="4"/>
      <c r="H8" s="4"/>
      <c r="I8" s="4"/>
      <c r="J8" s="4"/>
      <c r="K8" s="4"/>
      <c r="L8" s="4"/>
      <c r="M8" s="4">
        <v>962.99999999999989</v>
      </c>
      <c r="N8" s="4"/>
      <c r="O8" s="4"/>
      <c r="P8" s="4">
        <v>2512</v>
      </c>
    </row>
    <row r="9" spans="1:16" ht="20.100000000000001" customHeight="1" x14ac:dyDescent="0.25">
      <c r="A9" s="12" t="s">
        <v>7</v>
      </c>
      <c r="B9" s="4"/>
      <c r="C9" s="4">
        <v>1644</v>
      </c>
      <c r="D9" s="4"/>
      <c r="E9" s="4"/>
      <c r="F9" s="4"/>
      <c r="G9" s="4"/>
      <c r="H9" s="4">
        <v>1591</v>
      </c>
      <c r="I9" s="4"/>
      <c r="J9" s="4">
        <v>1765.9999999999998</v>
      </c>
      <c r="K9" s="4"/>
      <c r="L9" s="4">
        <v>1613</v>
      </c>
      <c r="M9" s="4"/>
      <c r="N9" s="4"/>
      <c r="O9" s="4"/>
      <c r="P9" s="4">
        <v>6614</v>
      </c>
    </row>
    <row r="10" spans="1:16" ht="20.100000000000001" customHeight="1" x14ac:dyDescent="0.25">
      <c r="A10" s="12" t="s">
        <v>13</v>
      </c>
      <c r="B10" s="4"/>
      <c r="C10" s="4"/>
      <c r="D10" s="4"/>
      <c r="E10" s="4"/>
      <c r="F10" s="4"/>
      <c r="G10" s="4">
        <v>766</v>
      </c>
      <c r="H10" s="4"/>
      <c r="I10" s="4"/>
      <c r="J10" s="4"/>
      <c r="K10" s="4"/>
      <c r="L10" s="4"/>
      <c r="M10" s="4"/>
      <c r="N10" s="4">
        <v>869</v>
      </c>
      <c r="O10" s="4"/>
      <c r="P10" s="4">
        <v>1635</v>
      </c>
    </row>
    <row r="11" spans="1:16" ht="20.100000000000001" customHeight="1" x14ac:dyDescent="0.25">
      <c r="A11" s="12" t="s">
        <v>9</v>
      </c>
      <c r="B11" s="4"/>
      <c r="C11" s="4">
        <v>704.9</v>
      </c>
      <c r="D11" s="4">
        <v>991.52</v>
      </c>
      <c r="E11" s="4">
        <v>551.46</v>
      </c>
      <c r="F11" s="4">
        <v>635.83000000000004</v>
      </c>
      <c r="G11" s="4"/>
      <c r="H11" s="4">
        <v>679.05</v>
      </c>
      <c r="I11" s="4">
        <v>191.74</v>
      </c>
      <c r="J11" s="4">
        <v>972.57999999999993</v>
      </c>
      <c r="K11" s="4">
        <v>268.2</v>
      </c>
      <c r="L11" s="4">
        <v>971.15</v>
      </c>
      <c r="M11" s="4">
        <v>430.65000000000003</v>
      </c>
      <c r="N11" s="4">
        <v>716.15</v>
      </c>
      <c r="O11" s="4">
        <v>2079.8000000000002</v>
      </c>
      <c r="P11" s="4">
        <v>9193.0299999999988</v>
      </c>
    </row>
    <row r="12" spans="1:16" ht="20.100000000000001" customHeight="1" x14ac:dyDescent="0.25">
      <c r="A12" s="12" t="s">
        <v>8</v>
      </c>
      <c r="B12" s="4"/>
      <c r="C12" s="4"/>
      <c r="D12" s="4"/>
      <c r="E12" s="4">
        <v>551.46</v>
      </c>
      <c r="F12" s="4"/>
      <c r="G12" s="4"/>
      <c r="H12" s="4"/>
      <c r="I12" s="4">
        <v>191.74</v>
      </c>
      <c r="J12" s="4"/>
      <c r="K12" s="4"/>
      <c r="L12" s="4">
        <v>971.15</v>
      </c>
      <c r="M12" s="4"/>
      <c r="N12" s="4"/>
      <c r="O12" s="4"/>
      <c r="P12" s="4">
        <v>1714.35</v>
      </c>
    </row>
    <row r="13" spans="1:16" ht="20.100000000000001" customHeight="1" x14ac:dyDescent="0.25">
      <c r="A13" s="12" t="s">
        <v>10</v>
      </c>
      <c r="B13" s="4"/>
      <c r="C13" s="4">
        <v>704.9</v>
      </c>
      <c r="D13" s="4"/>
      <c r="E13" s="4"/>
      <c r="F13" s="4">
        <v>242.68</v>
      </c>
      <c r="G13" s="4"/>
      <c r="H13" s="4"/>
      <c r="I13" s="4"/>
      <c r="J13" s="4">
        <v>972.57999999999993</v>
      </c>
      <c r="K13" s="4"/>
      <c r="L13" s="4"/>
      <c r="M13" s="4">
        <v>430.65000000000003</v>
      </c>
      <c r="N13" s="4"/>
      <c r="O13" s="4"/>
      <c r="P13" s="4">
        <v>2350.81</v>
      </c>
    </row>
    <row r="14" spans="1:16" ht="20.100000000000001" customHeight="1" x14ac:dyDescent="0.25">
      <c r="A14" s="12" t="s">
        <v>11</v>
      </c>
      <c r="B14" s="4"/>
      <c r="C14" s="4"/>
      <c r="D14" s="4">
        <v>991.52</v>
      </c>
      <c r="E14" s="4"/>
      <c r="F14" s="4"/>
      <c r="G14" s="4"/>
      <c r="H14" s="4">
        <v>679.05</v>
      </c>
      <c r="I14" s="4"/>
      <c r="J14" s="4"/>
      <c r="K14" s="4">
        <v>268.2</v>
      </c>
      <c r="L14" s="4"/>
      <c r="M14" s="4"/>
      <c r="N14" s="4"/>
      <c r="O14" s="4">
        <v>553.79999999999995</v>
      </c>
      <c r="P14" s="4">
        <v>2492.5699999999997</v>
      </c>
    </row>
    <row r="15" spans="1:16" ht="20.100000000000001" customHeight="1" x14ac:dyDescent="0.25">
      <c r="A15" s="12" t="s">
        <v>12</v>
      </c>
      <c r="B15" s="4"/>
      <c r="C15" s="4"/>
      <c r="D15" s="4"/>
      <c r="E15" s="4"/>
      <c r="F15" s="4">
        <v>393.15000000000003</v>
      </c>
      <c r="G15" s="4"/>
      <c r="H15" s="4"/>
      <c r="I15" s="4"/>
      <c r="J15" s="4"/>
      <c r="K15" s="4"/>
      <c r="L15" s="4"/>
      <c r="M15" s="4"/>
      <c r="N15" s="4">
        <v>716.15</v>
      </c>
      <c r="O15" s="4">
        <v>1526</v>
      </c>
      <c r="P15" s="4">
        <v>2635.3</v>
      </c>
    </row>
    <row r="16" spans="1:16" ht="20.100000000000001" customHeight="1" x14ac:dyDescent="0.25">
      <c r="A16" s="12" t="s">
        <v>29</v>
      </c>
      <c r="B16" s="4">
        <v>1594</v>
      </c>
      <c r="C16" s="4">
        <v>2348.9</v>
      </c>
      <c r="D16" s="4">
        <v>1779.52</v>
      </c>
      <c r="E16" s="4">
        <v>2536.46</v>
      </c>
      <c r="F16" s="4">
        <v>635.83000000000004</v>
      </c>
      <c r="G16" s="4">
        <v>1721</v>
      </c>
      <c r="H16" s="4">
        <v>2270.0500000000002</v>
      </c>
      <c r="I16" s="4">
        <v>2233.7399999999998</v>
      </c>
      <c r="J16" s="4">
        <v>2738.58</v>
      </c>
      <c r="K16" s="4">
        <v>1290.1999999999998</v>
      </c>
      <c r="L16" s="4">
        <v>2584.15</v>
      </c>
      <c r="M16" s="4">
        <v>1393.6499999999999</v>
      </c>
      <c r="N16" s="4">
        <v>1585.15</v>
      </c>
      <c r="O16" s="4">
        <v>2079.8000000000002</v>
      </c>
      <c r="P16" s="4">
        <v>26791.03</v>
      </c>
    </row>
  </sheetData>
  <sheetProtection sheet="1" objects="1" scenarios="1" selectLockedCells="1" autoFilter="0" pivotTables="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0EC2-9AE3-4030-80B2-875486CBED6D}">
  <dimension ref="A1:O16"/>
  <sheetViews>
    <sheetView showGridLines="0" showRowColHeaders="0" zoomScale="145" zoomScaleNormal="145" workbookViewId="0">
      <selection activeCell="O10" sqref="O10"/>
    </sheetView>
  </sheetViews>
  <sheetFormatPr defaultColWidth="0" defaultRowHeight="20.100000000000001" customHeight="1" x14ac:dyDescent="0.25"/>
  <cols>
    <col min="1" max="14" width="12.7109375" style="2" customWidth="1"/>
    <col min="15" max="15" width="5.7109375" style="2" customWidth="1"/>
    <col min="16" max="16384" width="9.140625" style="2" hidden="1"/>
  </cols>
  <sheetData>
    <row r="1" spans="1:15" ht="9.9499999999999993" customHeight="1" x14ac:dyDescent="0.25"/>
    <row r="2" spans="1:15" ht="9.9499999999999993" customHeight="1" x14ac:dyDescent="0.25"/>
    <row r="3" spans="1:15" ht="20.100000000000001" customHeight="1" x14ac:dyDescent="0.25">
      <c r="A3" s="19" t="s">
        <v>46</v>
      </c>
      <c r="B3" s="19" t="s">
        <v>30</v>
      </c>
      <c r="O3" s="49"/>
    </row>
    <row r="4" spans="1:15" ht="20.100000000000001" customHeight="1" x14ac:dyDescent="0.25">
      <c r="A4" s="19" t="s">
        <v>28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29</v>
      </c>
    </row>
    <row r="5" spans="1:15" ht="20.100000000000001" customHeight="1" x14ac:dyDescent="0.25">
      <c r="A5" s="12" t="s">
        <v>4</v>
      </c>
      <c r="B5" s="4">
        <v>39.479999999999997</v>
      </c>
      <c r="C5" s="4">
        <v>61</v>
      </c>
      <c r="D5" s="4">
        <v>65.430000000000007</v>
      </c>
      <c r="E5" s="4">
        <v>163.66</v>
      </c>
      <c r="F5" s="4">
        <v>162.75</v>
      </c>
      <c r="G5" s="4">
        <v>156.13999999999999</v>
      </c>
      <c r="H5" s="4">
        <v>166</v>
      </c>
      <c r="I5" s="4">
        <v>162.75</v>
      </c>
      <c r="J5" s="4">
        <v>156.13999999999999</v>
      </c>
      <c r="K5" s="4">
        <v>166</v>
      </c>
      <c r="L5" s="4">
        <v>484.89</v>
      </c>
      <c r="M5" s="4">
        <v>162.75</v>
      </c>
      <c r="N5" s="4">
        <v>1946.99</v>
      </c>
    </row>
    <row r="6" spans="1:15" ht="20.100000000000001" customHeight="1" x14ac:dyDescent="0.25">
      <c r="A6" s="12" t="s">
        <v>3</v>
      </c>
      <c r="B6" s="4"/>
      <c r="C6" s="4"/>
      <c r="D6" s="4"/>
      <c r="E6" s="4"/>
      <c r="F6" s="4"/>
      <c r="G6" s="4"/>
      <c r="H6" s="4"/>
      <c r="I6" s="4"/>
      <c r="J6" s="4"/>
      <c r="K6" s="4">
        <v>166</v>
      </c>
      <c r="L6" s="4"/>
      <c r="M6" s="4"/>
      <c r="N6" s="4">
        <v>166</v>
      </c>
    </row>
    <row r="7" spans="1:15" ht="20.100000000000001" customHeight="1" x14ac:dyDescent="0.25">
      <c r="A7" s="12" t="s">
        <v>5</v>
      </c>
      <c r="B7" s="4"/>
      <c r="C7" s="4"/>
      <c r="D7" s="4"/>
      <c r="E7" s="4">
        <v>163.66</v>
      </c>
      <c r="F7" s="4"/>
      <c r="G7" s="4"/>
      <c r="H7" s="4"/>
      <c r="I7" s="4"/>
      <c r="J7" s="4">
        <v>156.13999999999999</v>
      </c>
      <c r="K7" s="4"/>
      <c r="L7" s="4"/>
      <c r="M7" s="4"/>
      <c r="N7" s="4">
        <v>319.79999999999995</v>
      </c>
    </row>
    <row r="8" spans="1:15" ht="20.100000000000001" customHeight="1" x14ac:dyDescent="0.25">
      <c r="A8" s="12" t="s">
        <v>6</v>
      </c>
      <c r="B8" s="4">
        <v>39.479999999999997</v>
      </c>
      <c r="C8" s="4"/>
      <c r="D8" s="4">
        <v>65.430000000000007</v>
      </c>
      <c r="E8" s="4"/>
      <c r="F8" s="4">
        <v>162.75</v>
      </c>
      <c r="G8" s="4"/>
      <c r="H8" s="4">
        <v>166</v>
      </c>
      <c r="I8" s="4"/>
      <c r="J8" s="4"/>
      <c r="K8" s="4"/>
      <c r="L8" s="4">
        <v>328.75</v>
      </c>
      <c r="M8" s="4"/>
      <c r="N8" s="4">
        <v>762.41</v>
      </c>
    </row>
    <row r="9" spans="1:15" ht="20.100000000000001" customHeight="1" x14ac:dyDescent="0.25">
      <c r="A9" s="12" t="s">
        <v>7</v>
      </c>
      <c r="B9" s="4"/>
      <c r="C9" s="4">
        <v>61</v>
      </c>
      <c r="D9" s="4"/>
      <c r="E9" s="4"/>
      <c r="F9" s="4"/>
      <c r="G9" s="4"/>
      <c r="H9" s="4"/>
      <c r="I9" s="4">
        <v>162.75</v>
      </c>
      <c r="J9" s="4"/>
      <c r="K9" s="4"/>
      <c r="L9" s="4"/>
      <c r="M9" s="4"/>
      <c r="N9" s="4">
        <v>223.75</v>
      </c>
    </row>
    <row r="10" spans="1:15" ht="20.100000000000001" customHeight="1" x14ac:dyDescent="0.25">
      <c r="A10" s="12" t="s">
        <v>13</v>
      </c>
      <c r="B10" s="4"/>
      <c r="C10" s="4"/>
      <c r="D10" s="4"/>
      <c r="E10" s="4"/>
      <c r="F10" s="4"/>
      <c r="G10" s="4">
        <v>156.13999999999999</v>
      </c>
      <c r="H10" s="4"/>
      <c r="I10" s="4"/>
      <c r="J10" s="4"/>
      <c r="K10" s="4"/>
      <c r="L10" s="4">
        <v>156.13999999999999</v>
      </c>
      <c r="M10" s="4">
        <v>162.75</v>
      </c>
      <c r="N10" s="4">
        <v>475.03</v>
      </c>
    </row>
    <row r="11" spans="1:15" ht="20.100000000000001" customHeight="1" x14ac:dyDescent="0.25">
      <c r="A11" s="12" t="s">
        <v>9</v>
      </c>
      <c r="B11" s="4">
        <v>217.66</v>
      </c>
      <c r="C11" s="4">
        <v>228.62</v>
      </c>
      <c r="D11" s="4">
        <v>358.32</v>
      </c>
      <c r="E11" s="4">
        <v>308.72000000000003</v>
      </c>
      <c r="F11" s="4">
        <v>433.18</v>
      </c>
      <c r="G11" s="4">
        <v>358.32</v>
      </c>
      <c r="H11" s="4">
        <v>308.72000000000003</v>
      </c>
      <c r="I11" s="4">
        <v>433.18</v>
      </c>
      <c r="J11" s="4">
        <v>357.29</v>
      </c>
      <c r="K11" s="4">
        <v>308.72000000000003</v>
      </c>
      <c r="L11" s="4">
        <v>1100.22</v>
      </c>
      <c r="M11" s="4">
        <v>433.18</v>
      </c>
      <c r="N11" s="4">
        <v>4846.1299999999992</v>
      </c>
    </row>
    <row r="12" spans="1:15" ht="20.100000000000001" customHeight="1" x14ac:dyDescent="0.25">
      <c r="A12" s="12" t="s">
        <v>8</v>
      </c>
      <c r="B12" s="4">
        <v>63</v>
      </c>
      <c r="C12" s="4">
        <v>75.709999999999994</v>
      </c>
      <c r="D12" s="4">
        <v>61</v>
      </c>
      <c r="E12" s="4">
        <v>37.44</v>
      </c>
      <c r="F12" s="4">
        <v>61</v>
      </c>
      <c r="G12" s="4">
        <v>61</v>
      </c>
      <c r="H12" s="4">
        <v>37.44</v>
      </c>
      <c r="I12" s="4">
        <v>61</v>
      </c>
      <c r="J12" s="4">
        <v>59.97</v>
      </c>
      <c r="K12" s="4">
        <v>37.44</v>
      </c>
      <c r="L12" s="4">
        <v>159.44</v>
      </c>
      <c r="M12" s="4">
        <v>61</v>
      </c>
      <c r="N12" s="4">
        <v>775.44</v>
      </c>
    </row>
    <row r="13" spans="1:15" ht="20.100000000000001" customHeight="1" x14ac:dyDescent="0.25">
      <c r="A13" s="12" t="s">
        <v>10</v>
      </c>
      <c r="B13" s="4">
        <v>81</v>
      </c>
      <c r="C13" s="4">
        <v>39.36</v>
      </c>
      <c r="D13" s="4">
        <v>99</v>
      </c>
      <c r="E13" s="4">
        <v>52.02</v>
      </c>
      <c r="F13" s="4">
        <v>180.6</v>
      </c>
      <c r="G13" s="4">
        <v>99</v>
      </c>
      <c r="H13" s="4">
        <v>52.02</v>
      </c>
      <c r="I13" s="4">
        <v>180.6</v>
      </c>
      <c r="J13" s="4">
        <v>99</v>
      </c>
      <c r="K13" s="4">
        <v>52.02</v>
      </c>
      <c r="L13" s="4">
        <v>331.62</v>
      </c>
      <c r="M13" s="4">
        <v>180.6</v>
      </c>
      <c r="N13" s="4">
        <v>1446.84</v>
      </c>
    </row>
    <row r="14" spans="1:15" ht="20.100000000000001" customHeight="1" x14ac:dyDescent="0.25">
      <c r="A14" s="12" t="s">
        <v>11</v>
      </c>
      <c r="B14" s="4">
        <v>38.89</v>
      </c>
      <c r="C14" s="4">
        <v>51.8</v>
      </c>
      <c r="D14" s="4">
        <v>99.9</v>
      </c>
      <c r="E14" s="4">
        <v>42.14</v>
      </c>
      <c r="F14" s="4">
        <v>38.4</v>
      </c>
      <c r="G14" s="4">
        <v>99.9</v>
      </c>
      <c r="H14" s="4">
        <v>42.14</v>
      </c>
      <c r="I14" s="4">
        <v>38.4</v>
      </c>
      <c r="J14" s="4">
        <v>99.9</v>
      </c>
      <c r="K14" s="4">
        <v>42.14</v>
      </c>
      <c r="L14" s="4">
        <v>180.44</v>
      </c>
      <c r="M14" s="4">
        <v>38.4</v>
      </c>
      <c r="N14" s="4">
        <v>812.44999999999993</v>
      </c>
    </row>
    <row r="15" spans="1:15" ht="20.100000000000001" customHeight="1" x14ac:dyDescent="0.25">
      <c r="A15" s="12" t="s">
        <v>12</v>
      </c>
      <c r="B15" s="4">
        <v>34.770000000000003</v>
      </c>
      <c r="C15" s="4">
        <v>61.75</v>
      </c>
      <c r="D15" s="4">
        <v>98.42</v>
      </c>
      <c r="E15" s="4">
        <v>177.12</v>
      </c>
      <c r="F15" s="4">
        <v>153.18</v>
      </c>
      <c r="G15" s="4">
        <v>98.42</v>
      </c>
      <c r="H15" s="4">
        <v>177.12</v>
      </c>
      <c r="I15" s="4">
        <v>153.18</v>
      </c>
      <c r="J15" s="4">
        <v>98.42</v>
      </c>
      <c r="K15" s="4">
        <v>177.12</v>
      </c>
      <c r="L15" s="4">
        <v>428.72</v>
      </c>
      <c r="M15" s="4">
        <v>153.18</v>
      </c>
      <c r="N15" s="4">
        <v>1811.4</v>
      </c>
    </row>
    <row r="16" spans="1:15" ht="20.100000000000001" customHeight="1" x14ac:dyDescent="0.25">
      <c r="A16" s="12" t="s">
        <v>29</v>
      </c>
      <c r="B16" s="4">
        <v>257.14</v>
      </c>
      <c r="C16" s="4">
        <v>289.62</v>
      </c>
      <c r="D16" s="4">
        <v>423.75000000000006</v>
      </c>
      <c r="E16" s="4">
        <v>472.38</v>
      </c>
      <c r="F16" s="4">
        <v>595.93000000000006</v>
      </c>
      <c r="G16" s="4">
        <v>514.45999999999992</v>
      </c>
      <c r="H16" s="4">
        <v>474.72</v>
      </c>
      <c r="I16" s="4">
        <v>595.93000000000006</v>
      </c>
      <c r="J16" s="4">
        <v>513.42999999999995</v>
      </c>
      <c r="K16" s="4">
        <v>474.72</v>
      </c>
      <c r="L16" s="4">
        <v>1585.11</v>
      </c>
      <c r="M16" s="4">
        <v>595.93000000000006</v>
      </c>
      <c r="N16" s="4">
        <v>6793.1200000000008</v>
      </c>
    </row>
  </sheetData>
  <sheetProtection sheet="1" objects="1" scenarios="1" selectLockedCells="1" autoFilter="0" pivotTables="0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BDBB-964C-43C3-8E85-953410374B6C}">
  <dimension ref="A1:J29"/>
  <sheetViews>
    <sheetView showGridLines="0" showRowColHeaders="0" zoomScale="250" zoomScaleNormal="250" workbookViewId="0">
      <selection activeCell="L1" sqref="L1:XFD1048576"/>
    </sheetView>
  </sheetViews>
  <sheetFormatPr defaultColWidth="0" defaultRowHeight="20.100000000000001" customHeight="1" x14ac:dyDescent="0.25"/>
  <cols>
    <col min="1" max="1" width="15.7109375" style="1" customWidth="1"/>
    <col min="2" max="2" width="15.7109375" style="2" customWidth="1"/>
    <col min="3" max="3" width="15.7109375" style="3" customWidth="1"/>
    <col min="4" max="5" width="15.7109375" style="5" customWidth="1"/>
    <col min="6" max="6" width="0" style="9" hidden="1" customWidth="1"/>
    <col min="7" max="10" width="0" style="8" hidden="1" customWidth="1"/>
    <col min="11" max="11" width="5.7109375" style="2" customWidth="1"/>
    <col min="12" max="16384" width="15.7109375" style="2" hidden="1"/>
  </cols>
  <sheetData>
    <row r="1" spans="1:10" ht="20.100000000000001" customHeight="1" x14ac:dyDescent="0.25">
      <c r="A1" s="16" t="s">
        <v>14</v>
      </c>
      <c r="B1" s="12" t="s">
        <v>15</v>
      </c>
      <c r="C1" s="14" t="s">
        <v>16</v>
      </c>
      <c r="D1" s="17" t="s">
        <v>17</v>
      </c>
      <c r="E1" s="17" t="s">
        <v>18</v>
      </c>
      <c r="F1" s="17" t="s">
        <v>19</v>
      </c>
      <c r="G1" s="18" t="s">
        <v>20</v>
      </c>
      <c r="H1" s="18" t="s">
        <v>21</v>
      </c>
      <c r="I1" s="18" t="s">
        <v>22</v>
      </c>
      <c r="J1" s="18" t="s">
        <v>23</v>
      </c>
    </row>
    <row r="2" spans="1:10" ht="20.100000000000001" customHeight="1" x14ac:dyDescent="0.25">
      <c r="A2" s="1">
        <v>43444</v>
      </c>
      <c r="B2" s="2" t="s">
        <v>6</v>
      </c>
      <c r="C2" s="3">
        <v>100</v>
      </c>
      <c r="D2" s="5">
        <v>7.51</v>
      </c>
      <c r="E2" s="5">
        <v>10</v>
      </c>
      <c r="F2" s="9">
        <f>Aportes[[#This Row],[Valor Unitário]]*Aportes[[#This Row],[Quantidade]] + Aportes[[#This Row],[Custo]]</f>
        <v>761</v>
      </c>
      <c r="G2" s="8" t="str">
        <f xml:space="preserve"> IF(Aportes[[#This Row],[Ativo]]="","",VLOOKUP(Aportes[[#This Row],[Ativo]],Ativos[],2,FALSE))</f>
        <v>EMPRESA</v>
      </c>
      <c r="H2" s="8">
        <f>YEAR(Aportes[[#This Row],[Data]])</f>
        <v>2018</v>
      </c>
      <c r="I2" s="8">
        <f>MONTH(Aportes[[#This Row],[Data]])</f>
        <v>12</v>
      </c>
      <c r="J2" s="8" t="str">
        <f>CONCATENATE(Aportes[[#This Row],[Ano]],"/",IF(Aportes[[#This Row],[Mês]]&lt;10,"0",""),Aportes[[#This Row],[Mês]])</f>
        <v>2018/12</v>
      </c>
    </row>
    <row r="3" spans="1:10" ht="20.100000000000001" customHeight="1" x14ac:dyDescent="0.25">
      <c r="A3" s="1">
        <v>43444</v>
      </c>
      <c r="B3" s="2" t="s">
        <v>3</v>
      </c>
      <c r="C3" s="3">
        <v>100</v>
      </c>
      <c r="D3" s="5">
        <v>8.23</v>
      </c>
      <c r="E3" s="5">
        <v>10</v>
      </c>
      <c r="F3" s="9">
        <f>Aportes[[#This Row],[Valor Unitário]]*Aportes[[#This Row],[Quantidade]] + Aportes[[#This Row],[Custo]]</f>
        <v>833</v>
      </c>
      <c r="G3" s="8" t="str">
        <f xml:space="preserve"> IF(Aportes[[#This Row],[Ativo]]="","",VLOOKUP(Aportes[[#This Row],[Ativo]],Ativos[],2,FALSE))</f>
        <v>EMPRESA</v>
      </c>
      <c r="H3" s="8">
        <f>YEAR(Aportes[[#This Row],[Data]])</f>
        <v>2018</v>
      </c>
      <c r="I3" s="8">
        <f>MONTH(Aportes[[#This Row],[Data]])</f>
        <v>12</v>
      </c>
      <c r="J3" s="8" t="str">
        <f>CONCATENATE(Aportes[[#This Row],[Ano]],"/",IF(Aportes[[#This Row],[Mês]]&lt;10,"0",""),Aportes[[#This Row],[Mês]])</f>
        <v>2018/12</v>
      </c>
    </row>
    <row r="4" spans="1:10" ht="20.100000000000001" customHeight="1" x14ac:dyDescent="0.25">
      <c r="A4" s="1">
        <v>43475</v>
      </c>
      <c r="B4" s="2" t="s">
        <v>7</v>
      </c>
      <c r="C4" s="3">
        <v>100</v>
      </c>
      <c r="D4" s="5">
        <v>16.34</v>
      </c>
      <c r="E4" s="5">
        <v>10</v>
      </c>
      <c r="F4" s="9">
        <f>Aportes[[#This Row],[Valor Unitário]]*Aportes[[#This Row],[Quantidade]] + Aportes[[#This Row],[Custo]]</f>
        <v>1644</v>
      </c>
      <c r="G4" s="8" t="str">
        <f xml:space="preserve"> IF(Aportes[[#This Row],[Ativo]]="","",VLOOKUP(Aportes[[#This Row],[Ativo]],Ativos[],2,FALSE))</f>
        <v>EMPRESA</v>
      </c>
      <c r="H4" s="8">
        <f>YEAR(Aportes[[#This Row],[Data]])</f>
        <v>2019</v>
      </c>
      <c r="I4" s="8">
        <f>MONTH(Aportes[[#This Row],[Data]])</f>
        <v>1</v>
      </c>
      <c r="J4" s="8" t="str">
        <f>CONCATENATE(Aportes[[#This Row],[Ano]],"/",IF(Aportes[[#This Row],[Mês]]&lt;10,"0",""),Aportes[[#This Row],[Mês]])</f>
        <v>2019/01</v>
      </c>
    </row>
    <row r="5" spans="1:10" ht="20.100000000000001" customHeight="1" x14ac:dyDescent="0.25">
      <c r="A5" s="1">
        <v>43475</v>
      </c>
      <c r="B5" s="2" t="s">
        <v>10</v>
      </c>
      <c r="C5" s="3">
        <v>5</v>
      </c>
      <c r="D5" s="5">
        <v>140.97999999999999</v>
      </c>
      <c r="E5" s="5">
        <v>0</v>
      </c>
      <c r="F5" s="9">
        <f>Aportes[[#This Row],[Valor Unitário]]*Aportes[[#This Row],[Quantidade]] + Aportes[[#This Row],[Custo]]</f>
        <v>704.9</v>
      </c>
      <c r="G5" s="8" t="str">
        <f xml:space="preserve"> IF(Aportes[[#This Row],[Ativo]]="","",VLOOKUP(Aportes[[#This Row],[Ativo]],Ativos[],2,FALSE))</f>
        <v>FII</v>
      </c>
      <c r="H5" s="8">
        <f>YEAR(Aportes[[#This Row],[Data]])</f>
        <v>2019</v>
      </c>
      <c r="I5" s="8">
        <f>MONTH(Aportes[[#This Row],[Data]])</f>
        <v>1</v>
      </c>
      <c r="J5" s="8" t="str">
        <f>CONCATENATE(Aportes[[#This Row],[Ano]],"/",IF(Aportes[[#This Row],[Mês]]&lt;10,"0",""),Aportes[[#This Row],[Mês]])</f>
        <v>2019/01</v>
      </c>
    </row>
    <row r="6" spans="1:10" ht="20.100000000000001" customHeight="1" x14ac:dyDescent="0.25">
      <c r="A6" s="1">
        <v>43506</v>
      </c>
      <c r="B6" s="2" t="s">
        <v>6</v>
      </c>
      <c r="C6" s="3">
        <v>100</v>
      </c>
      <c r="D6" s="5">
        <v>7.78</v>
      </c>
      <c r="E6" s="5">
        <v>10</v>
      </c>
      <c r="F6" s="9">
        <f>Aportes[[#This Row],[Valor Unitário]]*Aportes[[#This Row],[Quantidade]] + Aportes[[#This Row],[Custo]]</f>
        <v>788</v>
      </c>
      <c r="G6" s="8" t="str">
        <f xml:space="preserve"> IF(Aportes[[#This Row],[Ativo]]="","",VLOOKUP(Aportes[[#This Row],[Ativo]],Ativos[],2,FALSE))</f>
        <v>EMPRESA</v>
      </c>
      <c r="H6" s="8">
        <f>YEAR(Aportes[[#This Row],[Data]])</f>
        <v>2019</v>
      </c>
      <c r="I6" s="8">
        <f>MONTH(Aportes[[#This Row],[Data]])</f>
        <v>2</v>
      </c>
      <c r="J6" s="8" t="str">
        <f>CONCATENATE(Aportes[[#This Row],[Ano]],"/",IF(Aportes[[#This Row],[Mês]]&lt;10,"0",""),Aportes[[#This Row],[Mês]])</f>
        <v>2019/02</v>
      </c>
    </row>
    <row r="7" spans="1:10" ht="20.100000000000001" customHeight="1" x14ac:dyDescent="0.25">
      <c r="A7" s="1">
        <v>43506</v>
      </c>
      <c r="B7" s="2" t="s">
        <v>11</v>
      </c>
      <c r="C7" s="3">
        <v>8</v>
      </c>
      <c r="D7" s="5">
        <v>123.94</v>
      </c>
      <c r="E7" s="5">
        <v>0</v>
      </c>
      <c r="F7" s="9">
        <f>Aportes[[#This Row],[Valor Unitário]]*Aportes[[#This Row],[Quantidade]] + Aportes[[#This Row],[Custo]]</f>
        <v>991.52</v>
      </c>
      <c r="G7" s="8" t="str">
        <f xml:space="preserve"> IF(Aportes[[#This Row],[Ativo]]="","",VLOOKUP(Aportes[[#This Row],[Ativo]],Ativos[],2,FALSE))</f>
        <v>FII</v>
      </c>
      <c r="H7" s="8">
        <f>YEAR(Aportes[[#This Row],[Data]])</f>
        <v>2019</v>
      </c>
      <c r="I7" s="8">
        <f>MONTH(Aportes[[#This Row],[Data]])</f>
        <v>2</v>
      </c>
      <c r="J7" s="8" t="str">
        <f>CONCATENATE(Aportes[[#This Row],[Ano]],"/",IF(Aportes[[#This Row],[Mês]]&lt;10,"0",""),Aportes[[#This Row],[Mês]])</f>
        <v>2019/02</v>
      </c>
    </row>
    <row r="8" spans="1:10" ht="20.100000000000001" customHeight="1" x14ac:dyDescent="0.25">
      <c r="A8" s="1">
        <v>43534</v>
      </c>
      <c r="B8" s="2" t="s">
        <v>5</v>
      </c>
      <c r="C8" s="3">
        <v>100</v>
      </c>
      <c r="D8" s="5">
        <v>19.75</v>
      </c>
      <c r="E8" s="5">
        <v>10</v>
      </c>
      <c r="F8" s="9">
        <f>Aportes[[#This Row],[Valor Unitário]]*Aportes[[#This Row],[Quantidade]] + Aportes[[#This Row],[Custo]]</f>
        <v>1985</v>
      </c>
      <c r="G8" s="8" t="str">
        <f xml:space="preserve"> IF(Aportes[[#This Row],[Ativo]]="","",VLOOKUP(Aportes[[#This Row],[Ativo]],Ativos[],2,FALSE))</f>
        <v>EMPRESA</v>
      </c>
      <c r="H8" s="8">
        <f>YEAR(Aportes[[#This Row],[Data]])</f>
        <v>2019</v>
      </c>
      <c r="I8" s="8">
        <f>MONTH(Aportes[[#This Row],[Data]])</f>
        <v>3</v>
      </c>
      <c r="J8" s="8" t="str">
        <f>CONCATENATE(Aportes[[#This Row],[Ano]],"/",IF(Aportes[[#This Row],[Mês]]&lt;10,"0",""),Aportes[[#This Row],[Mês]])</f>
        <v>2019/03</v>
      </c>
    </row>
    <row r="9" spans="1:10" ht="20.100000000000001" customHeight="1" x14ac:dyDescent="0.25">
      <c r="A9" s="1">
        <v>43534</v>
      </c>
      <c r="B9" s="2" t="s">
        <v>8</v>
      </c>
      <c r="C9" s="3">
        <v>3</v>
      </c>
      <c r="D9" s="5">
        <v>183.82</v>
      </c>
      <c r="E9" s="5">
        <v>0</v>
      </c>
      <c r="F9" s="9">
        <f>Aportes[[#This Row],[Valor Unitário]]*Aportes[[#This Row],[Quantidade]] + Aportes[[#This Row],[Custo]]</f>
        <v>551.46</v>
      </c>
      <c r="G9" s="8" t="str">
        <f xml:space="preserve"> IF(Aportes[[#This Row],[Ativo]]="","",VLOOKUP(Aportes[[#This Row],[Ativo]],Ativos[],2,FALSE))</f>
        <v>FII</v>
      </c>
      <c r="H9" s="8">
        <f>YEAR(Aportes[[#This Row],[Data]])</f>
        <v>2019</v>
      </c>
      <c r="I9" s="8">
        <f>MONTH(Aportes[[#This Row],[Data]])</f>
        <v>3</v>
      </c>
      <c r="J9" s="8" t="str">
        <f>CONCATENATE(Aportes[[#This Row],[Ano]],"/",IF(Aportes[[#This Row],[Mês]]&lt;10,"0",""),Aportes[[#This Row],[Mês]])</f>
        <v>2019/03</v>
      </c>
    </row>
    <row r="10" spans="1:10" ht="20.100000000000001" customHeight="1" x14ac:dyDescent="0.25">
      <c r="A10" s="1">
        <v>43565</v>
      </c>
      <c r="B10" s="2" t="s">
        <v>10</v>
      </c>
      <c r="C10" s="3">
        <v>2</v>
      </c>
      <c r="D10" s="5">
        <v>121.34</v>
      </c>
      <c r="E10" s="5">
        <v>0</v>
      </c>
      <c r="F10" s="9">
        <f>Aportes[[#This Row],[Valor Unitário]]*Aportes[[#This Row],[Quantidade]] + Aportes[[#This Row],[Custo]]</f>
        <v>242.68</v>
      </c>
      <c r="G10" s="8" t="str">
        <f xml:space="preserve"> IF(Aportes[[#This Row],[Ativo]]="","",VLOOKUP(Aportes[[#This Row],[Ativo]],Ativos[],2,FALSE))</f>
        <v>FII</v>
      </c>
      <c r="H10" s="8">
        <f>YEAR(Aportes[[#This Row],[Data]])</f>
        <v>2019</v>
      </c>
      <c r="I10" s="8">
        <f>MONTH(Aportes[[#This Row],[Data]])</f>
        <v>4</v>
      </c>
      <c r="J10" s="8" t="str">
        <f>CONCATENATE(Aportes[[#This Row],[Ano]],"/",IF(Aportes[[#This Row],[Mês]]&lt;10,"0",""),Aportes[[#This Row],[Mês]])</f>
        <v>2019/04</v>
      </c>
    </row>
    <row r="11" spans="1:10" ht="20.100000000000001" customHeight="1" x14ac:dyDescent="0.25">
      <c r="A11" s="1">
        <v>43565</v>
      </c>
      <c r="B11" s="2" t="s">
        <v>12</v>
      </c>
      <c r="C11" s="3">
        <v>3</v>
      </c>
      <c r="D11" s="5">
        <v>131.05000000000001</v>
      </c>
      <c r="E11" s="5">
        <v>0</v>
      </c>
      <c r="F11" s="9">
        <f>Aportes[[#This Row],[Valor Unitário]]*Aportes[[#This Row],[Quantidade]] + Aportes[[#This Row],[Custo]]</f>
        <v>393.15000000000003</v>
      </c>
      <c r="G11" s="8" t="str">
        <f xml:space="preserve"> IF(Aportes[[#This Row],[Ativo]]="","",VLOOKUP(Aportes[[#This Row],[Ativo]],Ativos[],2,FALSE))</f>
        <v>FII</v>
      </c>
      <c r="H11" s="8">
        <f>YEAR(Aportes[[#This Row],[Data]])</f>
        <v>2019</v>
      </c>
      <c r="I11" s="8">
        <f>MONTH(Aportes[[#This Row],[Data]])</f>
        <v>4</v>
      </c>
      <c r="J11" s="8" t="str">
        <f>CONCATENATE(Aportes[[#This Row],[Ano]],"/",IF(Aportes[[#This Row],[Mês]]&lt;10,"0",""),Aportes[[#This Row],[Mês]])</f>
        <v>2019/04</v>
      </c>
    </row>
    <row r="12" spans="1:10" ht="20.100000000000001" customHeight="1" x14ac:dyDescent="0.25">
      <c r="A12" s="1">
        <v>43595</v>
      </c>
      <c r="B12" s="2" t="s">
        <v>3</v>
      </c>
      <c r="C12" s="3">
        <v>100</v>
      </c>
      <c r="D12" s="5">
        <v>9.4499999999999993</v>
      </c>
      <c r="E12" s="5">
        <v>10</v>
      </c>
      <c r="F12" s="9">
        <f>Aportes[[#This Row],[Valor Unitário]]*Aportes[[#This Row],[Quantidade]] + Aportes[[#This Row],[Custo]]</f>
        <v>954.99999999999989</v>
      </c>
      <c r="G12" s="8" t="str">
        <f xml:space="preserve"> IF(Aportes[[#This Row],[Ativo]]="","",VLOOKUP(Aportes[[#This Row],[Ativo]],Ativos[],2,FALSE))</f>
        <v>EMPRESA</v>
      </c>
      <c r="H12" s="8">
        <f>YEAR(Aportes[[#This Row],[Data]])</f>
        <v>2019</v>
      </c>
      <c r="I12" s="8">
        <f>MONTH(Aportes[[#This Row],[Data]])</f>
        <v>5</v>
      </c>
      <c r="J12" s="8" t="str">
        <f>CONCATENATE(Aportes[[#This Row],[Ano]],"/",IF(Aportes[[#This Row],[Mês]]&lt;10,"0",""),Aportes[[#This Row],[Mês]])</f>
        <v>2019/05</v>
      </c>
    </row>
    <row r="13" spans="1:10" ht="20.100000000000001" customHeight="1" x14ac:dyDescent="0.25">
      <c r="A13" s="1">
        <v>43595</v>
      </c>
      <c r="B13" s="2" t="s">
        <v>13</v>
      </c>
      <c r="C13" s="3">
        <v>100</v>
      </c>
      <c r="D13" s="5">
        <v>7.56</v>
      </c>
      <c r="E13" s="5">
        <v>10</v>
      </c>
      <c r="F13" s="9">
        <f>Aportes[[#This Row],[Valor Unitário]]*Aportes[[#This Row],[Quantidade]] + Aportes[[#This Row],[Custo]]</f>
        <v>766</v>
      </c>
      <c r="G13" s="8" t="str">
        <f xml:space="preserve"> IF(Aportes[[#This Row],[Ativo]]="","",VLOOKUP(Aportes[[#This Row],[Ativo]],Ativos[],2,FALSE))</f>
        <v>EMPRESA</v>
      </c>
      <c r="H13" s="8">
        <f>YEAR(Aportes[[#This Row],[Data]])</f>
        <v>2019</v>
      </c>
      <c r="I13" s="8">
        <f>MONTH(Aportes[[#This Row],[Data]])</f>
        <v>5</v>
      </c>
      <c r="J13" s="8" t="str">
        <f>CONCATENATE(Aportes[[#This Row],[Ano]],"/",IF(Aportes[[#This Row],[Mês]]&lt;10,"0",""),Aportes[[#This Row],[Mês]])</f>
        <v>2019/05</v>
      </c>
    </row>
    <row r="14" spans="1:10" ht="20.100000000000001" customHeight="1" x14ac:dyDescent="0.25">
      <c r="A14" s="1">
        <v>43626</v>
      </c>
      <c r="B14" s="2" t="s">
        <v>11</v>
      </c>
      <c r="C14" s="3">
        <v>5</v>
      </c>
      <c r="D14" s="5">
        <v>135.81</v>
      </c>
      <c r="E14" s="5">
        <v>0</v>
      </c>
      <c r="F14" s="9">
        <f>Aportes[[#This Row],[Valor Unitário]]*Aportes[[#This Row],[Quantidade]] + Aportes[[#This Row],[Custo]]</f>
        <v>679.05</v>
      </c>
      <c r="G14" s="8" t="str">
        <f xml:space="preserve"> IF(Aportes[[#This Row],[Ativo]]="","",VLOOKUP(Aportes[[#This Row],[Ativo]],Ativos[],2,FALSE))</f>
        <v>FII</v>
      </c>
      <c r="H14" s="8">
        <f>YEAR(Aportes[[#This Row],[Data]])</f>
        <v>2019</v>
      </c>
      <c r="I14" s="8">
        <f>MONTH(Aportes[[#This Row],[Data]])</f>
        <v>6</v>
      </c>
      <c r="J14" s="8" t="str">
        <f>CONCATENATE(Aportes[[#This Row],[Ano]],"/",IF(Aportes[[#This Row],[Mês]]&lt;10,"0",""),Aportes[[#This Row],[Mês]])</f>
        <v>2019/06</v>
      </c>
    </row>
    <row r="15" spans="1:10" ht="20.100000000000001" customHeight="1" x14ac:dyDescent="0.25">
      <c r="A15" s="1">
        <v>43626</v>
      </c>
      <c r="B15" s="2" t="s">
        <v>7</v>
      </c>
      <c r="C15" s="3">
        <v>100</v>
      </c>
      <c r="D15" s="5">
        <v>15.81</v>
      </c>
      <c r="E15" s="5">
        <v>10</v>
      </c>
      <c r="F15" s="9">
        <f>Aportes[[#This Row],[Valor Unitário]]*Aportes[[#This Row],[Quantidade]] + Aportes[[#This Row],[Custo]]</f>
        <v>1591</v>
      </c>
      <c r="G15" s="8" t="str">
        <f xml:space="preserve"> IF(Aportes[[#This Row],[Ativo]]="","",VLOOKUP(Aportes[[#This Row],[Ativo]],Ativos[],2,FALSE))</f>
        <v>EMPRESA</v>
      </c>
      <c r="H15" s="8">
        <f>YEAR(Aportes[[#This Row],[Data]])</f>
        <v>2019</v>
      </c>
      <c r="I15" s="8">
        <f>MONTH(Aportes[[#This Row],[Data]])</f>
        <v>6</v>
      </c>
      <c r="J15" s="8" t="str">
        <f>CONCATENATE(Aportes[[#This Row],[Ano]],"/",IF(Aportes[[#This Row],[Mês]]&lt;10,"0",""),Aportes[[#This Row],[Mês]])</f>
        <v>2019/06</v>
      </c>
    </row>
    <row r="16" spans="1:10" ht="20.100000000000001" customHeight="1" x14ac:dyDescent="0.25">
      <c r="A16" s="1">
        <v>43656</v>
      </c>
      <c r="B16" s="2" t="s">
        <v>5</v>
      </c>
      <c r="C16" s="3">
        <v>100</v>
      </c>
      <c r="D16" s="5">
        <v>20.32</v>
      </c>
      <c r="E16" s="5">
        <v>10</v>
      </c>
      <c r="F16" s="9">
        <f>Aportes[[#This Row],[Valor Unitário]]*Aportes[[#This Row],[Quantidade]] + Aportes[[#This Row],[Custo]]</f>
        <v>2042</v>
      </c>
      <c r="G16" s="8" t="str">
        <f xml:space="preserve"> IF(Aportes[[#This Row],[Ativo]]="","",VLOOKUP(Aportes[[#This Row],[Ativo]],Ativos[],2,FALSE))</f>
        <v>EMPRESA</v>
      </c>
      <c r="H16" s="8">
        <f>YEAR(Aportes[[#This Row],[Data]])</f>
        <v>2019</v>
      </c>
      <c r="I16" s="8">
        <f>MONTH(Aportes[[#This Row],[Data]])</f>
        <v>7</v>
      </c>
      <c r="J16" s="8" t="str">
        <f>CONCATENATE(Aportes[[#This Row],[Ano]],"/",IF(Aportes[[#This Row],[Mês]]&lt;10,"0",""),Aportes[[#This Row],[Mês]])</f>
        <v>2019/07</v>
      </c>
    </row>
    <row r="17" spans="1:10" ht="20.100000000000001" customHeight="1" x14ac:dyDescent="0.25">
      <c r="A17" s="1">
        <v>43656</v>
      </c>
      <c r="B17" s="2" t="s">
        <v>8</v>
      </c>
      <c r="C17" s="3">
        <v>1</v>
      </c>
      <c r="D17" s="5">
        <v>191.74</v>
      </c>
      <c r="E17" s="5">
        <v>0</v>
      </c>
      <c r="F17" s="9">
        <f>Aportes[[#This Row],[Valor Unitário]]*Aportes[[#This Row],[Quantidade]] + Aportes[[#This Row],[Custo]]</f>
        <v>191.74</v>
      </c>
      <c r="G17" s="8" t="str">
        <f xml:space="preserve"> IF(Aportes[[#This Row],[Ativo]]="","",VLOOKUP(Aportes[[#This Row],[Ativo]],Ativos[],2,FALSE))</f>
        <v>FII</v>
      </c>
      <c r="H17" s="8">
        <f>YEAR(Aportes[[#This Row],[Data]])</f>
        <v>2019</v>
      </c>
      <c r="I17" s="8">
        <f>MONTH(Aportes[[#This Row],[Data]])</f>
        <v>7</v>
      </c>
      <c r="J17" s="8" t="str">
        <f>CONCATENATE(Aportes[[#This Row],[Ano]],"/",IF(Aportes[[#This Row],[Mês]]&lt;10,"0",""),Aportes[[#This Row],[Mês]])</f>
        <v>2019/07</v>
      </c>
    </row>
    <row r="18" spans="1:10" ht="20.100000000000001" customHeight="1" x14ac:dyDescent="0.25">
      <c r="A18" s="1">
        <v>43687</v>
      </c>
      <c r="B18" s="2" t="s">
        <v>10</v>
      </c>
      <c r="C18" s="3">
        <v>7</v>
      </c>
      <c r="D18" s="5">
        <v>138.94</v>
      </c>
      <c r="E18" s="5">
        <v>0</v>
      </c>
      <c r="F18" s="9">
        <f>Aportes[[#This Row],[Valor Unitário]]*Aportes[[#This Row],[Quantidade]] + Aportes[[#This Row],[Custo]]</f>
        <v>972.57999999999993</v>
      </c>
      <c r="G18" s="8" t="str">
        <f xml:space="preserve"> IF(Aportes[[#This Row],[Ativo]]="","",VLOOKUP(Aportes[[#This Row],[Ativo]],Ativos[],2,FALSE))</f>
        <v>FII</v>
      </c>
      <c r="H18" s="8">
        <f>YEAR(Aportes[[#This Row],[Data]])</f>
        <v>2019</v>
      </c>
      <c r="I18" s="8">
        <f>MONTH(Aportes[[#This Row],[Data]])</f>
        <v>8</v>
      </c>
      <c r="J18" s="8" t="str">
        <f>CONCATENATE(Aportes[[#This Row],[Ano]],"/",IF(Aportes[[#This Row],[Mês]]&lt;10,"0",""),Aportes[[#This Row],[Mês]])</f>
        <v>2019/08</v>
      </c>
    </row>
    <row r="19" spans="1:10" ht="20.100000000000001" customHeight="1" x14ac:dyDescent="0.25">
      <c r="A19" s="1">
        <v>43687</v>
      </c>
      <c r="B19" s="2" t="s">
        <v>7</v>
      </c>
      <c r="C19" s="3">
        <v>100</v>
      </c>
      <c r="D19" s="5">
        <v>17.559999999999999</v>
      </c>
      <c r="E19" s="5">
        <v>10</v>
      </c>
      <c r="F19" s="9">
        <f>Aportes[[#This Row],[Valor Unitário]]*Aportes[[#This Row],[Quantidade]] + Aportes[[#This Row],[Custo]]</f>
        <v>1765.9999999999998</v>
      </c>
      <c r="G19" s="8" t="str">
        <f xml:space="preserve"> IF(Aportes[[#This Row],[Ativo]]="","",VLOOKUP(Aportes[[#This Row],[Ativo]],Ativos[],2,FALSE))</f>
        <v>EMPRESA</v>
      </c>
      <c r="H19" s="8">
        <f>YEAR(Aportes[[#This Row],[Data]])</f>
        <v>2019</v>
      </c>
      <c r="I19" s="8">
        <f>MONTH(Aportes[[#This Row],[Data]])</f>
        <v>8</v>
      </c>
      <c r="J19" s="8" t="str">
        <f>CONCATENATE(Aportes[[#This Row],[Ano]],"/",IF(Aportes[[#This Row],[Mês]]&lt;10,"0",""),Aportes[[#This Row],[Mês]])</f>
        <v>2019/08</v>
      </c>
    </row>
    <row r="20" spans="1:10" ht="20.100000000000001" customHeight="1" x14ac:dyDescent="0.25">
      <c r="A20" s="1">
        <v>43718</v>
      </c>
      <c r="B20" s="2" t="s">
        <v>3</v>
      </c>
      <c r="C20" s="3">
        <v>100</v>
      </c>
      <c r="D20" s="5">
        <v>10.119999999999999</v>
      </c>
      <c r="E20" s="5">
        <v>10</v>
      </c>
      <c r="F20" s="9">
        <f>Aportes[[#This Row],[Valor Unitário]]*Aportes[[#This Row],[Quantidade]] + Aportes[[#This Row],[Custo]]</f>
        <v>1021.9999999999999</v>
      </c>
      <c r="G20" s="8" t="str">
        <f xml:space="preserve"> IF(Aportes[[#This Row],[Ativo]]="","",VLOOKUP(Aportes[[#This Row],[Ativo]],Ativos[],2,FALSE))</f>
        <v>EMPRESA</v>
      </c>
      <c r="H20" s="8">
        <f>YEAR(Aportes[[#This Row],[Data]])</f>
        <v>2019</v>
      </c>
      <c r="I20" s="8">
        <f>MONTH(Aportes[[#This Row],[Data]])</f>
        <v>9</v>
      </c>
      <c r="J20" s="8" t="str">
        <f>CONCATENATE(Aportes[[#This Row],[Ano]],"/",IF(Aportes[[#This Row],[Mês]]&lt;10,"0",""),Aportes[[#This Row],[Mês]])</f>
        <v>2019/09</v>
      </c>
    </row>
    <row r="21" spans="1:10" ht="20.100000000000001" customHeight="1" x14ac:dyDescent="0.25">
      <c r="A21" s="1">
        <v>43718</v>
      </c>
      <c r="B21" s="2" t="s">
        <v>11</v>
      </c>
      <c r="C21" s="3">
        <v>2</v>
      </c>
      <c r="D21" s="5">
        <v>134.1</v>
      </c>
      <c r="E21" s="5">
        <v>0</v>
      </c>
      <c r="F21" s="9">
        <f>Aportes[[#This Row],[Valor Unitário]]*Aportes[[#This Row],[Quantidade]] + Aportes[[#This Row],[Custo]]</f>
        <v>268.2</v>
      </c>
      <c r="G21" s="8" t="str">
        <f xml:space="preserve"> IF(Aportes[[#This Row],[Ativo]]="","",VLOOKUP(Aportes[[#This Row],[Ativo]],Ativos[],2,FALSE))</f>
        <v>FII</v>
      </c>
      <c r="H21" s="8">
        <f>YEAR(Aportes[[#This Row],[Data]])</f>
        <v>2019</v>
      </c>
      <c r="I21" s="8">
        <f>MONTH(Aportes[[#This Row],[Data]])</f>
        <v>9</v>
      </c>
      <c r="J21" s="8" t="str">
        <f>CONCATENATE(Aportes[[#This Row],[Ano]],"/",IF(Aportes[[#This Row],[Mês]]&lt;10,"0",""),Aportes[[#This Row],[Mês]])</f>
        <v>2019/09</v>
      </c>
    </row>
    <row r="22" spans="1:10" ht="20.100000000000001" customHeight="1" x14ac:dyDescent="0.25">
      <c r="A22" s="1">
        <v>43748</v>
      </c>
      <c r="B22" s="2" t="s">
        <v>7</v>
      </c>
      <c r="C22" s="3">
        <v>100</v>
      </c>
      <c r="D22" s="5">
        <v>16.03</v>
      </c>
      <c r="E22" s="5">
        <v>10</v>
      </c>
      <c r="F22" s="9">
        <f>Aportes[[#This Row],[Valor Unitário]]*Aportes[[#This Row],[Quantidade]] + Aportes[[#This Row],[Custo]]</f>
        <v>1613</v>
      </c>
      <c r="G22" s="8" t="str">
        <f xml:space="preserve"> IF(Aportes[[#This Row],[Ativo]]="","",VLOOKUP(Aportes[[#This Row],[Ativo]],Ativos[],2,FALSE))</f>
        <v>EMPRESA</v>
      </c>
      <c r="H22" s="8">
        <f>YEAR(Aportes[[#This Row],[Data]])</f>
        <v>2019</v>
      </c>
      <c r="I22" s="8">
        <f>MONTH(Aportes[[#This Row],[Data]])</f>
        <v>10</v>
      </c>
      <c r="J22" s="8" t="str">
        <f>CONCATENATE(Aportes[[#This Row],[Ano]],"/",IF(Aportes[[#This Row],[Mês]]&lt;10,"0",""),Aportes[[#This Row],[Mês]])</f>
        <v>2019/10</v>
      </c>
    </row>
    <row r="23" spans="1:10" ht="20.100000000000001" customHeight="1" x14ac:dyDescent="0.25">
      <c r="A23" s="1">
        <v>43748</v>
      </c>
      <c r="B23" s="2" t="s">
        <v>8</v>
      </c>
      <c r="C23" s="3">
        <v>5</v>
      </c>
      <c r="D23" s="5">
        <v>194.23</v>
      </c>
      <c r="E23" s="5">
        <v>0</v>
      </c>
      <c r="F23" s="9">
        <f>Aportes[[#This Row],[Valor Unitário]]*Aportes[[#This Row],[Quantidade]] + Aportes[[#This Row],[Custo]]</f>
        <v>971.15</v>
      </c>
      <c r="G23" s="8" t="str">
        <f xml:space="preserve"> IF(Aportes[[#This Row],[Ativo]]="","",VLOOKUP(Aportes[[#This Row],[Ativo]],Ativos[],2,FALSE))</f>
        <v>FII</v>
      </c>
      <c r="H23" s="8">
        <f>YEAR(Aportes[[#This Row],[Data]])</f>
        <v>2019</v>
      </c>
      <c r="I23" s="8">
        <f>MONTH(Aportes[[#This Row],[Data]])</f>
        <v>10</v>
      </c>
      <c r="J23" s="8" t="str">
        <f>CONCATENATE(Aportes[[#This Row],[Ano]],"/",IF(Aportes[[#This Row],[Mês]]&lt;10,"0",""),Aportes[[#This Row],[Mês]])</f>
        <v>2019/10</v>
      </c>
    </row>
    <row r="24" spans="1:10" ht="20.100000000000001" customHeight="1" x14ac:dyDescent="0.25">
      <c r="A24" s="1">
        <v>43779</v>
      </c>
      <c r="B24" s="2" t="s">
        <v>6</v>
      </c>
      <c r="C24" s="3">
        <v>100</v>
      </c>
      <c r="D24" s="5">
        <v>9.5299999999999994</v>
      </c>
      <c r="E24" s="5">
        <v>10</v>
      </c>
      <c r="F24" s="9">
        <f>Aportes[[#This Row],[Valor Unitário]]*Aportes[[#This Row],[Quantidade]] + Aportes[[#This Row],[Custo]]</f>
        <v>962.99999999999989</v>
      </c>
      <c r="G24" s="8" t="str">
        <f xml:space="preserve"> IF(Aportes[[#This Row],[Ativo]]="","",VLOOKUP(Aportes[[#This Row],[Ativo]],Ativos[],2,FALSE))</f>
        <v>EMPRESA</v>
      </c>
      <c r="H24" s="8">
        <f>YEAR(Aportes[[#This Row],[Data]])</f>
        <v>2019</v>
      </c>
      <c r="I24" s="8">
        <f>MONTH(Aportes[[#This Row],[Data]])</f>
        <v>11</v>
      </c>
      <c r="J24" s="8" t="str">
        <f>CONCATENATE(Aportes[[#This Row],[Ano]],"/",IF(Aportes[[#This Row],[Mês]]&lt;10,"0",""),Aportes[[#This Row],[Mês]])</f>
        <v>2019/11</v>
      </c>
    </row>
    <row r="25" spans="1:10" ht="20.100000000000001" customHeight="1" x14ac:dyDescent="0.25">
      <c r="A25" s="1">
        <v>43779</v>
      </c>
      <c r="B25" s="2" t="s">
        <v>10</v>
      </c>
      <c r="C25" s="3">
        <v>3</v>
      </c>
      <c r="D25" s="5">
        <v>143.55000000000001</v>
      </c>
      <c r="E25" s="5">
        <v>0</v>
      </c>
      <c r="F25" s="9">
        <f>Aportes[[#This Row],[Valor Unitário]]*Aportes[[#This Row],[Quantidade]] + Aportes[[#This Row],[Custo]]</f>
        <v>430.65000000000003</v>
      </c>
      <c r="G25" s="8" t="str">
        <f xml:space="preserve"> IF(Aportes[[#This Row],[Ativo]]="","",VLOOKUP(Aportes[[#This Row],[Ativo]],Ativos[],2,FALSE))</f>
        <v>FII</v>
      </c>
      <c r="H25" s="8">
        <f>YEAR(Aportes[[#This Row],[Data]])</f>
        <v>2019</v>
      </c>
      <c r="I25" s="8">
        <f>MONTH(Aportes[[#This Row],[Data]])</f>
        <v>11</v>
      </c>
      <c r="J25" s="8" t="str">
        <f>CONCATENATE(Aportes[[#This Row],[Ano]],"/",IF(Aportes[[#This Row],[Mês]]&lt;10,"0",""),Aportes[[#This Row],[Mês]])</f>
        <v>2019/11</v>
      </c>
    </row>
    <row r="26" spans="1:10" ht="20.100000000000001" customHeight="1" x14ac:dyDescent="0.25">
      <c r="A26" s="1">
        <v>43809</v>
      </c>
      <c r="B26" s="2" t="s">
        <v>12</v>
      </c>
      <c r="C26" s="3">
        <v>5</v>
      </c>
      <c r="D26" s="5">
        <v>143.22999999999999</v>
      </c>
      <c r="E26" s="5">
        <v>0</v>
      </c>
      <c r="F26" s="9">
        <f>Aportes[[#This Row],[Valor Unitário]]*Aportes[[#This Row],[Quantidade]] + Aportes[[#This Row],[Custo]]</f>
        <v>716.15</v>
      </c>
      <c r="G26" s="8" t="str">
        <f xml:space="preserve"> IF(Aportes[[#This Row],[Ativo]]="","",VLOOKUP(Aportes[[#This Row],[Ativo]],Ativos[],2,FALSE))</f>
        <v>FII</v>
      </c>
      <c r="H26" s="8">
        <f>YEAR(Aportes[[#This Row],[Data]])</f>
        <v>2019</v>
      </c>
      <c r="I26" s="8">
        <f>MONTH(Aportes[[#This Row],[Data]])</f>
        <v>12</v>
      </c>
      <c r="J26" s="8" t="str">
        <f>CONCATENATE(Aportes[[#This Row],[Ano]],"/",IF(Aportes[[#This Row],[Mês]]&lt;10,"0",""),Aportes[[#This Row],[Mês]])</f>
        <v>2019/12</v>
      </c>
    </row>
    <row r="27" spans="1:10" ht="20.100000000000001" customHeight="1" x14ac:dyDescent="0.25">
      <c r="A27" s="1">
        <v>43809</v>
      </c>
      <c r="B27" s="2" t="s">
        <v>13</v>
      </c>
      <c r="C27" s="3">
        <v>100</v>
      </c>
      <c r="D27" s="5">
        <v>8.59</v>
      </c>
      <c r="E27" s="5">
        <v>10</v>
      </c>
      <c r="F27" s="9">
        <f>Aportes[[#This Row],[Valor Unitário]]*Aportes[[#This Row],[Quantidade]] + Aportes[[#This Row],[Custo]]</f>
        <v>869</v>
      </c>
      <c r="G27" s="8" t="str">
        <f xml:space="preserve"> IF(Aportes[[#This Row],[Ativo]]="","",VLOOKUP(Aportes[[#This Row],[Ativo]],Ativos[],2,FALSE))</f>
        <v>EMPRESA</v>
      </c>
      <c r="H27" s="8">
        <f>YEAR(Aportes[[#This Row],[Data]])</f>
        <v>2019</v>
      </c>
      <c r="I27" s="8">
        <f>MONTH(Aportes[[#This Row],[Data]])</f>
        <v>12</v>
      </c>
      <c r="J27" s="8" t="str">
        <f>CONCATENATE(Aportes[[#This Row],[Ano]],"/",IF(Aportes[[#This Row],[Mês]]&lt;10,"0",""),Aportes[[#This Row],[Mês]])</f>
        <v>2019/12</v>
      </c>
    </row>
    <row r="28" spans="1:10" ht="20.100000000000001" customHeight="1" x14ac:dyDescent="0.25">
      <c r="A28" s="1">
        <v>43840</v>
      </c>
      <c r="B28" s="2" t="s">
        <v>12</v>
      </c>
      <c r="C28" s="3">
        <v>10</v>
      </c>
      <c r="D28" s="5">
        <v>152.6</v>
      </c>
      <c r="E28" s="5">
        <v>0</v>
      </c>
      <c r="F28" s="9">
        <f>Aportes[[#This Row],[Valor Unitário]]*Aportes[[#This Row],[Quantidade]] + Aportes[[#This Row],[Custo]]</f>
        <v>1526</v>
      </c>
      <c r="G28" s="8" t="str">
        <f xml:space="preserve"> IF(Aportes[[#This Row],[Ativo]]="","",VLOOKUP(Aportes[[#This Row],[Ativo]],Ativos[],2,FALSE))</f>
        <v>FII</v>
      </c>
      <c r="H28" s="8">
        <f>YEAR(Aportes[[#This Row],[Data]])</f>
        <v>2020</v>
      </c>
      <c r="I28" s="8">
        <f>MONTH(Aportes[[#This Row],[Data]])</f>
        <v>1</v>
      </c>
      <c r="J28" s="8" t="str">
        <f>CONCATENATE(Aportes[[#This Row],[Ano]],"/",IF(Aportes[[#This Row],[Mês]]&lt;10,"0",""),Aportes[[#This Row],[Mês]])</f>
        <v>2020/01</v>
      </c>
    </row>
    <row r="29" spans="1:10" ht="20.100000000000001" customHeight="1" x14ac:dyDescent="0.25">
      <c r="A29" s="1">
        <v>43840</v>
      </c>
      <c r="B29" s="2" t="s">
        <v>11</v>
      </c>
      <c r="C29" s="3">
        <v>4</v>
      </c>
      <c r="D29" s="5">
        <v>138.44999999999999</v>
      </c>
      <c r="E29" s="5">
        <v>0</v>
      </c>
      <c r="F29" s="9">
        <f>Aportes[[#This Row],[Valor Unitário]]*Aportes[[#This Row],[Quantidade]] + Aportes[[#This Row],[Custo]]</f>
        <v>553.79999999999995</v>
      </c>
      <c r="G29" s="8" t="str">
        <f xml:space="preserve"> IF(Aportes[[#This Row],[Ativo]]="","",VLOOKUP(Aportes[[#This Row],[Ativo]],Ativos[],2,FALSE))</f>
        <v>FII</v>
      </c>
      <c r="H29" s="8">
        <f>YEAR(Aportes[[#This Row],[Data]])</f>
        <v>2020</v>
      </c>
      <c r="I29" s="8">
        <f>MONTH(Aportes[[#This Row],[Data]])</f>
        <v>1</v>
      </c>
      <c r="J29" s="8" t="str">
        <f>CONCATENATE(Aportes[[#This Row],[Ano]],"/",IF(Aportes[[#This Row],[Mês]]&lt;10,"0",""),Aportes[[#This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60B5-6A72-4A19-8AFF-5E0A6407B0B6}">
  <dimension ref="A1:I71"/>
  <sheetViews>
    <sheetView showGridLines="0" showRowColHeaders="0" zoomScale="175" zoomScaleNormal="175" workbookViewId="0">
      <selection activeCell="K1" sqref="K1:XFD1048576"/>
    </sheetView>
  </sheetViews>
  <sheetFormatPr defaultColWidth="0" defaultRowHeight="20.100000000000001" customHeight="1" x14ac:dyDescent="0.25"/>
  <cols>
    <col min="1" max="1" width="15.7109375" style="3" customWidth="1"/>
    <col min="2" max="2" width="15.7109375" style="2" customWidth="1"/>
    <col min="3" max="3" width="15.7109375" style="3" customWidth="1"/>
    <col min="4" max="6" width="15.7109375" style="10" customWidth="1"/>
    <col min="7" max="7" width="15.7109375" style="13" customWidth="1"/>
    <col min="8" max="8" width="15.7109375" style="7" customWidth="1"/>
    <col min="9" max="9" width="15.7109375" style="12" customWidth="1"/>
    <col min="10" max="10" width="5.7109375" style="2" customWidth="1"/>
    <col min="11" max="16384" width="9.140625" style="2" hidden="1"/>
  </cols>
  <sheetData>
    <row r="1" spans="1:9" ht="20.100000000000001" customHeight="1" x14ac:dyDescent="0.25">
      <c r="A1" s="14" t="s">
        <v>24</v>
      </c>
      <c r="B1" s="12" t="s">
        <v>15</v>
      </c>
      <c r="C1" s="14" t="s">
        <v>16</v>
      </c>
      <c r="D1" s="15" t="s">
        <v>25</v>
      </c>
      <c r="E1" s="15" t="s">
        <v>26</v>
      </c>
      <c r="F1" s="15" t="s">
        <v>27</v>
      </c>
      <c r="G1" s="16" t="s">
        <v>14</v>
      </c>
      <c r="H1" s="12" t="s">
        <v>23</v>
      </c>
      <c r="I1" s="12" t="s">
        <v>20</v>
      </c>
    </row>
    <row r="2" spans="1:9" ht="20.100000000000001" customHeight="1" x14ac:dyDescent="0.25">
      <c r="A2" s="3">
        <v>13</v>
      </c>
      <c r="B2" s="2" t="s">
        <v>6</v>
      </c>
      <c r="C2" s="3">
        <v>100</v>
      </c>
      <c r="D2" s="10">
        <v>39.479999999999997</v>
      </c>
      <c r="E2" s="10">
        <v>0</v>
      </c>
      <c r="F2" s="10">
        <v>39.479999999999997</v>
      </c>
      <c r="G2" s="22">
        <v>43449</v>
      </c>
      <c r="H2" s="6" t="str">
        <f>CONCATENATE(YEAR(Proventos[[#This Row],[Data]]),"/",IF(MONTH(Proventos[[#This Row],[Data]])&lt;10,"0",""),MONTH(Proventos[[#This Row],[Data]]))</f>
        <v>2018/12</v>
      </c>
      <c r="I2" s="12" t="str">
        <f xml:space="preserve"> IF(Proventos[[#This Row],[Ativo]]="","",VLOOKUP(Proventos[[#This Row],[Ativo]],Ativos[],2,FALSE))</f>
        <v>EMPRESA</v>
      </c>
    </row>
    <row r="3" spans="1:9" ht="20.100000000000001" customHeight="1" x14ac:dyDescent="0.25">
      <c r="A3" s="3">
        <v>14</v>
      </c>
      <c r="B3" s="2" t="s">
        <v>8</v>
      </c>
      <c r="C3" s="3">
        <v>100</v>
      </c>
      <c r="D3" s="10">
        <v>63</v>
      </c>
      <c r="E3" s="10">
        <v>0</v>
      </c>
      <c r="F3" s="10">
        <v>63</v>
      </c>
      <c r="G3" s="22">
        <v>43451</v>
      </c>
      <c r="H3" s="6" t="str">
        <f>CONCATENATE(YEAR(Proventos[[#This Row],[Data]]),"/",IF(MONTH(Proventos[[#This Row],[Data]])&lt;10,"0",""),MONTH(Proventos[[#This Row],[Data]]))</f>
        <v>2018/12</v>
      </c>
      <c r="I3" s="12" t="str">
        <f xml:space="preserve"> IF(Proventos[[#This Row],[Ativo]]="","",VLOOKUP(Proventos[[#This Row],[Ativo]],Ativos[],2,FALSE))</f>
        <v>FII</v>
      </c>
    </row>
    <row r="4" spans="1:9" ht="20.100000000000001" customHeight="1" x14ac:dyDescent="0.25">
      <c r="A4" s="3">
        <v>14</v>
      </c>
      <c r="B4" s="2" t="s">
        <v>10</v>
      </c>
      <c r="C4" s="3">
        <v>100</v>
      </c>
      <c r="D4" s="10">
        <v>81</v>
      </c>
      <c r="E4" s="10">
        <v>0</v>
      </c>
      <c r="F4" s="10">
        <v>81</v>
      </c>
      <c r="G4" s="22">
        <v>43451</v>
      </c>
      <c r="H4" s="6" t="str">
        <f>CONCATENATE(YEAR(Proventos[[#This Row],[Data]]),"/",IF(MONTH(Proventos[[#This Row],[Data]])&lt;10,"0",""),MONTH(Proventos[[#This Row],[Data]]))</f>
        <v>2018/12</v>
      </c>
      <c r="I4" s="12" t="str">
        <f xml:space="preserve"> IF(Proventos[[#This Row],[Ativo]]="","",VLOOKUP(Proventos[[#This Row],[Ativo]],Ativos[],2,FALSE))</f>
        <v>FII</v>
      </c>
    </row>
    <row r="5" spans="1:9" ht="20.100000000000001" customHeight="1" x14ac:dyDescent="0.25">
      <c r="A5" s="3">
        <v>14</v>
      </c>
      <c r="B5" s="2" t="s">
        <v>11</v>
      </c>
      <c r="C5" s="3">
        <v>100</v>
      </c>
      <c r="D5" s="10">
        <v>38.89</v>
      </c>
      <c r="E5" s="10">
        <v>0</v>
      </c>
      <c r="F5" s="10">
        <v>38.89</v>
      </c>
      <c r="G5" s="22">
        <v>43451</v>
      </c>
      <c r="H5" s="6" t="str">
        <f>CONCATENATE(YEAR(Proventos[[#This Row],[Data]]),"/",IF(MONTH(Proventos[[#This Row],[Data]])&lt;10,"0",""),MONTH(Proventos[[#This Row],[Data]]))</f>
        <v>2018/12</v>
      </c>
      <c r="I5" s="12" t="str">
        <f xml:space="preserve"> IF(Proventos[[#This Row],[Ativo]]="","",VLOOKUP(Proventos[[#This Row],[Ativo]],Ativos[],2,FALSE))</f>
        <v>FII</v>
      </c>
    </row>
    <row r="6" spans="1:9" ht="20.100000000000001" customHeight="1" x14ac:dyDescent="0.25">
      <c r="A6" s="3">
        <v>14</v>
      </c>
      <c r="B6" s="2" t="s">
        <v>12</v>
      </c>
      <c r="C6" s="3">
        <v>100</v>
      </c>
      <c r="D6" s="10">
        <v>34.770000000000003</v>
      </c>
      <c r="E6" s="10">
        <v>0</v>
      </c>
      <c r="F6" s="10">
        <v>34.770000000000003</v>
      </c>
      <c r="G6" s="22">
        <v>43451</v>
      </c>
      <c r="H6" s="6" t="str">
        <f>CONCATENATE(YEAR(Proventos[[#This Row],[Data]]),"/",IF(MONTH(Proventos[[#This Row],[Data]])&lt;10,"0",""),MONTH(Proventos[[#This Row],[Data]]))</f>
        <v>2018/12</v>
      </c>
      <c r="I6" s="12" t="str">
        <f xml:space="preserve"> IF(Proventos[[#This Row],[Ativo]]="","",VLOOKUP(Proventos[[#This Row],[Ativo]],Ativos[],2,FALSE))</f>
        <v>FII</v>
      </c>
    </row>
    <row r="7" spans="1:9" ht="20.100000000000001" customHeight="1" x14ac:dyDescent="0.25">
      <c r="A7" s="3">
        <v>13</v>
      </c>
      <c r="B7" s="2" t="s">
        <v>7</v>
      </c>
      <c r="C7" s="3">
        <v>100</v>
      </c>
      <c r="D7" s="10">
        <v>67</v>
      </c>
      <c r="E7" s="10">
        <v>6</v>
      </c>
      <c r="F7" s="10">
        <v>61</v>
      </c>
      <c r="G7" s="22">
        <v>43480</v>
      </c>
      <c r="H7" s="6" t="str">
        <f>CONCATENATE(YEAR(Proventos[[#This Row],[Data]]),"/",IF(MONTH(Proventos[[#This Row],[Data]])&lt;10,"0",""),MONTH(Proventos[[#This Row],[Data]]))</f>
        <v>2019/01</v>
      </c>
      <c r="I7" s="12" t="str">
        <f xml:space="preserve"> IF(Proventos[[#This Row],[Ativo]]="","",VLOOKUP(Proventos[[#This Row],[Ativo]],Ativos[],2,FALSE))</f>
        <v>EMPRESA</v>
      </c>
    </row>
    <row r="8" spans="1:9" ht="20.100000000000001" customHeight="1" x14ac:dyDescent="0.25">
      <c r="A8" s="3">
        <v>14</v>
      </c>
      <c r="B8" s="2" t="s">
        <v>8</v>
      </c>
      <c r="C8" s="3">
        <v>100</v>
      </c>
      <c r="D8" s="10">
        <v>75.709999999999994</v>
      </c>
      <c r="E8" s="10">
        <v>0</v>
      </c>
      <c r="F8" s="10">
        <v>75.709999999999994</v>
      </c>
      <c r="G8" s="22">
        <v>43482</v>
      </c>
      <c r="H8" s="6" t="str">
        <f>CONCATENATE(YEAR(Proventos[[#This Row],[Data]]),"/",IF(MONTH(Proventos[[#This Row],[Data]])&lt;10,"0",""),MONTH(Proventos[[#This Row],[Data]]))</f>
        <v>2019/01</v>
      </c>
      <c r="I8" s="12" t="str">
        <f xml:space="preserve"> IF(Proventos[[#This Row],[Ativo]]="","",VLOOKUP(Proventos[[#This Row],[Ativo]],Ativos[],2,FALSE))</f>
        <v>FII</v>
      </c>
    </row>
    <row r="9" spans="1:9" ht="20.100000000000001" customHeight="1" x14ac:dyDescent="0.25">
      <c r="A9" s="3">
        <v>14</v>
      </c>
      <c r="B9" s="2" t="s">
        <v>10</v>
      </c>
      <c r="C9" s="3">
        <v>100</v>
      </c>
      <c r="D9" s="10">
        <v>39.36</v>
      </c>
      <c r="E9" s="10">
        <v>0</v>
      </c>
      <c r="F9" s="10">
        <v>39.36</v>
      </c>
      <c r="G9" s="22">
        <v>43482</v>
      </c>
      <c r="H9" s="6" t="str">
        <f>CONCATENATE(YEAR(Proventos[[#This Row],[Data]]),"/",IF(MONTH(Proventos[[#This Row],[Data]])&lt;10,"0",""),MONTH(Proventos[[#This Row],[Data]]))</f>
        <v>2019/01</v>
      </c>
      <c r="I9" s="12" t="str">
        <f xml:space="preserve"> IF(Proventos[[#This Row],[Ativo]]="","",VLOOKUP(Proventos[[#This Row],[Ativo]],Ativos[],2,FALSE))</f>
        <v>FII</v>
      </c>
    </row>
    <row r="10" spans="1:9" ht="20.100000000000001" customHeight="1" x14ac:dyDescent="0.25">
      <c r="A10" s="3">
        <v>14</v>
      </c>
      <c r="B10" s="2" t="s">
        <v>11</v>
      </c>
      <c r="C10" s="3">
        <v>100</v>
      </c>
      <c r="D10" s="10">
        <v>51.8</v>
      </c>
      <c r="E10" s="10">
        <v>0</v>
      </c>
      <c r="F10" s="10">
        <v>51.8</v>
      </c>
      <c r="G10" s="22">
        <v>43482</v>
      </c>
      <c r="H10" s="6" t="str">
        <f>CONCATENATE(YEAR(Proventos[[#This Row],[Data]]),"/",IF(MONTH(Proventos[[#This Row],[Data]])&lt;10,"0",""),MONTH(Proventos[[#This Row],[Data]]))</f>
        <v>2019/01</v>
      </c>
      <c r="I10" s="12" t="str">
        <f xml:space="preserve"> IF(Proventos[[#This Row],[Ativo]]="","",VLOOKUP(Proventos[[#This Row],[Ativo]],Ativos[],2,FALSE))</f>
        <v>FII</v>
      </c>
    </row>
    <row r="11" spans="1:9" ht="20.100000000000001" customHeight="1" x14ac:dyDescent="0.25">
      <c r="A11" s="3">
        <v>14</v>
      </c>
      <c r="B11" s="2" t="s">
        <v>12</v>
      </c>
      <c r="C11" s="3">
        <v>100</v>
      </c>
      <c r="D11" s="10">
        <v>61.75</v>
      </c>
      <c r="E11" s="10">
        <v>0</v>
      </c>
      <c r="F11" s="10">
        <v>61.75</v>
      </c>
      <c r="G11" s="22">
        <v>43482</v>
      </c>
      <c r="H11" s="6" t="str">
        <f>CONCATENATE(YEAR(Proventos[[#This Row],[Data]]),"/",IF(MONTH(Proventos[[#This Row],[Data]])&lt;10,"0",""),MONTH(Proventos[[#This Row],[Data]]))</f>
        <v>2019/01</v>
      </c>
      <c r="I11" s="12" t="str">
        <f xml:space="preserve"> IF(Proventos[[#This Row],[Ativo]]="","",VLOOKUP(Proventos[[#This Row],[Ativo]],Ativos[],2,FALSE))</f>
        <v>FII</v>
      </c>
    </row>
    <row r="12" spans="1:9" ht="20.100000000000001" customHeight="1" x14ac:dyDescent="0.25">
      <c r="A12" s="3">
        <v>13</v>
      </c>
      <c r="B12" s="2" t="s">
        <v>6</v>
      </c>
      <c r="C12" s="3">
        <v>100</v>
      </c>
      <c r="D12" s="10">
        <v>65.430000000000007</v>
      </c>
      <c r="E12" s="10">
        <v>0</v>
      </c>
      <c r="F12" s="10">
        <v>65.430000000000007</v>
      </c>
      <c r="G12" s="22">
        <v>43511</v>
      </c>
      <c r="H12" s="6" t="str">
        <f>CONCATENATE(YEAR(Proventos[[#This Row],[Data]]),"/",IF(MONTH(Proventos[[#This Row],[Data]])&lt;10,"0",""),MONTH(Proventos[[#This Row],[Data]]))</f>
        <v>2019/02</v>
      </c>
      <c r="I12" s="12" t="str">
        <f xml:space="preserve"> IF(Proventos[[#This Row],[Ativo]]="","",VLOOKUP(Proventos[[#This Row],[Ativo]],Ativos[],2,FALSE))</f>
        <v>EMPRESA</v>
      </c>
    </row>
    <row r="13" spans="1:9" ht="20.100000000000001" customHeight="1" x14ac:dyDescent="0.25">
      <c r="A13" s="3">
        <v>14</v>
      </c>
      <c r="B13" s="2" t="s">
        <v>8</v>
      </c>
      <c r="C13" s="3">
        <v>100</v>
      </c>
      <c r="D13" s="10">
        <v>61</v>
      </c>
      <c r="E13" s="10">
        <v>0</v>
      </c>
      <c r="F13" s="10">
        <v>61</v>
      </c>
      <c r="G13" s="22">
        <v>43513</v>
      </c>
      <c r="H13" s="6" t="str">
        <f>CONCATENATE(YEAR(Proventos[[#This Row],[Data]]),"/",IF(MONTH(Proventos[[#This Row],[Data]])&lt;10,"0",""),MONTH(Proventos[[#This Row],[Data]]))</f>
        <v>2019/02</v>
      </c>
      <c r="I13" s="12" t="str">
        <f xml:space="preserve"> IF(Proventos[[#This Row],[Ativo]]="","",VLOOKUP(Proventos[[#This Row],[Ativo]],Ativos[],2,FALSE))</f>
        <v>FII</v>
      </c>
    </row>
    <row r="14" spans="1:9" ht="20.100000000000001" customHeight="1" x14ac:dyDescent="0.25">
      <c r="A14" s="3">
        <v>14</v>
      </c>
      <c r="B14" s="2" t="s">
        <v>10</v>
      </c>
      <c r="C14" s="3">
        <v>100</v>
      </c>
      <c r="D14" s="10">
        <v>99</v>
      </c>
      <c r="E14" s="10">
        <v>0</v>
      </c>
      <c r="F14" s="10">
        <v>99</v>
      </c>
      <c r="G14" s="22">
        <v>43513</v>
      </c>
      <c r="H14" s="6" t="str">
        <f>CONCATENATE(YEAR(Proventos[[#This Row],[Data]]),"/",IF(MONTH(Proventos[[#This Row],[Data]])&lt;10,"0",""),MONTH(Proventos[[#This Row],[Data]]))</f>
        <v>2019/02</v>
      </c>
      <c r="I14" s="12" t="str">
        <f xml:space="preserve"> IF(Proventos[[#This Row],[Ativo]]="","",VLOOKUP(Proventos[[#This Row],[Ativo]],Ativos[],2,FALSE))</f>
        <v>FII</v>
      </c>
    </row>
    <row r="15" spans="1:9" ht="20.100000000000001" customHeight="1" x14ac:dyDescent="0.25">
      <c r="A15" s="3">
        <v>14</v>
      </c>
      <c r="B15" s="2" t="s">
        <v>11</v>
      </c>
      <c r="C15" s="3">
        <v>100</v>
      </c>
      <c r="D15" s="10">
        <v>99.9</v>
      </c>
      <c r="E15" s="10">
        <v>0</v>
      </c>
      <c r="F15" s="10">
        <v>99.9</v>
      </c>
      <c r="G15" s="22">
        <v>43513</v>
      </c>
      <c r="H15" s="6" t="str">
        <f>CONCATENATE(YEAR(Proventos[[#This Row],[Data]]),"/",IF(MONTH(Proventos[[#This Row],[Data]])&lt;10,"0",""),MONTH(Proventos[[#This Row],[Data]]))</f>
        <v>2019/02</v>
      </c>
      <c r="I15" s="12" t="str">
        <f xml:space="preserve"> IF(Proventos[[#This Row],[Ativo]]="","",VLOOKUP(Proventos[[#This Row],[Ativo]],Ativos[],2,FALSE))</f>
        <v>FII</v>
      </c>
    </row>
    <row r="16" spans="1:9" ht="20.100000000000001" customHeight="1" x14ac:dyDescent="0.25">
      <c r="A16" s="3">
        <v>14</v>
      </c>
      <c r="B16" s="2" t="s">
        <v>12</v>
      </c>
      <c r="C16" s="3">
        <v>100</v>
      </c>
      <c r="D16" s="10">
        <v>98.42</v>
      </c>
      <c r="E16" s="10">
        <v>0</v>
      </c>
      <c r="F16" s="10">
        <v>98.42</v>
      </c>
      <c r="G16" s="22">
        <v>43513</v>
      </c>
      <c r="H16" s="6" t="str">
        <f>CONCATENATE(YEAR(Proventos[[#This Row],[Data]]),"/",IF(MONTH(Proventos[[#This Row],[Data]])&lt;10,"0",""),MONTH(Proventos[[#This Row],[Data]]))</f>
        <v>2019/02</v>
      </c>
      <c r="I16" s="12" t="str">
        <f xml:space="preserve"> IF(Proventos[[#This Row],[Ativo]]="","",VLOOKUP(Proventos[[#This Row],[Ativo]],Ativos[],2,FALSE))</f>
        <v>FII</v>
      </c>
    </row>
    <row r="17" spans="1:9" ht="20.100000000000001" customHeight="1" x14ac:dyDescent="0.25">
      <c r="A17" s="3">
        <v>13</v>
      </c>
      <c r="B17" s="2" t="s">
        <v>5</v>
      </c>
      <c r="C17" s="3">
        <v>100</v>
      </c>
      <c r="D17" s="10">
        <v>166</v>
      </c>
      <c r="E17" s="10">
        <v>2.34</v>
      </c>
      <c r="F17" s="10">
        <v>163.66</v>
      </c>
      <c r="G17" s="22">
        <v>43539</v>
      </c>
      <c r="H17" s="6" t="str">
        <f>CONCATENATE(YEAR(Proventos[[#This Row],[Data]]),"/",IF(MONTH(Proventos[[#This Row],[Data]])&lt;10,"0",""),MONTH(Proventos[[#This Row],[Data]]))</f>
        <v>2019/03</v>
      </c>
      <c r="I17" s="12" t="str">
        <f xml:space="preserve"> IF(Proventos[[#This Row],[Ativo]]="","",VLOOKUP(Proventos[[#This Row],[Ativo]],Ativos[],2,FALSE))</f>
        <v>EMPRESA</v>
      </c>
    </row>
    <row r="18" spans="1:9" ht="20.100000000000001" customHeight="1" x14ac:dyDescent="0.25">
      <c r="A18" s="3">
        <v>14</v>
      </c>
      <c r="B18" s="2" t="s">
        <v>8</v>
      </c>
      <c r="C18" s="3">
        <v>100</v>
      </c>
      <c r="D18" s="10">
        <v>37.44</v>
      </c>
      <c r="E18" s="10">
        <v>0</v>
      </c>
      <c r="F18" s="10">
        <v>37.44</v>
      </c>
      <c r="G18" s="22">
        <v>43541</v>
      </c>
      <c r="H18" s="6" t="str">
        <f>CONCATENATE(YEAR(Proventos[[#This Row],[Data]]),"/",IF(MONTH(Proventos[[#This Row],[Data]])&lt;10,"0",""),MONTH(Proventos[[#This Row],[Data]]))</f>
        <v>2019/03</v>
      </c>
      <c r="I18" s="12" t="str">
        <f xml:space="preserve"> IF(Proventos[[#This Row],[Ativo]]="","",VLOOKUP(Proventos[[#This Row],[Ativo]],Ativos[],2,FALSE))</f>
        <v>FII</v>
      </c>
    </row>
    <row r="19" spans="1:9" ht="20.100000000000001" customHeight="1" x14ac:dyDescent="0.25">
      <c r="A19" s="3">
        <v>14</v>
      </c>
      <c r="B19" s="2" t="s">
        <v>10</v>
      </c>
      <c r="C19" s="3">
        <v>100</v>
      </c>
      <c r="D19" s="10">
        <v>52.02</v>
      </c>
      <c r="E19" s="10">
        <v>0</v>
      </c>
      <c r="F19" s="10">
        <v>52.02</v>
      </c>
      <c r="G19" s="22">
        <v>43541</v>
      </c>
      <c r="H19" s="6" t="str">
        <f>CONCATENATE(YEAR(Proventos[[#This Row],[Data]]),"/",IF(MONTH(Proventos[[#This Row],[Data]])&lt;10,"0",""),MONTH(Proventos[[#This Row],[Data]]))</f>
        <v>2019/03</v>
      </c>
      <c r="I19" s="12" t="str">
        <f xml:space="preserve"> IF(Proventos[[#This Row],[Ativo]]="","",VLOOKUP(Proventos[[#This Row],[Ativo]],Ativos[],2,FALSE))</f>
        <v>FII</v>
      </c>
    </row>
    <row r="20" spans="1:9" ht="20.100000000000001" customHeight="1" x14ac:dyDescent="0.25">
      <c r="A20" s="3">
        <v>14</v>
      </c>
      <c r="B20" s="2" t="s">
        <v>11</v>
      </c>
      <c r="C20" s="3">
        <v>100</v>
      </c>
      <c r="D20" s="10">
        <v>42.14</v>
      </c>
      <c r="E20" s="10">
        <v>0</v>
      </c>
      <c r="F20" s="10">
        <v>42.14</v>
      </c>
      <c r="G20" s="22">
        <v>43541</v>
      </c>
      <c r="H20" s="6" t="str">
        <f>CONCATENATE(YEAR(Proventos[[#This Row],[Data]]),"/",IF(MONTH(Proventos[[#This Row],[Data]])&lt;10,"0",""),MONTH(Proventos[[#This Row],[Data]]))</f>
        <v>2019/03</v>
      </c>
      <c r="I20" s="12" t="str">
        <f xml:space="preserve"> IF(Proventos[[#This Row],[Ativo]]="","",VLOOKUP(Proventos[[#This Row],[Ativo]],Ativos[],2,FALSE))</f>
        <v>FII</v>
      </c>
    </row>
    <row r="21" spans="1:9" ht="20.100000000000001" customHeight="1" x14ac:dyDescent="0.25">
      <c r="A21" s="3">
        <v>14</v>
      </c>
      <c r="B21" s="2" t="s">
        <v>12</v>
      </c>
      <c r="C21" s="3">
        <v>100</v>
      </c>
      <c r="D21" s="10">
        <v>177.12</v>
      </c>
      <c r="E21" s="10">
        <v>0</v>
      </c>
      <c r="F21" s="10">
        <v>177.12</v>
      </c>
      <c r="G21" s="22">
        <v>43541</v>
      </c>
      <c r="H21" s="6" t="str">
        <f>CONCATENATE(YEAR(Proventos[[#This Row],[Data]]),"/",IF(MONTH(Proventos[[#This Row],[Data]])&lt;10,"0",""),MONTH(Proventos[[#This Row],[Data]]))</f>
        <v>2019/03</v>
      </c>
      <c r="I21" s="12" t="str">
        <f xml:space="preserve"> IF(Proventos[[#This Row],[Ativo]]="","",VLOOKUP(Proventos[[#This Row],[Ativo]],Ativos[],2,FALSE))</f>
        <v>FII</v>
      </c>
    </row>
    <row r="22" spans="1:9" ht="20.100000000000001" customHeight="1" x14ac:dyDescent="0.25">
      <c r="A22" s="3">
        <v>13</v>
      </c>
      <c r="B22" s="2" t="s">
        <v>6</v>
      </c>
      <c r="C22" s="3">
        <v>100</v>
      </c>
      <c r="D22" s="10">
        <v>162.75</v>
      </c>
      <c r="E22" s="10">
        <v>0</v>
      </c>
      <c r="F22" s="10">
        <v>162.75</v>
      </c>
      <c r="G22" s="22">
        <v>43570</v>
      </c>
      <c r="H22" s="6" t="str">
        <f>CONCATENATE(YEAR(Proventos[[#This Row],[Data]]),"/",IF(MONTH(Proventos[[#This Row],[Data]])&lt;10,"0",""),MONTH(Proventos[[#This Row],[Data]]))</f>
        <v>2019/04</v>
      </c>
      <c r="I22" s="12" t="str">
        <f xml:space="preserve"> IF(Proventos[[#This Row],[Ativo]]="","",VLOOKUP(Proventos[[#This Row],[Ativo]],Ativos[],2,FALSE))</f>
        <v>EMPRESA</v>
      </c>
    </row>
    <row r="23" spans="1:9" ht="20.100000000000001" customHeight="1" x14ac:dyDescent="0.25">
      <c r="A23" s="3">
        <v>14</v>
      </c>
      <c r="B23" s="2" t="s">
        <v>8</v>
      </c>
      <c r="C23" s="3">
        <v>100</v>
      </c>
      <c r="D23" s="10">
        <v>61</v>
      </c>
      <c r="E23" s="10">
        <v>0</v>
      </c>
      <c r="F23" s="10">
        <v>61</v>
      </c>
      <c r="G23" s="22">
        <v>43572</v>
      </c>
      <c r="H23" s="6" t="str">
        <f>CONCATENATE(YEAR(Proventos[[#This Row],[Data]]),"/",IF(MONTH(Proventos[[#This Row],[Data]])&lt;10,"0",""),MONTH(Proventos[[#This Row],[Data]]))</f>
        <v>2019/04</v>
      </c>
      <c r="I23" s="12" t="str">
        <f xml:space="preserve"> IF(Proventos[[#This Row],[Ativo]]="","",VLOOKUP(Proventos[[#This Row],[Ativo]],Ativos[],2,FALSE))</f>
        <v>FII</v>
      </c>
    </row>
    <row r="24" spans="1:9" ht="20.100000000000001" customHeight="1" x14ac:dyDescent="0.25">
      <c r="A24" s="3">
        <v>14</v>
      </c>
      <c r="B24" s="2" t="s">
        <v>10</v>
      </c>
      <c r="C24" s="3">
        <v>100</v>
      </c>
      <c r="D24" s="10">
        <v>180.6</v>
      </c>
      <c r="E24" s="10">
        <v>0</v>
      </c>
      <c r="F24" s="10">
        <v>180.6</v>
      </c>
      <c r="G24" s="22">
        <v>43572</v>
      </c>
      <c r="H24" s="6" t="str">
        <f>CONCATENATE(YEAR(Proventos[[#This Row],[Data]]),"/",IF(MONTH(Proventos[[#This Row],[Data]])&lt;10,"0",""),MONTH(Proventos[[#This Row],[Data]]))</f>
        <v>2019/04</v>
      </c>
      <c r="I24" s="12" t="str">
        <f xml:space="preserve"> IF(Proventos[[#This Row],[Ativo]]="","",VLOOKUP(Proventos[[#This Row],[Ativo]],Ativos[],2,FALSE))</f>
        <v>FII</v>
      </c>
    </row>
    <row r="25" spans="1:9" ht="20.100000000000001" customHeight="1" x14ac:dyDescent="0.25">
      <c r="A25" s="3">
        <v>14</v>
      </c>
      <c r="B25" s="2" t="s">
        <v>11</v>
      </c>
      <c r="C25" s="3">
        <v>100</v>
      </c>
      <c r="D25" s="10">
        <v>38.4</v>
      </c>
      <c r="E25" s="10">
        <v>0</v>
      </c>
      <c r="F25" s="10">
        <v>38.4</v>
      </c>
      <c r="G25" s="22">
        <v>43572</v>
      </c>
      <c r="H25" s="6" t="str">
        <f>CONCATENATE(YEAR(Proventos[[#This Row],[Data]]),"/",IF(MONTH(Proventos[[#This Row],[Data]])&lt;10,"0",""),MONTH(Proventos[[#This Row],[Data]]))</f>
        <v>2019/04</v>
      </c>
      <c r="I25" s="12" t="str">
        <f xml:space="preserve"> IF(Proventos[[#This Row],[Ativo]]="","",VLOOKUP(Proventos[[#This Row],[Ativo]],Ativos[],2,FALSE))</f>
        <v>FII</v>
      </c>
    </row>
    <row r="26" spans="1:9" ht="20.100000000000001" customHeight="1" x14ac:dyDescent="0.25">
      <c r="A26" s="3">
        <v>14</v>
      </c>
      <c r="B26" s="2" t="s">
        <v>12</v>
      </c>
      <c r="C26" s="3">
        <v>100</v>
      </c>
      <c r="D26" s="10">
        <v>153.18</v>
      </c>
      <c r="E26" s="10">
        <v>0</v>
      </c>
      <c r="F26" s="10">
        <v>153.18</v>
      </c>
      <c r="G26" s="22">
        <v>43572</v>
      </c>
      <c r="H26" s="6" t="str">
        <f>CONCATENATE(YEAR(Proventos[[#This Row],[Data]]),"/",IF(MONTH(Proventos[[#This Row],[Data]])&lt;10,"0",""),MONTH(Proventos[[#This Row],[Data]]))</f>
        <v>2019/04</v>
      </c>
      <c r="I26" s="12" t="str">
        <f xml:space="preserve"> IF(Proventos[[#This Row],[Ativo]]="","",VLOOKUP(Proventos[[#This Row],[Ativo]],Ativos[],2,FALSE))</f>
        <v>FII</v>
      </c>
    </row>
    <row r="27" spans="1:9" ht="20.100000000000001" customHeight="1" x14ac:dyDescent="0.25">
      <c r="A27" s="3">
        <v>13</v>
      </c>
      <c r="B27" s="2" t="s">
        <v>13</v>
      </c>
      <c r="C27" s="3">
        <v>100</v>
      </c>
      <c r="D27" s="10">
        <v>156.13999999999999</v>
      </c>
      <c r="E27" s="10">
        <v>0</v>
      </c>
      <c r="F27" s="10">
        <v>156.13999999999999</v>
      </c>
      <c r="G27" s="22">
        <v>43600</v>
      </c>
      <c r="H27" s="6" t="str">
        <f>CONCATENATE(YEAR(Proventos[[#This Row],[Data]]),"/",IF(MONTH(Proventos[[#This Row],[Data]])&lt;10,"0",""),MONTH(Proventos[[#This Row],[Data]]))</f>
        <v>2019/05</v>
      </c>
      <c r="I27" s="12" t="str">
        <f xml:space="preserve"> IF(Proventos[[#This Row],[Ativo]]="","",VLOOKUP(Proventos[[#This Row],[Ativo]],Ativos[],2,FALSE))</f>
        <v>EMPRESA</v>
      </c>
    </row>
    <row r="28" spans="1:9" ht="20.100000000000001" customHeight="1" x14ac:dyDescent="0.25">
      <c r="A28" s="3">
        <v>14</v>
      </c>
      <c r="B28" s="2" t="s">
        <v>8</v>
      </c>
      <c r="C28" s="3">
        <v>100</v>
      </c>
      <c r="D28" s="10">
        <v>61</v>
      </c>
      <c r="E28" s="10">
        <v>0</v>
      </c>
      <c r="F28" s="10">
        <v>61</v>
      </c>
      <c r="G28" s="22">
        <v>43602</v>
      </c>
      <c r="H28" s="6" t="str">
        <f>CONCATENATE(YEAR(Proventos[[#This Row],[Data]]),"/",IF(MONTH(Proventos[[#This Row],[Data]])&lt;10,"0",""),MONTH(Proventos[[#This Row],[Data]]))</f>
        <v>2019/05</v>
      </c>
      <c r="I28" s="12" t="str">
        <f xml:space="preserve"> IF(Proventos[[#This Row],[Ativo]]="","",VLOOKUP(Proventos[[#This Row],[Ativo]],Ativos[],2,FALSE))</f>
        <v>FII</v>
      </c>
    </row>
    <row r="29" spans="1:9" ht="20.100000000000001" customHeight="1" x14ac:dyDescent="0.25">
      <c r="A29" s="3">
        <v>14</v>
      </c>
      <c r="B29" s="2" t="s">
        <v>10</v>
      </c>
      <c r="C29" s="3">
        <v>100</v>
      </c>
      <c r="D29" s="10">
        <v>99</v>
      </c>
      <c r="E29" s="10">
        <v>0</v>
      </c>
      <c r="F29" s="10">
        <v>99</v>
      </c>
      <c r="G29" s="22">
        <v>43602</v>
      </c>
      <c r="H29" s="6" t="str">
        <f>CONCATENATE(YEAR(Proventos[[#This Row],[Data]]),"/",IF(MONTH(Proventos[[#This Row],[Data]])&lt;10,"0",""),MONTH(Proventos[[#This Row],[Data]]))</f>
        <v>2019/05</v>
      </c>
      <c r="I29" s="12" t="str">
        <f xml:space="preserve"> IF(Proventos[[#This Row],[Ativo]]="","",VLOOKUP(Proventos[[#This Row],[Ativo]],Ativos[],2,FALSE))</f>
        <v>FII</v>
      </c>
    </row>
    <row r="30" spans="1:9" ht="20.100000000000001" customHeight="1" x14ac:dyDescent="0.25">
      <c r="A30" s="3">
        <v>14</v>
      </c>
      <c r="B30" s="2" t="s">
        <v>11</v>
      </c>
      <c r="C30" s="3">
        <v>100</v>
      </c>
      <c r="D30" s="10">
        <v>99.9</v>
      </c>
      <c r="E30" s="10">
        <v>0</v>
      </c>
      <c r="F30" s="10">
        <v>99.9</v>
      </c>
      <c r="G30" s="22">
        <v>43602</v>
      </c>
      <c r="H30" s="6" t="str">
        <f>CONCATENATE(YEAR(Proventos[[#This Row],[Data]]),"/",IF(MONTH(Proventos[[#This Row],[Data]])&lt;10,"0",""),MONTH(Proventos[[#This Row],[Data]]))</f>
        <v>2019/05</v>
      </c>
      <c r="I30" s="12" t="str">
        <f xml:space="preserve"> IF(Proventos[[#This Row],[Ativo]]="","",VLOOKUP(Proventos[[#This Row],[Ativo]],Ativos[],2,FALSE))</f>
        <v>FII</v>
      </c>
    </row>
    <row r="31" spans="1:9" ht="20.100000000000001" customHeight="1" x14ac:dyDescent="0.25">
      <c r="A31" s="3">
        <v>14</v>
      </c>
      <c r="B31" s="2" t="s">
        <v>12</v>
      </c>
      <c r="C31" s="3">
        <v>100</v>
      </c>
      <c r="D31" s="10">
        <v>98.42</v>
      </c>
      <c r="E31" s="10">
        <v>0</v>
      </c>
      <c r="F31" s="10">
        <v>98.42</v>
      </c>
      <c r="G31" s="22">
        <v>43602</v>
      </c>
      <c r="H31" s="6" t="str">
        <f>CONCATENATE(YEAR(Proventos[[#This Row],[Data]]),"/",IF(MONTH(Proventos[[#This Row],[Data]])&lt;10,"0",""),MONTH(Proventos[[#This Row],[Data]]))</f>
        <v>2019/05</v>
      </c>
      <c r="I31" s="12" t="str">
        <f xml:space="preserve"> IF(Proventos[[#This Row],[Ativo]]="","",VLOOKUP(Proventos[[#This Row],[Ativo]],Ativos[],2,FALSE))</f>
        <v>FII</v>
      </c>
    </row>
    <row r="32" spans="1:9" ht="20.100000000000001" customHeight="1" x14ac:dyDescent="0.25">
      <c r="A32" s="3">
        <v>13</v>
      </c>
      <c r="B32" s="2" t="s">
        <v>6</v>
      </c>
      <c r="C32" s="3">
        <v>100</v>
      </c>
      <c r="D32" s="10">
        <v>166</v>
      </c>
      <c r="E32" s="10">
        <v>0</v>
      </c>
      <c r="F32" s="10">
        <v>166</v>
      </c>
      <c r="G32" s="22">
        <v>43631</v>
      </c>
      <c r="H32" s="6" t="str">
        <f>CONCATENATE(YEAR(Proventos[[#This Row],[Data]]),"/",IF(MONTH(Proventos[[#This Row],[Data]])&lt;10,"0",""),MONTH(Proventos[[#This Row],[Data]]))</f>
        <v>2019/06</v>
      </c>
      <c r="I32" s="12" t="str">
        <f xml:space="preserve"> IF(Proventos[[#This Row],[Ativo]]="","",VLOOKUP(Proventos[[#This Row],[Ativo]],Ativos[],2,FALSE))</f>
        <v>EMPRESA</v>
      </c>
    </row>
    <row r="33" spans="1:9" ht="20.100000000000001" customHeight="1" x14ac:dyDescent="0.25">
      <c r="A33" s="3">
        <v>14</v>
      </c>
      <c r="B33" s="2" t="s">
        <v>8</v>
      </c>
      <c r="C33" s="3">
        <v>100</v>
      </c>
      <c r="D33" s="10">
        <v>37.44</v>
      </c>
      <c r="E33" s="10">
        <v>0</v>
      </c>
      <c r="F33" s="10">
        <v>37.44</v>
      </c>
      <c r="G33" s="22">
        <v>43633</v>
      </c>
      <c r="H33" s="6" t="str">
        <f>CONCATENATE(YEAR(Proventos[[#This Row],[Data]]),"/",IF(MONTH(Proventos[[#This Row],[Data]])&lt;10,"0",""),MONTH(Proventos[[#This Row],[Data]]))</f>
        <v>2019/06</v>
      </c>
      <c r="I33" s="12" t="str">
        <f xml:space="preserve"> IF(Proventos[[#This Row],[Ativo]]="","",VLOOKUP(Proventos[[#This Row],[Ativo]],Ativos[],2,FALSE))</f>
        <v>FII</v>
      </c>
    </row>
    <row r="34" spans="1:9" ht="20.100000000000001" customHeight="1" x14ac:dyDescent="0.25">
      <c r="A34" s="3">
        <v>14</v>
      </c>
      <c r="B34" s="2" t="s">
        <v>10</v>
      </c>
      <c r="C34" s="3">
        <v>100</v>
      </c>
      <c r="D34" s="10">
        <v>52.02</v>
      </c>
      <c r="E34" s="10">
        <v>0</v>
      </c>
      <c r="F34" s="10">
        <v>52.02</v>
      </c>
      <c r="G34" s="22">
        <v>43633</v>
      </c>
      <c r="H34" s="6" t="str">
        <f>CONCATENATE(YEAR(Proventos[[#This Row],[Data]]),"/",IF(MONTH(Proventos[[#This Row],[Data]])&lt;10,"0",""),MONTH(Proventos[[#This Row],[Data]]))</f>
        <v>2019/06</v>
      </c>
      <c r="I34" s="12" t="str">
        <f xml:space="preserve"> IF(Proventos[[#This Row],[Ativo]]="","",VLOOKUP(Proventos[[#This Row],[Ativo]],Ativos[],2,FALSE))</f>
        <v>FII</v>
      </c>
    </row>
    <row r="35" spans="1:9" ht="20.100000000000001" customHeight="1" x14ac:dyDescent="0.25">
      <c r="A35" s="3">
        <v>14</v>
      </c>
      <c r="B35" s="2" t="s">
        <v>11</v>
      </c>
      <c r="C35" s="3">
        <v>100</v>
      </c>
      <c r="D35" s="10">
        <v>42.14</v>
      </c>
      <c r="E35" s="10">
        <v>0</v>
      </c>
      <c r="F35" s="10">
        <v>42.14</v>
      </c>
      <c r="G35" s="22">
        <v>43633</v>
      </c>
      <c r="H35" s="6" t="str">
        <f>CONCATENATE(YEAR(Proventos[[#This Row],[Data]]),"/",IF(MONTH(Proventos[[#This Row],[Data]])&lt;10,"0",""),MONTH(Proventos[[#This Row],[Data]]))</f>
        <v>2019/06</v>
      </c>
      <c r="I35" s="12" t="str">
        <f xml:space="preserve"> IF(Proventos[[#This Row],[Ativo]]="","",VLOOKUP(Proventos[[#This Row],[Ativo]],Ativos[],2,FALSE))</f>
        <v>FII</v>
      </c>
    </row>
    <row r="36" spans="1:9" ht="20.100000000000001" customHeight="1" x14ac:dyDescent="0.25">
      <c r="A36" s="3">
        <v>14</v>
      </c>
      <c r="B36" s="2" t="s">
        <v>12</v>
      </c>
      <c r="C36" s="3">
        <v>100</v>
      </c>
      <c r="D36" s="10">
        <v>177.12</v>
      </c>
      <c r="E36" s="10">
        <v>0</v>
      </c>
      <c r="F36" s="10">
        <v>177.12</v>
      </c>
      <c r="G36" s="22">
        <v>43633</v>
      </c>
      <c r="H36" s="6" t="str">
        <f>CONCATENATE(YEAR(Proventos[[#This Row],[Data]]),"/",IF(MONTH(Proventos[[#This Row],[Data]])&lt;10,"0",""),MONTH(Proventos[[#This Row],[Data]]))</f>
        <v>2019/06</v>
      </c>
      <c r="I36" s="12" t="str">
        <f xml:space="preserve"> IF(Proventos[[#This Row],[Ativo]]="","",VLOOKUP(Proventos[[#This Row],[Ativo]],Ativos[],2,FALSE))</f>
        <v>FII</v>
      </c>
    </row>
    <row r="37" spans="1:9" ht="20.100000000000001" customHeight="1" x14ac:dyDescent="0.25">
      <c r="A37" s="3">
        <v>13</v>
      </c>
      <c r="B37" s="2" t="s">
        <v>7</v>
      </c>
      <c r="C37" s="3">
        <v>100</v>
      </c>
      <c r="D37" s="10">
        <v>162.75</v>
      </c>
      <c r="E37" s="10">
        <v>0</v>
      </c>
      <c r="F37" s="10">
        <v>162.75</v>
      </c>
      <c r="G37" s="22">
        <v>43661</v>
      </c>
      <c r="H37" s="6" t="str">
        <f>CONCATENATE(YEAR(Proventos[[#This Row],[Data]]),"/",IF(MONTH(Proventos[[#This Row],[Data]])&lt;10,"0",""),MONTH(Proventos[[#This Row],[Data]]))</f>
        <v>2019/07</v>
      </c>
      <c r="I37" s="12" t="str">
        <f xml:space="preserve"> IF(Proventos[[#This Row],[Ativo]]="","",VLOOKUP(Proventos[[#This Row],[Ativo]],Ativos[],2,FALSE))</f>
        <v>EMPRESA</v>
      </c>
    </row>
    <row r="38" spans="1:9" ht="20.100000000000001" customHeight="1" x14ac:dyDescent="0.25">
      <c r="A38" s="3">
        <v>14</v>
      </c>
      <c r="B38" s="2" t="s">
        <v>8</v>
      </c>
      <c r="C38" s="3">
        <v>100</v>
      </c>
      <c r="D38" s="10">
        <v>61</v>
      </c>
      <c r="E38" s="10">
        <v>0</v>
      </c>
      <c r="F38" s="10">
        <v>61</v>
      </c>
      <c r="G38" s="22">
        <v>43663</v>
      </c>
      <c r="H38" s="6" t="str">
        <f>CONCATENATE(YEAR(Proventos[[#This Row],[Data]]),"/",IF(MONTH(Proventos[[#This Row],[Data]])&lt;10,"0",""),MONTH(Proventos[[#This Row],[Data]]))</f>
        <v>2019/07</v>
      </c>
      <c r="I38" s="12" t="str">
        <f xml:space="preserve"> IF(Proventos[[#This Row],[Ativo]]="","",VLOOKUP(Proventos[[#This Row],[Ativo]],Ativos[],2,FALSE))</f>
        <v>FII</v>
      </c>
    </row>
    <row r="39" spans="1:9" ht="20.100000000000001" customHeight="1" x14ac:dyDescent="0.25">
      <c r="A39" s="3">
        <v>14</v>
      </c>
      <c r="B39" s="2" t="s">
        <v>10</v>
      </c>
      <c r="C39" s="3">
        <v>100</v>
      </c>
      <c r="D39" s="10">
        <v>180.6</v>
      </c>
      <c r="E39" s="10">
        <v>0</v>
      </c>
      <c r="F39" s="10">
        <v>180.6</v>
      </c>
      <c r="G39" s="22">
        <v>43663</v>
      </c>
      <c r="H39" s="6" t="str">
        <f>CONCATENATE(YEAR(Proventos[[#This Row],[Data]]),"/",IF(MONTH(Proventos[[#This Row],[Data]])&lt;10,"0",""),MONTH(Proventos[[#This Row],[Data]]))</f>
        <v>2019/07</v>
      </c>
      <c r="I39" s="12" t="str">
        <f xml:space="preserve"> IF(Proventos[[#This Row],[Ativo]]="","",VLOOKUP(Proventos[[#This Row],[Ativo]],Ativos[],2,FALSE))</f>
        <v>FII</v>
      </c>
    </row>
    <row r="40" spans="1:9" ht="20.100000000000001" customHeight="1" x14ac:dyDescent="0.25">
      <c r="A40" s="3">
        <v>14</v>
      </c>
      <c r="B40" s="2" t="s">
        <v>11</v>
      </c>
      <c r="C40" s="3">
        <v>100</v>
      </c>
      <c r="D40" s="10">
        <v>38.4</v>
      </c>
      <c r="E40" s="10">
        <v>0</v>
      </c>
      <c r="F40" s="10">
        <v>38.4</v>
      </c>
      <c r="G40" s="22">
        <v>43663</v>
      </c>
      <c r="H40" s="6" t="str">
        <f>CONCATENATE(YEAR(Proventos[[#This Row],[Data]]),"/",IF(MONTH(Proventos[[#This Row],[Data]])&lt;10,"0",""),MONTH(Proventos[[#This Row],[Data]]))</f>
        <v>2019/07</v>
      </c>
      <c r="I40" s="12" t="str">
        <f xml:space="preserve"> IF(Proventos[[#This Row],[Ativo]]="","",VLOOKUP(Proventos[[#This Row],[Ativo]],Ativos[],2,FALSE))</f>
        <v>FII</v>
      </c>
    </row>
    <row r="41" spans="1:9" ht="20.100000000000001" customHeight="1" x14ac:dyDescent="0.25">
      <c r="A41" s="3">
        <v>14</v>
      </c>
      <c r="B41" s="2" t="s">
        <v>12</v>
      </c>
      <c r="C41" s="3">
        <v>100</v>
      </c>
      <c r="D41" s="10">
        <v>153.18</v>
      </c>
      <c r="E41" s="10">
        <v>0</v>
      </c>
      <c r="F41" s="10">
        <v>153.18</v>
      </c>
      <c r="G41" s="22">
        <v>43663</v>
      </c>
      <c r="H41" s="6" t="str">
        <f>CONCATENATE(YEAR(Proventos[[#This Row],[Data]]),"/",IF(MONTH(Proventos[[#This Row],[Data]])&lt;10,"0",""),MONTH(Proventos[[#This Row],[Data]]))</f>
        <v>2019/07</v>
      </c>
      <c r="I41" s="12" t="str">
        <f xml:space="preserve"> IF(Proventos[[#This Row],[Ativo]]="","",VLOOKUP(Proventos[[#This Row],[Ativo]],Ativos[],2,FALSE))</f>
        <v>FII</v>
      </c>
    </row>
    <row r="42" spans="1:9" ht="20.100000000000001" customHeight="1" x14ac:dyDescent="0.25">
      <c r="A42" s="3">
        <v>13</v>
      </c>
      <c r="B42" s="2" t="s">
        <v>5</v>
      </c>
      <c r="C42" s="3">
        <v>100</v>
      </c>
      <c r="D42" s="10">
        <v>156.13999999999999</v>
      </c>
      <c r="E42" s="10">
        <v>0</v>
      </c>
      <c r="F42" s="10">
        <v>156.13999999999999</v>
      </c>
      <c r="G42" s="22">
        <v>43692</v>
      </c>
      <c r="H42" s="6" t="str">
        <f>CONCATENATE(YEAR(Proventos[[#This Row],[Data]]),"/",IF(MONTH(Proventos[[#This Row],[Data]])&lt;10,"0",""),MONTH(Proventos[[#This Row],[Data]]))</f>
        <v>2019/08</v>
      </c>
      <c r="I42" s="12" t="str">
        <f xml:space="preserve"> IF(Proventos[[#This Row],[Ativo]]="","",VLOOKUP(Proventos[[#This Row],[Ativo]],Ativos[],2,FALSE))</f>
        <v>EMPRESA</v>
      </c>
    </row>
    <row r="43" spans="1:9" ht="20.100000000000001" customHeight="1" x14ac:dyDescent="0.25">
      <c r="A43" s="3">
        <v>14</v>
      </c>
      <c r="B43" s="2" t="s">
        <v>8</v>
      </c>
      <c r="C43" s="3">
        <v>100</v>
      </c>
      <c r="D43" s="10">
        <v>61</v>
      </c>
      <c r="E43" s="10">
        <v>1.03</v>
      </c>
      <c r="F43" s="10">
        <v>59.97</v>
      </c>
      <c r="G43" s="22">
        <v>43694</v>
      </c>
      <c r="H43" s="6" t="str">
        <f>CONCATENATE(YEAR(Proventos[[#This Row],[Data]]),"/",IF(MONTH(Proventos[[#This Row],[Data]])&lt;10,"0",""),MONTH(Proventos[[#This Row],[Data]]))</f>
        <v>2019/08</v>
      </c>
      <c r="I43" s="12" t="str">
        <f xml:space="preserve"> IF(Proventos[[#This Row],[Ativo]]="","",VLOOKUP(Proventos[[#This Row],[Ativo]],Ativos[],2,FALSE))</f>
        <v>FII</v>
      </c>
    </row>
    <row r="44" spans="1:9" ht="20.100000000000001" customHeight="1" x14ac:dyDescent="0.25">
      <c r="A44" s="3">
        <v>14</v>
      </c>
      <c r="B44" s="2" t="s">
        <v>10</v>
      </c>
      <c r="C44" s="3">
        <v>100</v>
      </c>
      <c r="D44" s="10">
        <v>99</v>
      </c>
      <c r="E44" s="10">
        <v>0</v>
      </c>
      <c r="F44" s="10">
        <v>99</v>
      </c>
      <c r="G44" s="22">
        <v>43694</v>
      </c>
      <c r="H44" s="6" t="str">
        <f>CONCATENATE(YEAR(Proventos[[#This Row],[Data]]),"/",IF(MONTH(Proventos[[#This Row],[Data]])&lt;10,"0",""),MONTH(Proventos[[#This Row],[Data]]))</f>
        <v>2019/08</v>
      </c>
      <c r="I44" s="12" t="str">
        <f xml:space="preserve"> IF(Proventos[[#This Row],[Ativo]]="","",VLOOKUP(Proventos[[#This Row],[Ativo]],Ativos[],2,FALSE))</f>
        <v>FII</v>
      </c>
    </row>
    <row r="45" spans="1:9" ht="20.100000000000001" customHeight="1" x14ac:dyDescent="0.25">
      <c r="A45" s="3">
        <v>14</v>
      </c>
      <c r="B45" s="2" t="s">
        <v>11</v>
      </c>
      <c r="C45" s="3">
        <v>100</v>
      </c>
      <c r="D45" s="10">
        <v>99.9</v>
      </c>
      <c r="E45" s="10">
        <v>0</v>
      </c>
      <c r="F45" s="10">
        <v>99.9</v>
      </c>
      <c r="G45" s="22">
        <v>43694</v>
      </c>
      <c r="H45" s="6" t="str">
        <f>CONCATENATE(YEAR(Proventos[[#This Row],[Data]]),"/",IF(MONTH(Proventos[[#This Row],[Data]])&lt;10,"0",""),MONTH(Proventos[[#This Row],[Data]]))</f>
        <v>2019/08</v>
      </c>
      <c r="I45" s="12" t="str">
        <f xml:space="preserve"> IF(Proventos[[#This Row],[Ativo]]="","",VLOOKUP(Proventos[[#This Row],[Ativo]],Ativos[],2,FALSE))</f>
        <v>FII</v>
      </c>
    </row>
    <row r="46" spans="1:9" ht="20.100000000000001" customHeight="1" x14ac:dyDescent="0.25">
      <c r="A46" s="3">
        <v>14</v>
      </c>
      <c r="B46" s="2" t="s">
        <v>12</v>
      </c>
      <c r="C46" s="3">
        <v>100</v>
      </c>
      <c r="D46" s="10">
        <v>98.42</v>
      </c>
      <c r="E46" s="10">
        <v>0</v>
      </c>
      <c r="F46" s="10">
        <v>98.42</v>
      </c>
      <c r="G46" s="22">
        <v>43694</v>
      </c>
      <c r="H46" s="6" t="str">
        <f>CONCATENATE(YEAR(Proventos[[#This Row],[Data]]),"/",IF(MONTH(Proventos[[#This Row],[Data]])&lt;10,"0",""),MONTH(Proventos[[#This Row],[Data]]))</f>
        <v>2019/08</v>
      </c>
      <c r="I46" s="12" t="str">
        <f xml:space="preserve"> IF(Proventos[[#This Row],[Ativo]]="","",VLOOKUP(Proventos[[#This Row],[Ativo]],Ativos[],2,FALSE))</f>
        <v>FII</v>
      </c>
    </row>
    <row r="47" spans="1:9" ht="20.100000000000001" customHeight="1" x14ac:dyDescent="0.25">
      <c r="A47" s="3">
        <v>13</v>
      </c>
      <c r="B47" s="2" t="s">
        <v>3</v>
      </c>
      <c r="C47" s="3">
        <v>100</v>
      </c>
      <c r="D47" s="10">
        <v>166</v>
      </c>
      <c r="E47" s="10">
        <v>0</v>
      </c>
      <c r="F47" s="10">
        <v>166</v>
      </c>
      <c r="G47" s="22">
        <v>43723</v>
      </c>
      <c r="H47" s="6" t="str">
        <f>CONCATENATE(YEAR(Proventos[[#This Row],[Data]]),"/",IF(MONTH(Proventos[[#This Row],[Data]])&lt;10,"0",""),MONTH(Proventos[[#This Row],[Data]]))</f>
        <v>2019/09</v>
      </c>
      <c r="I47" s="12" t="str">
        <f xml:space="preserve"> IF(Proventos[[#This Row],[Ativo]]="","",VLOOKUP(Proventos[[#This Row],[Ativo]],Ativos[],2,FALSE))</f>
        <v>EMPRESA</v>
      </c>
    </row>
    <row r="48" spans="1:9" ht="20.100000000000001" customHeight="1" x14ac:dyDescent="0.25">
      <c r="A48" s="3">
        <v>14</v>
      </c>
      <c r="B48" s="2" t="s">
        <v>8</v>
      </c>
      <c r="C48" s="3">
        <v>100</v>
      </c>
      <c r="D48" s="10">
        <v>37.44</v>
      </c>
      <c r="E48" s="10">
        <v>0</v>
      </c>
      <c r="F48" s="10">
        <v>37.44</v>
      </c>
      <c r="G48" s="22">
        <v>43725</v>
      </c>
      <c r="H48" s="6" t="str">
        <f>CONCATENATE(YEAR(Proventos[[#This Row],[Data]]),"/",IF(MONTH(Proventos[[#This Row],[Data]])&lt;10,"0",""),MONTH(Proventos[[#This Row],[Data]]))</f>
        <v>2019/09</v>
      </c>
      <c r="I48" s="12" t="str">
        <f xml:space="preserve"> IF(Proventos[[#This Row],[Ativo]]="","",VLOOKUP(Proventos[[#This Row],[Ativo]],Ativos[],2,FALSE))</f>
        <v>FII</v>
      </c>
    </row>
    <row r="49" spans="1:9" ht="20.100000000000001" customHeight="1" x14ac:dyDescent="0.25">
      <c r="A49" s="3">
        <v>14</v>
      </c>
      <c r="B49" s="2" t="s">
        <v>10</v>
      </c>
      <c r="C49" s="3">
        <v>100</v>
      </c>
      <c r="D49" s="10">
        <v>52.02</v>
      </c>
      <c r="E49" s="10">
        <v>0</v>
      </c>
      <c r="F49" s="10">
        <v>52.02</v>
      </c>
      <c r="G49" s="22">
        <v>43725</v>
      </c>
      <c r="H49" s="6" t="str">
        <f>CONCATENATE(YEAR(Proventos[[#This Row],[Data]]),"/",IF(MONTH(Proventos[[#This Row],[Data]])&lt;10,"0",""),MONTH(Proventos[[#This Row],[Data]]))</f>
        <v>2019/09</v>
      </c>
      <c r="I49" s="12" t="str">
        <f xml:space="preserve"> IF(Proventos[[#This Row],[Ativo]]="","",VLOOKUP(Proventos[[#This Row],[Ativo]],Ativos[],2,FALSE))</f>
        <v>FII</v>
      </c>
    </row>
    <row r="50" spans="1:9" ht="20.100000000000001" customHeight="1" x14ac:dyDescent="0.25">
      <c r="A50" s="3">
        <v>14</v>
      </c>
      <c r="B50" s="2" t="s">
        <v>11</v>
      </c>
      <c r="C50" s="3">
        <v>100</v>
      </c>
      <c r="D50" s="10">
        <v>42.14</v>
      </c>
      <c r="E50" s="10">
        <v>0</v>
      </c>
      <c r="F50" s="10">
        <v>42.14</v>
      </c>
      <c r="G50" s="22">
        <v>43725</v>
      </c>
      <c r="H50" s="6" t="str">
        <f>CONCATENATE(YEAR(Proventos[[#This Row],[Data]]),"/",IF(MONTH(Proventos[[#This Row],[Data]])&lt;10,"0",""),MONTH(Proventos[[#This Row],[Data]]))</f>
        <v>2019/09</v>
      </c>
      <c r="I50" s="12" t="str">
        <f xml:space="preserve"> IF(Proventos[[#This Row],[Ativo]]="","",VLOOKUP(Proventos[[#This Row],[Ativo]],Ativos[],2,FALSE))</f>
        <v>FII</v>
      </c>
    </row>
    <row r="51" spans="1:9" ht="20.100000000000001" customHeight="1" x14ac:dyDescent="0.25">
      <c r="A51" s="3">
        <v>14</v>
      </c>
      <c r="B51" s="2" t="s">
        <v>12</v>
      </c>
      <c r="C51" s="3">
        <v>100</v>
      </c>
      <c r="D51" s="10">
        <v>177.12</v>
      </c>
      <c r="E51" s="10">
        <v>0</v>
      </c>
      <c r="F51" s="10">
        <v>177.12</v>
      </c>
      <c r="G51" s="22">
        <v>43725</v>
      </c>
      <c r="H51" s="6" t="str">
        <f>CONCATENATE(YEAR(Proventos[[#This Row],[Data]]),"/",IF(MONTH(Proventos[[#This Row],[Data]])&lt;10,"0",""),MONTH(Proventos[[#This Row],[Data]]))</f>
        <v>2019/09</v>
      </c>
      <c r="I51" s="12" t="str">
        <f xml:space="preserve"> IF(Proventos[[#This Row],[Ativo]]="","",VLOOKUP(Proventos[[#This Row],[Ativo]],Ativos[],2,FALSE))</f>
        <v>FII</v>
      </c>
    </row>
    <row r="52" spans="1:9" ht="20.100000000000001" customHeight="1" x14ac:dyDescent="0.25">
      <c r="A52" s="3">
        <v>13</v>
      </c>
      <c r="B52" s="2" t="s">
        <v>6</v>
      </c>
      <c r="C52" s="3">
        <v>100</v>
      </c>
      <c r="D52" s="10">
        <v>162.75</v>
      </c>
      <c r="E52" s="10">
        <v>0</v>
      </c>
      <c r="F52" s="10">
        <v>162.75</v>
      </c>
      <c r="G52" s="22">
        <v>43753</v>
      </c>
      <c r="H52" s="6" t="str">
        <f>CONCATENATE(YEAR(Proventos[[#This Row],[Data]]),"/",IF(MONTH(Proventos[[#This Row],[Data]])&lt;10,"0",""),MONTH(Proventos[[#This Row],[Data]]))</f>
        <v>2019/10</v>
      </c>
      <c r="I52" s="12" t="str">
        <f xml:space="preserve"> IF(Proventos[[#This Row],[Ativo]]="","",VLOOKUP(Proventos[[#This Row],[Ativo]],Ativos[],2,FALSE))</f>
        <v>EMPRESA</v>
      </c>
    </row>
    <row r="53" spans="1:9" ht="20.100000000000001" customHeight="1" x14ac:dyDescent="0.25">
      <c r="A53" s="3">
        <v>14</v>
      </c>
      <c r="B53" s="2" t="s">
        <v>8</v>
      </c>
      <c r="C53" s="3">
        <v>100</v>
      </c>
      <c r="D53" s="10">
        <v>61</v>
      </c>
      <c r="E53" s="10">
        <v>0</v>
      </c>
      <c r="F53" s="10">
        <v>61</v>
      </c>
      <c r="G53" s="22">
        <v>43755</v>
      </c>
      <c r="H53" s="6" t="str">
        <f>CONCATENATE(YEAR(Proventos[[#This Row],[Data]]),"/",IF(MONTH(Proventos[[#This Row],[Data]])&lt;10,"0",""),MONTH(Proventos[[#This Row],[Data]]))</f>
        <v>2019/10</v>
      </c>
      <c r="I53" s="12" t="str">
        <f xml:space="preserve"> IF(Proventos[[#This Row],[Ativo]]="","",VLOOKUP(Proventos[[#This Row],[Ativo]],Ativos[],2,FALSE))</f>
        <v>FII</v>
      </c>
    </row>
    <row r="54" spans="1:9" ht="20.100000000000001" customHeight="1" x14ac:dyDescent="0.25">
      <c r="A54" s="3">
        <v>14</v>
      </c>
      <c r="B54" s="2" t="s">
        <v>10</v>
      </c>
      <c r="C54" s="3">
        <v>100</v>
      </c>
      <c r="D54" s="10">
        <v>180.6</v>
      </c>
      <c r="E54" s="10">
        <v>0</v>
      </c>
      <c r="F54" s="10">
        <v>180.6</v>
      </c>
      <c r="G54" s="22">
        <v>43755</v>
      </c>
      <c r="H54" s="6" t="str">
        <f>CONCATENATE(YEAR(Proventos[[#This Row],[Data]]),"/",IF(MONTH(Proventos[[#This Row],[Data]])&lt;10,"0",""),MONTH(Proventos[[#This Row],[Data]]))</f>
        <v>2019/10</v>
      </c>
      <c r="I54" s="12" t="str">
        <f xml:space="preserve"> IF(Proventos[[#This Row],[Ativo]]="","",VLOOKUP(Proventos[[#This Row],[Ativo]],Ativos[],2,FALSE))</f>
        <v>FII</v>
      </c>
    </row>
    <row r="55" spans="1:9" ht="20.100000000000001" customHeight="1" x14ac:dyDescent="0.25">
      <c r="A55" s="3">
        <v>14</v>
      </c>
      <c r="B55" s="2" t="s">
        <v>11</v>
      </c>
      <c r="C55" s="3">
        <v>100</v>
      </c>
      <c r="D55" s="10">
        <v>38.4</v>
      </c>
      <c r="E55" s="10">
        <v>0</v>
      </c>
      <c r="F55" s="10">
        <v>38.4</v>
      </c>
      <c r="G55" s="22">
        <v>43755</v>
      </c>
      <c r="H55" s="6" t="str">
        <f>CONCATENATE(YEAR(Proventos[[#This Row],[Data]]),"/",IF(MONTH(Proventos[[#This Row],[Data]])&lt;10,"0",""),MONTH(Proventos[[#This Row],[Data]]))</f>
        <v>2019/10</v>
      </c>
      <c r="I55" s="12" t="str">
        <f xml:space="preserve"> IF(Proventos[[#This Row],[Ativo]]="","",VLOOKUP(Proventos[[#This Row],[Ativo]],Ativos[],2,FALSE))</f>
        <v>FII</v>
      </c>
    </row>
    <row r="56" spans="1:9" ht="20.100000000000001" customHeight="1" x14ac:dyDescent="0.25">
      <c r="A56" s="3">
        <v>14</v>
      </c>
      <c r="B56" s="2" t="s">
        <v>12</v>
      </c>
      <c r="C56" s="3">
        <v>100</v>
      </c>
      <c r="D56" s="10">
        <v>153.18</v>
      </c>
      <c r="E56" s="10">
        <v>0</v>
      </c>
      <c r="F56" s="10">
        <v>153.18</v>
      </c>
      <c r="G56" s="22">
        <v>43755</v>
      </c>
      <c r="H56" s="6" t="str">
        <f>CONCATENATE(YEAR(Proventos[[#This Row],[Data]]),"/",IF(MONTH(Proventos[[#This Row],[Data]])&lt;10,"0",""),MONTH(Proventos[[#This Row],[Data]]))</f>
        <v>2019/10</v>
      </c>
      <c r="I56" s="12" t="str">
        <f xml:space="preserve"> IF(Proventos[[#This Row],[Ativo]]="","",VLOOKUP(Proventos[[#This Row],[Ativo]],Ativos[],2,FALSE))</f>
        <v>FII</v>
      </c>
    </row>
    <row r="57" spans="1:9" ht="20.100000000000001" customHeight="1" x14ac:dyDescent="0.25">
      <c r="A57" s="3">
        <v>13</v>
      </c>
      <c r="B57" s="2" t="s">
        <v>13</v>
      </c>
      <c r="C57" s="3">
        <v>100</v>
      </c>
      <c r="D57" s="10">
        <v>156.13999999999999</v>
      </c>
      <c r="E57" s="10">
        <v>0</v>
      </c>
      <c r="F57" s="10">
        <v>156.13999999999999</v>
      </c>
      <c r="G57" s="22">
        <v>43753</v>
      </c>
      <c r="H57" s="6" t="str">
        <f>CONCATENATE(YEAR(Proventos[[#This Row],[Data]]),"/",IF(MONTH(Proventos[[#This Row],[Data]])&lt;10,"0",""),MONTH(Proventos[[#This Row],[Data]]))</f>
        <v>2019/10</v>
      </c>
      <c r="I57" s="12" t="str">
        <f xml:space="preserve"> IF(Proventos[[#This Row],[Ativo]]="","",VLOOKUP(Proventos[[#This Row],[Ativo]],Ativos[],2,FALSE))</f>
        <v>EMPRESA</v>
      </c>
    </row>
    <row r="58" spans="1:9" ht="20.100000000000001" customHeight="1" x14ac:dyDescent="0.25">
      <c r="A58" s="3">
        <v>14</v>
      </c>
      <c r="B58" s="2" t="s">
        <v>8</v>
      </c>
      <c r="C58" s="3">
        <v>100</v>
      </c>
      <c r="D58" s="10">
        <v>61</v>
      </c>
      <c r="E58" s="10">
        <v>0</v>
      </c>
      <c r="F58" s="10">
        <v>61</v>
      </c>
      <c r="G58" s="22">
        <v>43755</v>
      </c>
      <c r="H58" s="6" t="str">
        <f>CONCATENATE(YEAR(Proventos[[#This Row],[Data]]),"/",IF(MONTH(Proventos[[#This Row],[Data]])&lt;10,"0",""),MONTH(Proventos[[#This Row],[Data]]))</f>
        <v>2019/10</v>
      </c>
      <c r="I58" s="12" t="str">
        <f xml:space="preserve"> IF(Proventos[[#This Row],[Ativo]]="","",VLOOKUP(Proventos[[#This Row],[Ativo]],Ativos[],2,FALSE))</f>
        <v>FII</v>
      </c>
    </row>
    <row r="59" spans="1:9" ht="20.100000000000001" customHeight="1" x14ac:dyDescent="0.25">
      <c r="A59" s="3">
        <v>14</v>
      </c>
      <c r="B59" s="2" t="s">
        <v>10</v>
      </c>
      <c r="C59" s="3">
        <v>100</v>
      </c>
      <c r="D59" s="10">
        <v>99</v>
      </c>
      <c r="E59" s="10">
        <v>0</v>
      </c>
      <c r="F59" s="10">
        <v>99</v>
      </c>
      <c r="G59" s="22">
        <v>43755</v>
      </c>
      <c r="H59" s="6" t="str">
        <f>CONCATENATE(YEAR(Proventos[[#This Row],[Data]]),"/",IF(MONTH(Proventos[[#This Row],[Data]])&lt;10,"0",""),MONTH(Proventos[[#This Row],[Data]]))</f>
        <v>2019/10</v>
      </c>
      <c r="I59" s="12" t="str">
        <f xml:space="preserve"> IF(Proventos[[#This Row],[Ativo]]="","",VLOOKUP(Proventos[[#This Row],[Ativo]],Ativos[],2,FALSE))</f>
        <v>FII</v>
      </c>
    </row>
    <row r="60" spans="1:9" ht="20.100000000000001" customHeight="1" x14ac:dyDescent="0.25">
      <c r="A60" s="3">
        <v>14</v>
      </c>
      <c r="B60" s="2" t="s">
        <v>11</v>
      </c>
      <c r="C60" s="3">
        <v>100</v>
      </c>
      <c r="D60" s="10">
        <v>99.9</v>
      </c>
      <c r="E60" s="10">
        <v>0</v>
      </c>
      <c r="F60" s="10">
        <v>99.9</v>
      </c>
      <c r="G60" s="22">
        <v>43755</v>
      </c>
      <c r="H60" s="6" t="str">
        <f>CONCATENATE(YEAR(Proventos[[#This Row],[Data]]),"/",IF(MONTH(Proventos[[#This Row],[Data]])&lt;10,"0",""),MONTH(Proventos[[#This Row],[Data]]))</f>
        <v>2019/10</v>
      </c>
      <c r="I60" s="12" t="str">
        <f xml:space="preserve"> IF(Proventos[[#This Row],[Ativo]]="","",VLOOKUP(Proventos[[#This Row],[Ativo]],Ativos[],2,FALSE))</f>
        <v>FII</v>
      </c>
    </row>
    <row r="61" spans="1:9" ht="20.100000000000001" customHeight="1" x14ac:dyDescent="0.25">
      <c r="A61" s="3">
        <v>14</v>
      </c>
      <c r="B61" s="2" t="s">
        <v>12</v>
      </c>
      <c r="C61" s="3">
        <v>100</v>
      </c>
      <c r="D61" s="10">
        <v>98.42</v>
      </c>
      <c r="E61" s="10">
        <v>0</v>
      </c>
      <c r="F61" s="10">
        <v>98.42</v>
      </c>
      <c r="G61" s="22">
        <v>43755</v>
      </c>
      <c r="H61" s="6" t="str">
        <f>CONCATENATE(YEAR(Proventos[[#This Row],[Data]]),"/",IF(MONTH(Proventos[[#This Row],[Data]])&lt;10,"0",""),MONTH(Proventos[[#This Row],[Data]]))</f>
        <v>2019/10</v>
      </c>
      <c r="I61" s="12" t="str">
        <f xml:space="preserve"> IF(Proventos[[#This Row],[Ativo]]="","",VLOOKUP(Proventos[[#This Row],[Ativo]],Ativos[],2,FALSE))</f>
        <v>FII</v>
      </c>
    </row>
    <row r="62" spans="1:9" ht="20.100000000000001" customHeight="1" x14ac:dyDescent="0.25">
      <c r="A62" s="3">
        <v>13</v>
      </c>
      <c r="B62" s="2" t="s">
        <v>6</v>
      </c>
      <c r="C62" s="3">
        <v>100</v>
      </c>
      <c r="D62" s="10">
        <v>166</v>
      </c>
      <c r="E62" s="10">
        <v>0</v>
      </c>
      <c r="F62" s="10">
        <v>166</v>
      </c>
      <c r="G62" s="22">
        <v>43753</v>
      </c>
      <c r="H62" s="6" t="str">
        <f>CONCATENATE(YEAR(Proventos[[#This Row],[Data]]),"/",IF(MONTH(Proventos[[#This Row],[Data]])&lt;10,"0",""),MONTH(Proventos[[#This Row],[Data]]))</f>
        <v>2019/10</v>
      </c>
      <c r="I62" s="12" t="str">
        <f xml:space="preserve"> IF(Proventos[[#This Row],[Ativo]]="","",VLOOKUP(Proventos[[#This Row],[Ativo]],Ativos[],2,FALSE))</f>
        <v>EMPRESA</v>
      </c>
    </row>
    <row r="63" spans="1:9" ht="20.100000000000001" customHeight="1" x14ac:dyDescent="0.25">
      <c r="A63" s="3">
        <v>14</v>
      </c>
      <c r="B63" s="2" t="s">
        <v>8</v>
      </c>
      <c r="C63" s="3">
        <v>100</v>
      </c>
      <c r="D63" s="10">
        <v>37.44</v>
      </c>
      <c r="E63" s="10">
        <v>0</v>
      </c>
      <c r="F63" s="10">
        <v>37.44</v>
      </c>
      <c r="G63" s="22">
        <v>43755</v>
      </c>
      <c r="H63" s="6" t="str">
        <f>CONCATENATE(YEAR(Proventos[[#This Row],[Data]]),"/",IF(MONTH(Proventos[[#This Row],[Data]])&lt;10,"0",""),MONTH(Proventos[[#This Row],[Data]]))</f>
        <v>2019/10</v>
      </c>
      <c r="I63" s="12" t="str">
        <f xml:space="preserve"> IF(Proventos[[#This Row],[Ativo]]="","",VLOOKUP(Proventos[[#This Row],[Ativo]],Ativos[],2,FALSE))</f>
        <v>FII</v>
      </c>
    </row>
    <row r="64" spans="1:9" ht="20.100000000000001" customHeight="1" x14ac:dyDescent="0.25">
      <c r="A64" s="3">
        <v>14</v>
      </c>
      <c r="B64" s="2" t="s">
        <v>10</v>
      </c>
      <c r="C64" s="3">
        <v>100</v>
      </c>
      <c r="D64" s="10">
        <v>52.02</v>
      </c>
      <c r="E64" s="10">
        <v>0</v>
      </c>
      <c r="F64" s="10">
        <v>52.02</v>
      </c>
      <c r="G64" s="22">
        <v>43755</v>
      </c>
      <c r="H64" s="6" t="str">
        <f>CONCATENATE(YEAR(Proventos[[#This Row],[Data]]),"/",IF(MONTH(Proventos[[#This Row],[Data]])&lt;10,"0",""),MONTH(Proventos[[#This Row],[Data]]))</f>
        <v>2019/10</v>
      </c>
      <c r="I64" s="12" t="str">
        <f xml:space="preserve"> IF(Proventos[[#This Row],[Ativo]]="","",VLOOKUP(Proventos[[#This Row],[Ativo]],Ativos[],2,FALSE))</f>
        <v>FII</v>
      </c>
    </row>
    <row r="65" spans="1:9" ht="20.100000000000001" customHeight="1" x14ac:dyDescent="0.25">
      <c r="A65" s="3">
        <v>14</v>
      </c>
      <c r="B65" s="2" t="s">
        <v>11</v>
      </c>
      <c r="C65" s="3">
        <v>100</v>
      </c>
      <c r="D65" s="10">
        <v>42.14</v>
      </c>
      <c r="E65" s="10">
        <v>0</v>
      </c>
      <c r="F65" s="10">
        <v>42.14</v>
      </c>
      <c r="G65" s="22">
        <v>43755</v>
      </c>
      <c r="H65" s="6" t="str">
        <f>CONCATENATE(YEAR(Proventos[[#This Row],[Data]]),"/",IF(MONTH(Proventos[[#This Row],[Data]])&lt;10,"0",""),MONTH(Proventos[[#This Row],[Data]]))</f>
        <v>2019/10</v>
      </c>
      <c r="I65" s="12" t="str">
        <f xml:space="preserve"> IF(Proventos[[#This Row],[Ativo]]="","",VLOOKUP(Proventos[[#This Row],[Ativo]],Ativos[],2,FALSE))</f>
        <v>FII</v>
      </c>
    </row>
    <row r="66" spans="1:9" ht="20.100000000000001" customHeight="1" x14ac:dyDescent="0.25">
      <c r="A66" s="3">
        <v>14</v>
      </c>
      <c r="B66" s="2" t="s">
        <v>12</v>
      </c>
      <c r="C66" s="3">
        <v>100</v>
      </c>
      <c r="D66" s="10">
        <v>177.12</v>
      </c>
      <c r="E66" s="10">
        <v>0</v>
      </c>
      <c r="F66" s="10">
        <v>177.12</v>
      </c>
      <c r="G66" s="22">
        <v>43755</v>
      </c>
      <c r="H66" s="6" t="str">
        <f>CONCATENATE(YEAR(Proventos[[#This Row],[Data]]),"/",IF(MONTH(Proventos[[#This Row],[Data]])&lt;10,"0",""),MONTH(Proventos[[#This Row],[Data]]))</f>
        <v>2019/10</v>
      </c>
      <c r="I66" s="12" t="str">
        <f xml:space="preserve"> IF(Proventos[[#This Row],[Ativo]]="","",VLOOKUP(Proventos[[#This Row],[Ativo]],Ativos[],2,FALSE))</f>
        <v>FII</v>
      </c>
    </row>
    <row r="67" spans="1:9" ht="20.100000000000001" customHeight="1" x14ac:dyDescent="0.25">
      <c r="A67" s="3">
        <v>14</v>
      </c>
      <c r="B67" s="2" t="s">
        <v>13</v>
      </c>
      <c r="C67" s="3">
        <v>100</v>
      </c>
      <c r="D67" s="10">
        <v>162.75</v>
      </c>
      <c r="E67" s="10">
        <v>0</v>
      </c>
      <c r="F67" s="10">
        <v>162.75</v>
      </c>
      <c r="G67" s="22">
        <v>43845</v>
      </c>
      <c r="H67" s="6" t="str">
        <f>CONCATENATE(YEAR(Proventos[[#This Row],[Data]]),"/",IF(MONTH(Proventos[[#This Row],[Data]])&lt;10,"0",""),MONTH(Proventos[[#This Row],[Data]]))</f>
        <v>2020/01</v>
      </c>
      <c r="I67" s="12" t="str">
        <f xml:space="preserve"> IF(Proventos[[#This Row],[Ativo]]="","",VLOOKUP(Proventos[[#This Row],[Ativo]],Ativos[],2,FALSE))</f>
        <v>EMPRESA</v>
      </c>
    </row>
    <row r="68" spans="1:9" ht="20.100000000000001" customHeight="1" x14ac:dyDescent="0.25">
      <c r="A68" s="3">
        <v>14</v>
      </c>
      <c r="B68" s="2" t="s">
        <v>8</v>
      </c>
      <c r="C68" s="3">
        <v>100</v>
      </c>
      <c r="D68" s="10">
        <v>61</v>
      </c>
      <c r="E68" s="10">
        <v>0</v>
      </c>
      <c r="F68" s="10">
        <v>61</v>
      </c>
      <c r="G68" s="22">
        <v>43847</v>
      </c>
      <c r="H68" s="6" t="str">
        <f>CONCATENATE(YEAR(Proventos[[#This Row],[Data]]),"/",IF(MONTH(Proventos[[#This Row],[Data]])&lt;10,"0",""),MONTH(Proventos[[#This Row],[Data]]))</f>
        <v>2020/01</v>
      </c>
      <c r="I68" s="12" t="str">
        <f xml:space="preserve"> IF(Proventos[[#This Row],[Ativo]]="","",VLOOKUP(Proventos[[#This Row],[Ativo]],Ativos[],2,FALSE))</f>
        <v>FII</v>
      </c>
    </row>
    <row r="69" spans="1:9" ht="20.100000000000001" customHeight="1" x14ac:dyDescent="0.25">
      <c r="A69" s="3">
        <v>14</v>
      </c>
      <c r="B69" s="2" t="s">
        <v>10</v>
      </c>
      <c r="C69" s="3">
        <v>100</v>
      </c>
      <c r="D69" s="10">
        <v>180.6</v>
      </c>
      <c r="E69" s="10">
        <v>0</v>
      </c>
      <c r="F69" s="10">
        <v>180.6</v>
      </c>
      <c r="G69" s="22">
        <v>43847</v>
      </c>
      <c r="H69" s="6" t="str">
        <f>CONCATENATE(YEAR(Proventos[[#This Row],[Data]]),"/",IF(MONTH(Proventos[[#This Row],[Data]])&lt;10,"0",""),MONTH(Proventos[[#This Row],[Data]]))</f>
        <v>2020/01</v>
      </c>
      <c r="I69" s="12" t="str">
        <f xml:space="preserve"> IF(Proventos[[#This Row],[Ativo]]="","",VLOOKUP(Proventos[[#This Row],[Ativo]],Ativos[],2,FALSE))</f>
        <v>FII</v>
      </c>
    </row>
    <row r="70" spans="1:9" ht="20.100000000000001" customHeight="1" x14ac:dyDescent="0.25">
      <c r="A70" s="3">
        <v>14</v>
      </c>
      <c r="B70" s="2" t="s">
        <v>11</v>
      </c>
      <c r="C70" s="3">
        <v>100</v>
      </c>
      <c r="D70" s="10">
        <v>38.4</v>
      </c>
      <c r="E70" s="10">
        <v>0</v>
      </c>
      <c r="F70" s="10">
        <v>38.4</v>
      </c>
      <c r="G70" s="22">
        <v>43847</v>
      </c>
      <c r="H70" s="6" t="str">
        <f>CONCATENATE(YEAR(Proventos[[#This Row],[Data]]),"/",IF(MONTH(Proventos[[#This Row],[Data]])&lt;10,"0",""),MONTH(Proventos[[#This Row],[Data]]))</f>
        <v>2020/01</v>
      </c>
      <c r="I70" s="12" t="str">
        <f xml:space="preserve"> IF(Proventos[[#This Row],[Ativo]]="","",VLOOKUP(Proventos[[#This Row],[Ativo]],Ativos[],2,FALSE))</f>
        <v>FII</v>
      </c>
    </row>
    <row r="71" spans="1:9" ht="20.100000000000001" customHeight="1" x14ac:dyDescent="0.25">
      <c r="A71" s="3">
        <v>14</v>
      </c>
      <c r="B71" s="2" t="s">
        <v>12</v>
      </c>
      <c r="C71" s="3">
        <v>100</v>
      </c>
      <c r="D71" s="10">
        <v>153.18</v>
      </c>
      <c r="E71" s="10">
        <v>0</v>
      </c>
      <c r="F71" s="10">
        <v>153.18</v>
      </c>
      <c r="G71" s="22">
        <v>43847</v>
      </c>
      <c r="H71" s="6" t="str">
        <f>CONCATENATE(YEAR(Proventos[[#This Row],[Data]]),"/",IF(MONTH(Proventos[[#This Row],[Data]])&lt;10,"0",""),MONTH(Proventos[[#This Row],[Data]]))</f>
        <v>2020/01</v>
      </c>
      <c r="I71" s="12" t="str">
        <f xml:space="preserve"> IF(Proventos[[#This Row],[Ativo]]="","",VLOOKUP(Proventos[[#This Row],[Ativo]],Ativos[],2,FALSE))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6292-F1C3-48FD-BF26-CCB72025EDD5}">
  <dimension ref="A1:C10"/>
  <sheetViews>
    <sheetView showGridLines="0" showRowColHeaders="0" zoomScale="250" zoomScaleNormal="250" workbookViewId="0">
      <selection activeCell="E1" sqref="E1:XFD1048576"/>
    </sheetView>
  </sheetViews>
  <sheetFormatPr defaultColWidth="0" defaultRowHeight="20.100000000000001" customHeight="1" x14ac:dyDescent="0.25"/>
  <cols>
    <col min="1" max="1" width="8.85546875" style="2" bestFit="1" customWidth="1"/>
    <col min="2" max="2" width="9.28515625" style="2" bestFit="1" customWidth="1"/>
    <col min="3" max="3" width="12" style="2" bestFit="1" customWidth="1"/>
    <col min="4" max="4" width="5.7109375" style="2" customWidth="1"/>
    <col min="5" max="16384" width="15.7109375" style="2" hidden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2" t="s">
        <v>3</v>
      </c>
      <c r="B2" s="2" t="s">
        <v>4</v>
      </c>
      <c r="C2" s="2">
        <v>11.66</v>
      </c>
    </row>
    <row r="3" spans="1:3" ht="15" x14ac:dyDescent="0.25">
      <c r="A3" s="2" t="s">
        <v>5</v>
      </c>
      <c r="B3" s="2" t="s">
        <v>4</v>
      </c>
      <c r="C3" s="2">
        <v>15.59</v>
      </c>
    </row>
    <row r="4" spans="1:3" ht="15" x14ac:dyDescent="0.25">
      <c r="A4" s="2" t="s">
        <v>6</v>
      </c>
      <c r="B4" s="2" t="s">
        <v>4</v>
      </c>
      <c r="C4" s="2">
        <v>9.0299999999999994</v>
      </c>
    </row>
    <row r="5" spans="1:3" ht="15" x14ac:dyDescent="0.25">
      <c r="A5" s="2" t="s">
        <v>7</v>
      </c>
      <c r="B5" s="2" t="s">
        <v>4</v>
      </c>
      <c r="C5" s="2">
        <v>36.68</v>
      </c>
    </row>
    <row r="6" spans="1:3" ht="15" x14ac:dyDescent="0.25">
      <c r="A6" s="2" t="s">
        <v>8</v>
      </c>
      <c r="B6" s="2" t="s">
        <v>9</v>
      </c>
      <c r="C6" s="2">
        <v>229.33</v>
      </c>
    </row>
    <row r="7" spans="1:3" ht="15" x14ac:dyDescent="0.25">
      <c r="A7" s="2" t="s">
        <v>10</v>
      </c>
      <c r="B7" s="2" t="s">
        <v>9</v>
      </c>
      <c r="C7" s="2">
        <v>159.30000000000001</v>
      </c>
    </row>
    <row r="8" spans="1:3" ht="15" x14ac:dyDescent="0.25">
      <c r="A8" s="2" t="s">
        <v>11</v>
      </c>
      <c r="B8" s="2" t="s">
        <v>9</v>
      </c>
      <c r="C8" s="2">
        <v>128.12</v>
      </c>
    </row>
    <row r="9" spans="1:3" ht="15" x14ac:dyDescent="0.25">
      <c r="A9" s="2" t="s">
        <v>12</v>
      </c>
      <c r="B9" s="2" t="s">
        <v>9</v>
      </c>
      <c r="C9" s="2">
        <v>161.43</v>
      </c>
    </row>
    <row r="10" spans="1:3" ht="15" x14ac:dyDescent="0.25">
      <c r="A10" s="2" t="s">
        <v>13</v>
      </c>
      <c r="B10" s="2" t="s">
        <v>4</v>
      </c>
      <c r="C10" s="2">
        <v>11.31</v>
      </c>
    </row>
  </sheetData>
  <sheetProtection sheet="1" objects="1" scenarios="1" selectLockedCells="1" autoFilter="0" pivotTables="0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7CA7C-0313-46DC-A940-1EE56CFDE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DashBoard</vt:lpstr>
      <vt:lpstr>Análise</vt:lpstr>
      <vt:lpstr>ReCarteira</vt:lpstr>
      <vt:lpstr>ReCarteiraAções</vt:lpstr>
      <vt:lpstr>ReCarteiraFII</vt:lpstr>
      <vt:lpstr>ReAportes</vt:lpstr>
      <vt:lpstr>ReProventos</vt:lpstr>
      <vt:lpstr>Aportes</vt:lpstr>
      <vt:lpstr>Proventos</vt:lpstr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Neves</dc:creator>
  <cp:lastModifiedBy>Guilherme Neves</cp:lastModifiedBy>
  <dcterms:created xsi:type="dcterms:W3CDTF">2023-10-16T22:38:03Z</dcterms:created>
  <dcterms:modified xsi:type="dcterms:W3CDTF">2023-10-17T16:43:38Z</dcterms:modified>
</cp:coreProperties>
</file>