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IAS RUIZ\Desktop\graficas\"/>
    </mc:Choice>
  </mc:AlternateContent>
  <xr:revisionPtr revIDLastSave="0" documentId="13_ncr:1_{B24B6F68-A303-490A-9708-B22555040872}" xr6:coauthVersionLast="45" xr6:coauthVersionMax="45" xr10:uidLastSave="{00000000-0000-0000-0000-000000000000}"/>
  <bookViews>
    <workbookView xWindow="-120" yWindow="-120" windowWidth="20730" windowHeight="11760" xr2:uid="{ACE5C87A-29CD-4983-8711-684F90C33FB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Y42" i="1" l="1"/>
  <c r="AU42" i="1"/>
  <c r="AT42" i="1"/>
  <c r="AS42" i="1"/>
  <c r="AL42" i="1"/>
  <c r="AK42" i="1"/>
  <c r="AY41" i="1"/>
  <c r="AU41" i="1"/>
  <c r="AT41" i="1"/>
  <c r="AS41" i="1"/>
  <c r="AL41" i="1"/>
  <c r="AK41" i="1"/>
  <c r="AY40" i="1"/>
  <c r="AU40" i="1"/>
  <c r="AT40" i="1"/>
  <c r="AS40" i="1"/>
  <c r="AL40" i="1"/>
  <c r="AK40" i="1"/>
  <c r="AY39" i="1"/>
  <c r="AU39" i="1"/>
  <c r="AT39" i="1"/>
  <c r="AS39" i="1"/>
  <c r="AL39" i="1"/>
  <c r="AK39" i="1"/>
  <c r="AY38" i="1"/>
  <c r="AU38" i="1"/>
  <c r="AT38" i="1"/>
  <c r="AS38" i="1"/>
  <c r="AL38" i="1"/>
  <c r="AK38" i="1"/>
  <c r="AY37" i="1"/>
  <c r="AU37" i="1"/>
  <c r="AT37" i="1"/>
  <c r="AS37" i="1"/>
  <c r="AL37" i="1"/>
  <c r="AK37" i="1"/>
  <c r="AY36" i="1"/>
  <c r="AU36" i="1"/>
  <c r="AT36" i="1"/>
  <c r="AS36" i="1"/>
  <c r="AL36" i="1"/>
  <c r="AK36" i="1"/>
  <c r="AY35" i="1"/>
  <c r="AU35" i="1"/>
  <c r="AT35" i="1"/>
  <c r="AS35" i="1"/>
  <c r="AL35" i="1"/>
  <c r="AK35" i="1"/>
  <c r="AY34" i="1"/>
  <c r="AU34" i="1"/>
  <c r="AT34" i="1"/>
  <c r="AS34" i="1"/>
  <c r="AL34" i="1"/>
  <c r="AK34" i="1"/>
  <c r="AY33" i="1"/>
  <c r="AU33" i="1"/>
  <c r="AT33" i="1"/>
  <c r="AS33" i="1"/>
  <c r="AL33" i="1"/>
  <c r="AK33" i="1"/>
  <c r="AY32" i="1"/>
  <c r="AU32" i="1"/>
  <c r="AT32" i="1"/>
  <c r="AS32" i="1"/>
  <c r="AL32" i="1"/>
  <c r="AK32" i="1"/>
  <c r="AY31" i="1"/>
  <c r="AU31" i="1"/>
  <c r="AT31" i="1"/>
  <c r="AS31" i="1"/>
  <c r="AL31" i="1"/>
  <c r="AK31" i="1"/>
  <c r="AY30" i="1"/>
  <c r="AU30" i="1"/>
  <c r="AT30" i="1"/>
  <c r="AS30" i="1"/>
  <c r="AL30" i="1"/>
  <c r="AK30" i="1"/>
  <c r="AY29" i="1"/>
  <c r="AU29" i="1"/>
  <c r="AT29" i="1"/>
  <c r="AS29" i="1"/>
  <c r="AL29" i="1"/>
  <c r="AK29" i="1"/>
  <c r="AY28" i="1"/>
  <c r="AU28" i="1"/>
  <c r="AT28" i="1"/>
  <c r="AS28" i="1"/>
  <c r="AL28" i="1"/>
  <c r="AK28" i="1"/>
  <c r="AK27" i="1"/>
  <c r="AY26" i="1"/>
  <c r="AU26" i="1"/>
  <c r="AT26" i="1"/>
  <c r="AS26" i="1"/>
  <c r="AL26" i="1"/>
  <c r="AK26" i="1"/>
  <c r="AY25" i="1"/>
  <c r="AU25" i="1"/>
  <c r="AT25" i="1"/>
  <c r="AS25" i="1"/>
  <c r="AL25" i="1"/>
  <c r="AK25" i="1"/>
  <c r="AY24" i="1"/>
  <c r="AU24" i="1"/>
  <c r="AT24" i="1"/>
  <c r="AS24" i="1"/>
  <c r="AL24" i="1"/>
  <c r="AK24" i="1"/>
  <c r="AY23" i="1"/>
  <c r="AU23" i="1"/>
  <c r="AT23" i="1"/>
  <c r="AS23" i="1"/>
  <c r="AL23" i="1"/>
  <c r="AK23" i="1"/>
  <c r="AY22" i="1"/>
  <c r="AU22" i="1"/>
  <c r="AT22" i="1"/>
  <c r="AS22" i="1"/>
  <c r="AL22" i="1"/>
  <c r="AK22" i="1"/>
  <c r="AY21" i="1"/>
  <c r="AU21" i="1"/>
  <c r="AT21" i="1"/>
  <c r="AS21" i="1"/>
  <c r="AL21" i="1"/>
  <c r="AK21" i="1"/>
  <c r="AY20" i="1"/>
  <c r="AU20" i="1"/>
  <c r="AT20" i="1"/>
  <c r="AS20" i="1"/>
  <c r="AL20" i="1"/>
  <c r="AK20" i="1"/>
  <c r="AY19" i="1"/>
  <c r="AU19" i="1"/>
  <c r="AT19" i="1"/>
  <c r="AS19" i="1"/>
  <c r="AL19" i="1"/>
  <c r="AK19" i="1"/>
  <c r="AY18" i="1"/>
  <c r="AU18" i="1"/>
  <c r="AT18" i="1"/>
  <c r="AS18" i="1"/>
  <c r="AL18" i="1"/>
  <c r="AK18" i="1"/>
  <c r="AY17" i="1"/>
  <c r="AU17" i="1"/>
  <c r="AT17" i="1"/>
  <c r="AS17" i="1"/>
  <c r="AL17" i="1"/>
  <c r="AK17" i="1"/>
  <c r="AY16" i="1"/>
  <c r="AU16" i="1"/>
  <c r="AT16" i="1"/>
  <c r="AS16" i="1"/>
  <c r="AL16" i="1"/>
  <c r="AK16" i="1"/>
  <c r="AY15" i="1"/>
  <c r="AU15" i="1"/>
  <c r="AT15" i="1"/>
  <c r="AS15" i="1"/>
  <c r="AL15" i="1"/>
  <c r="AK15" i="1"/>
  <c r="AY14" i="1"/>
  <c r="AU14" i="1"/>
  <c r="AT14" i="1"/>
  <c r="AS14" i="1"/>
  <c r="AL14" i="1"/>
  <c r="AK14" i="1"/>
  <c r="AY13" i="1"/>
  <c r="AU13" i="1"/>
  <c r="AT13" i="1"/>
  <c r="AS13" i="1"/>
  <c r="AL13" i="1"/>
  <c r="AK13" i="1"/>
  <c r="AY12" i="1"/>
  <c r="AU12" i="1"/>
  <c r="AT12" i="1"/>
  <c r="AS12" i="1"/>
  <c r="AL12" i="1"/>
  <c r="AK12" i="1"/>
  <c r="AY11" i="1"/>
  <c r="AU11" i="1"/>
  <c r="AT11" i="1"/>
  <c r="AS11" i="1"/>
  <c r="AL11" i="1"/>
  <c r="AK11" i="1"/>
  <c r="AY10" i="1"/>
  <c r="AU10" i="1"/>
  <c r="AT10" i="1"/>
  <c r="AS10" i="1"/>
  <c r="AL10" i="1"/>
  <c r="AK10" i="1"/>
  <c r="AY9" i="1"/>
  <c r="AU9" i="1"/>
  <c r="AT9" i="1"/>
  <c r="AS9" i="1"/>
  <c r="AL9" i="1"/>
  <c r="AK9" i="1"/>
  <c r="AY8" i="1"/>
  <c r="AU8" i="1"/>
  <c r="AT8" i="1"/>
  <c r="AS8" i="1"/>
  <c r="AL8" i="1"/>
  <c r="AK8" i="1"/>
  <c r="AY7" i="1"/>
  <c r="AU7" i="1"/>
  <c r="AT7" i="1"/>
  <c r="AS7" i="1"/>
  <c r="AL7" i="1"/>
  <c r="AK7" i="1"/>
  <c r="AY6" i="1"/>
  <c r="AU6" i="1"/>
  <c r="AT6" i="1"/>
  <c r="AS6" i="1"/>
  <c r="AL6" i="1"/>
  <c r="AK6" i="1"/>
  <c r="AY5" i="1"/>
  <c r="AU5" i="1"/>
  <c r="AT5" i="1"/>
  <c r="AS5" i="1"/>
  <c r="AL5" i="1"/>
  <c r="AK5" i="1"/>
  <c r="AK4" i="1"/>
  <c r="AI42" i="1"/>
  <c r="AH42" i="1"/>
  <c r="AG42" i="1"/>
  <c r="AF42" i="1"/>
  <c r="AE42" i="1"/>
  <c r="AD42" i="1"/>
  <c r="AC42" i="1"/>
  <c r="AB42" i="1"/>
  <c r="AA42" i="1"/>
  <c r="Z42" i="1"/>
  <c r="Y42" i="1"/>
  <c r="X42" i="1"/>
  <c r="U42" i="1"/>
  <c r="T42" i="1"/>
  <c r="S42" i="1"/>
  <c r="P42" i="1"/>
  <c r="O42" i="1"/>
  <c r="N42" i="1"/>
  <c r="M42" i="1"/>
  <c r="L42" i="1"/>
  <c r="K42" i="1"/>
  <c r="I42" i="1"/>
  <c r="F42" i="1"/>
  <c r="AI41" i="1"/>
  <c r="AH41" i="1"/>
  <c r="AG41" i="1"/>
  <c r="AF41" i="1"/>
  <c r="AE41" i="1"/>
  <c r="AD41" i="1"/>
  <c r="AC41" i="1"/>
  <c r="AB41" i="1"/>
  <c r="AA41" i="1"/>
  <c r="Z41" i="1"/>
  <c r="Y41" i="1"/>
  <c r="X41" i="1"/>
  <c r="U41" i="1"/>
  <c r="T41" i="1"/>
  <c r="S41" i="1"/>
  <c r="P41" i="1"/>
  <c r="O41" i="1"/>
  <c r="N41" i="1"/>
  <c r="M41" i="1"/>
  <c r="L41" i="1"/>
  <c r="K41" i="1"/>
  <c r="I41" i="1"/>
  <c r="F41" i="1"/>
  <c r="AI40" i="1"/>
  <c r="AH40" i="1"/>
  <c r="AG40" i="1"/>
  <c r="AF40" i="1"/>
  <c r="AE40" i="1"/>
  <c r="AD40" i="1"/>
  <c r="AC40" i="1"/>
  <c r="AB40" i="1"/>
  <c r="AA40" i="1"/>
  <c r="Z40" i="1"/>
  <c r="Y40" i="1"/>
  <c r="X40" i="1"/>
  <c r="U40" i="1"/>
  <c r="T40" i="1"/>
  <c r="S40" i="1"/>
  <c r="P40" i="1"/>
  <c r="O40" i="1"/>
  <c r="N40" i="1"/>
  <c r="M40" i="1"/>
  <c r="L40" i="1"/>
  <c r="K40" i="1"/>
  <c r="I40" i="1"/>
  <c r="F40" i="1"/>
  <c r="AI39" i="1"/>
  <c r="AH39" i="1"/>
  <c r="AG39" i="1"/>
  <c r="AF39" i="1"/>
  <c r="AE39" i="1"/>
  <c r="AD39" i="1"/>
  <c r="AC39" i="1"/>
  <c r="AB39" i="1"/>
  <c r="AA39" i="1"/>
  <c r="Z39" i="1"/>
  <c r="Y39" i="1"/>
  <c r="X39" i="1"/>
  <c r="U39" i="1"/>
  <c r="T39" i="1"/>
  <c r="S39" i="1"/>
  <c r="P39" i="1"/>
  <c r="O39" i="1"/>
  <c r="N39" i="1"/>
  <c r="M39" i="1"/>
  <c r="L39" i="1"/>
  <c r="K39" i="1"/>
  <c r="I39" i="1"/>
  <c r="F39" i="1"/>
  <c r="AI38" i="1"/>
  <c r="AH38" i="1"/>
  <c r="AG38" i="1"/>
  <c r="AF38" i="1"/>
  <c r="AE38" i="1"/>
  <c r="AD38" i="1"/>
  <c r="AC38" i="1"/>
  <c r="AB38" i="1"/>
  <c r="AA38" i="1"/>
  <c r="Z38" i="1"/>
  <c r="Y38" i="1"/>
  <c r="X38" i="1"/>
  <c r="U38" i="1"/>
  <c r="T38" i="1"/>
  <c r="S38" i="1"/>
  <c r="P38" i="1"/>
  <c r="O38" i="1"/>
  <c r="N38" i="1"/>
  <c r="M38" i="1"/>
  <c r="L38" i="1"/>
  <c r="K38" i="1"/>
  <c r="I38" i="1"/>
  <c r="F38" i="1"/>
  <c r="AI37" i="1"/>
  <c r="AH37" i="1"/>
  <c r="AG37" i="1"/>
  <c r="AF37" i="1"/>
  <c r="AE37" i="1"/>
  <c r="AD37" i="1"/>
  <c r="AC37" i="1"/>
  <c r="AB37" i="1"/>
  <c r="AA37" i="1"/>
  <c r="Z37" i="1"/>
  <c r="Y37" i="1"/>
  <c r="X37" i="1"/>
  <c r="U37" i="1"/>
  <c r="T37" i="1"/>
  <c r="S37" i="1"/>
  <c r="P37" i="1"/>
  <c r="O37" i="1"/>
  <c r="N37" i="1"/>
  <c r="M37" i="1"/>
  <c r="L37" i="1"/>
  <c r="K37" i="1"/>
  <c r="I37" i="1"/>
  <c r="F37" i="1"/>
  <c r="AI36" i="1"/>
  <c r="AH36" i="1"/>
  <c r="AG36" i="1"/>
  <c r="AF36" i="1"/>
  <c r="AE36" i="1"/>
  <c r="AD36" i="1"/>
  <c r="AC36" i="1"/>
  <c r="AB36" i="1"/>
  <c r="AA36" i="1"/>
  <c r="Z36" i="1"/>
  <c r="Y36" i="1"/>
  <c r="X36" i="1"/>
  <c r="U36" i="1"/>
  <c r="T36" i="1"/>
  <c r="S36" i="1"/>
  <c r="P36" i="1"/>
  <c r="O36" i="1"/>
  <c r="N36" i="1"/>
  <c r="M36" i="1"/>
  <c r="L36" i="1"/>
  <c r="K36" i="1"/>
  <c r="I36" i="1"/>
  <c r="F36" i="1"/>
  <c r="AI35" i="1"/>
  <c r="AH35" i="1"/>
  <c r="AG35" i="1"/>
  <c r="AF35" i="1"/>
  <c r="AE35" i="1"/>
  <c r="AD35" i="1"/>
  <c r="AC35" i="1"/>
  <c r="AB35" i="1"/>
  <c r="AA35" i="1"/>
  <c r="Z35" i="1"/>
  <c r="Y35" i="1"/>
  <c r="X35" i="1"/>
  <c r="U35" i="1"/>
  <c r="T35" i="1"/>
  <c r="S35" i="1"/>
  <c r="P35" i="1"/>
  <c r="O35" i="1"/>
  <c r="N35" i="1"/>
  <c r="M35" i="1"/>
  <c r="L35" i="1"/>
  <c r="K35" i="1"/>
  <c r="I35" i="1"/>
  <c r="F35" i="1"/>
  <c r="AI34" i="1"/>
  <c r="AH34" i="1"/>
  <c r="AG34" i="1"/>
  <c r="AF34" i="1"/>
  <c r="AE34" i="1"/>
  <c r="AD34" i="1"/>
  <c r="AC34" i="1"/>
  <c r="AB34" i="1"/>
  <c r="AA34" i="1"/>
  <c r="Z34" i="1"/>
  <c r="Y34" i="1"/>
  <c r="X34" i="1"/>
  <c r="U34" i="1"/>
  <c r="T34" i="1"/>
  <c r="S34" i="1"/>
  <c r="P34" i="1"/>
  <c r="O34" i="1"/>
  <c r="N34" i="1"/>
  <c r="M34" i="1"/>
  <c r="L34" i="1"/>
  <c r="K34" i="1"/>
  <c r="I34" i="1"/>
  <c r="F34" i="1"/>
  <c r="AI33" i="1"/>
  <c r="AH33" i="1"/>
  <c r="AG33" i="1"/>
  <c r="AF33" i="1"/>
  <c r="AE33" i="1"/>
  <c r="AD33" i="1"/>
  <c r="AC33" i="1"/>
  <c r="AB33" i="1"/>
  <c r="AA33" i="1"/>
  <c r="Z33" i="1"/>
  <c r="Y33" i="1"/>
  <c r="X33" i="1"/>
  <c r="U33" i="1"/>
  <c r="T33" i="1"/>
  <c r="S33" i="1"/>
  <c r="P33" i="1"/>
  <c r="O33" i="1"/>
  <c r="N33" i="1"/>
  <c r="M33" i="1"/>
  <c r="L33" i="1"/>
  <c r="K33" i="1"/>
  <c r="I33" i="1"/>
  <c r="F33" i="1"/>
  <c r="AI32" i="1"/>
  <c r="AH32" i="1"/>
  <c r="AG32" i="1"/>
  <c r="AF32" i="1"/>
  <c r="AE32" i="1"/>
  <c r="AD32" i="1"/>
  <c r="AC32" i="1"/>
  <c r="AB32" i="1"/>
  <c r="AA32" i="1"/>
  <c r="Z32" i="1"/>
  <c r="Y32" i="1"/>
  <c r="X32" i="1"/>
  <c r="U32" i="1"/>
  <c r="T32" i="1"/>
  <c r="S32" i="1"/>
  <c r="P32" i="1"/>
  <c r="O32" i="1"/>
  <c r="N32" i="1"/>
  <c r="M32" i="1"/>
  <c r="L32" i="1"/>
  <c r="K32" i="1"/>
  <c r="I32" i="1"/>
  <c r="F32" i="1"/>
  <c r="AI31" i="1"/>
  <c r="AH31" i="1"/>
  <c r="AG31" i="1"/>
  <c r="AF31" i="1"/>
  <c r="AE31" i="1"/>
  <c r="AD31" i="1"/>
  <c r="AC31" i="1"/>
  <c r="AB31" i="1"/>
  <c r="AA31" i="1"/>
  <c r="Z31" i="1"/>
  <c r="Y31" i="1"/>
  <c r="X31" i="1"/>
  <c r="U31" i="1"/>
  <c r="T31" i="1"/>
  <c r="S31" i="1"/>
  <c r="P31" i="1"/>
  <c r="O31" i="1"/>
  <c r="N31" i="1"/>
  <c r="M31" i="1"/>
  <c r="L31" i="1"/>
  <c r="K31" i="1"/>
  <c r="I31" i="1"/>
  <c r="F31" i="1"/>
  <c r="AI30" i="1"/>
  <c r="AH30" i="1"/>
  <c r="AG30" i="1"/>
  <c r="AF30" i="1"/>
  <c r="AE30" i="1"/>
  <c r="AD30" i="1"/>
  <c r="AC30" i="1"/>
  <c r="AB30" i="1"/>
  <c r="AA30" i="1"/>
  <c r="Z30" i="1"/>
  <c r="Y30" i="1"/>
  <c r="X30" i="1"/>
  <c r="U30" i="1"/>
  <c r="T30" i="1"/>
  <c r="S30" i="1"/>
  <c r="P30" i="1"/>
  <c r="O30" i="1"/>
  <c r="N30" i="1"/>
  <c r="M30" i="1"/>
  <c r="L30" i="1"/>
  <c r="K30" i="1"/>
  <c r="I30" i="1"/>
  <c r="F30" i="1"/>
  <c r="AI29" i="1"/>
  <c r="AH29" i="1"/>
  <c r="AG29" i="1"/>
  <c r="AF29" i="1"/>
  <c r="AE29" i="1"/>
  <c r="AD29" i="1"/>
  <c r="AC29" i="1"/>
  <c r="AB29" i="1"/>
  <c r="AA29" i="1"/>
  <c r="Z29" i="1"/>
  <c r="Y29" i="1"/>
  <c r="X29" i="1"/>
  <c r="U29" i="1"/>
  <c r="T29" i="1"/>
  <c r="S29" i="1"/>
  <c r="P29" i="1"/>
  <c r="O29" i="1"/>
  <c r="N29" i="1"/>
  <c r="M29" i="1"/>
  <c r="L29" i="1"/>
  <c r="K29" i="1"/>
  <c r="I29" i="1"/>
  <c r="F29" i="1"/>
  <c r="AI28" i="1"/>
  <c r="AH28" i="1"/>
  <c r="AG28" i="1"/>
  <c r="AF28" i="1"/>
  <c r="AE28" i="1"/>
  <c r="AD28" i="1"/>
  <c r="AC28" i="1"/>
  <c r="AB28" i="1"/>
  <c r="AA28" i="1"/>
  <c r="Z28" i="1"/>
  <c r="Y28" i="1"/>
  <c r="X28" i="1"/>
  <c r="U28" i="1"/>
  <c r="T28" i="1"/>
  <c r="S28" i="1"/>
  <c r="P28" i="1"/>
  <c r="O28" i="1"/>
  <c r="N28" i="1"/>
  <c r="M28" i="1"/>
  <c r="L28" i="1"/>
  <c r="K28" i="1"/>
  <c r="I28" i="1"/>
  <c r="F28" i="1"/>
  <c r="H27" i="1"/>
  <c r="G27" i="1"/>
  <c r="F27" i="1"/>
  <c r="E27" i="1"/>
  <c r="H26" i="1"/>
  <c r="G26" i="1"/>
  <c r="F26" i="1"/>
  <c r="E26" i="1"/>
  <c r="H25" i="1"/>
  <c r="G25" i="1"/>
  <c r="F25" i="1"/>
  <c r="E25" i="1"/>
  <c r="H24" i="1"/>
  <c r="G24" i="1"/>
  <c r="F24" i="1"/>
  <c r="E24" i="1"/>
  <c r="H23" i="1"/>
  <c r="G23" i="1"/>
  <c r="F23" i="1"/>
  <c r="E23" i="1"/>
  <c r="H22" i="1"/>
  <c r="G22" i="1"/>
  <c r="F22" i="1"/>
  <c r="E22" i="1"/>
  <c r="H21" i="1"/>
  <c r="G21" i="1"/>
  <c r="F21" i="1"/>
  <c r="E21" i="1"/>
  <c r="H20" i="1"/>
  <c r="G20" i="1"/>
  <c r="F20" i="1"/>
  <c r="E20" i="1"/>
  <c r="H19" i="1"/>
  <c r="G19" i="1"/>
  <c r="F19" i="1"/>
  <c r="E19" i="1"/>
  <c r="H18" i="1"/>
  <c r="G18" i="1"/>
  <c r="F18" i="1"/>
  <c r="E1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1" authorId="0" shapeId="0" xr:uid="{C5370058-7813-46D3-8614-9253B2795DDC}">
      <text>
        <r>
          <rPr>
            <sz val="11"/>
            <color theme="1"/>
            <rFont val="Arial"/>
            <family val="2"/>
          </rPr>
          <t>======
ID#AAAAGiUUzZg
Autor    (2020-05-22 15:16:16)
Fuente: Evolución futura de costos de las energías renovables y almacenamiento en América Latina-BID</t>
        </r>
      </text>
    </comment>
  </commentList>
</comments>
</file>

<file path=xl/sharedStrings.xml><?xml version="1.0" encoding="utf-8"?>
<sst xmlns="http://schemas.openxmlformats.org/spreadsheetml/2006/main" count="49" uniqueCount="47">
  <si>
    <t>Time</t>
  </si>
  <si>
    <t>Escenarios de crecimiento del PIB (% anual) Demanda Media</t>
  </si>
  <si>
    <t>Escenarios de crecimiento del PIB (% anual) Demanda Alta</t>
  </si>
  <si>
    <t>Escenarios de crecimiento del PIB (% anual) Demanda Baja</t>
  </si>
  <si>
    <t>Energía Eólica. Evolución de CAPEX Perú ( ,000 USD / kW)</t>
  </si>
  <si>
    <t>Energía Eólica Marina. Evolución de CAPEX Perú ( ,000 USD / kW)</t>
  </si>
  <si>
    <t>Energía Solar Fotovoltaica. Evolución de CAPEX Perú  (USD / Wdc)</t>
  </si>
  <si>
    <t>Almacenamiento de energía. Evolución de CAPEX Perú (,000 USD / kW)</t>
  </si>
  <si>
    <t xml:space="preserve">Demanda de electricidad anual para un escenario bajo *(PBI demanda bajo)(GW.h/año) </t>
  </si>
  <si>
    <t xml:space="preserve">Demanda de electricidad anual para un escenario base *(PBI demanda media)(GW.h/año) </t>
  </si>
  <si>
    <t xml:space="preserve">Demanda de electricidad anual para un escenario alto *(PBI demanda media)(GW.h/año) </t>
  </si>
  <si>
    <t xml:space="preserve">Máxima Demanda_Potencia de electricidad anual para un escenario bajo *(PBI demanda bajo)(MW/año) </t>
  </si>
  <si>
    <t xml:space="preserve">Máxima Demanda_Potencia de electricidad anual para un escenario base *(PBI demanda media)(MW/año) </t>
  </si>
  <si>
    <t xml:space="preserve">Máxima Demanda_Potencia de electricidad anual para un escenario alto *(PBI demanda alto)(MW/año) </t>
  </si>
  <si>
    <t>Camisea Boca de Pozo Escenario Referencia (cap) (USD constantes 2017/MMBTU)</t>
  </si>
  <si>
    <t>Camisea Boca de Pozo Escenario Referencia (contratos) (USD constantes 2017/MMBTU)</t>
  </si>
  <si>
    <t>Tarifa Transporte Escenario Referencia (USD constantes 2017/MMBTU)</t>
  </si>
  <si>
    <t>Tarifa Distribución Escenario Referencia (USD constantes 2017/MMBTU)</t>
  </si>
  <si>
    <t>REF-Precio promedio gas en planta Escenario Referencia (USD constantes 2017/MMBTU)</t>
  </si>
  <si>
    <t>Camisea Boca de Pozo Escenario Alto (cap) (USD constantes 2017/MMBTU)</t>
  </si>
  <si>
    <t>Camisea Boca de Pozo Escenario Alto (contratos) (USD constantes 2017/MMBTU)</t>
  </si>
  <si>
    <t>Tarifa Transporte Escenario Alto (USD constantes 2017/MMBTU)</t>
  </si>
  <si>
    <t>Tarifa Distribución Escenario Alto (USD constantes 2017/MMBTU)</t>
  </si>
  <si>
    <t>ALTO-Precio promedio gas en planta Escenario Alto (USD constantes 2017/MMBTU)</t>
  </si>
  <si>
    <t>WTI escenario de referencia (US$/barril)</t>
  </si>
  <si>
    <t>Fuel Oil #6 (Bunker C)* escenario de referencia (US$/barril)</t>
  </si>
  <si>
    <t>Fuel Oil #2 (Diésel)* escenario de referencia (US$/barril)</t>
  </si>
  <si>
    <t>Carbón Australia (USD/Ton)* escenario de referencia (US$/ton)</t>
  </si>
  <si>
    <t>WTI escenario alto (US$/barril)</t>
  </si>
  <si>
    <t>Fuel Oil #6 (Bunker C)* escenario alto (US$/barril)</t>
  </si>
  <si>
    <t>Fuel Oil #2 (Diésel)* escenario alto (US$/barril)</t>
  </si>
  <si>
    <t>Carbón Australia (USD/Ton)* escenario alto (US$/ton)</t>
  </si>
  <si>
    <t>Participación máxima de hehiculos eléctricos en las ventas de nuevos vehículos  (%)</t>
  </si>
  <si>
    <t>Unidades Refinerias</t>
  </si>
  <si>
    <t>MMUSD/PJ (Varia)</t>
  </si>
  <si>
    <t>% Dispo</t>
  </si>
  <si>
    <t>% CapacFactor</t>
  </si>
  <si>
    <t>Mbdp-día Capacidad</t>
  </si>
  <si>
    <t>PJ-a  (CAPACIDAD)</t>
  </si>
  <si>
    <t>% (DISPO)</t>
  </si>
  <si>
    <t>% (CAPAC FACTOR)</t>
  </si>
  <si>
    <t>Costo de la inversión de vehículos eléctricos públicos (,000 USD/vehículo)</t>
  </si>
  <si>
    <t>Costo de la inversión deCosto de la inversión de vehículos eléctricos privado (,000 USD/vehículo)</t>
  </si>
  <si>
    <t>,000 MMUSD/PJ (CAPEX)</t>
  </si>
  <si>
    <t>,000 MMUSD/PJ (OPEX)</t>
  </si>
  <si>
    <t>,000 MMUSD/PJ (VARIA)</t>
  </si>
  <si>
    <t>Unidades plantas de 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</si>
</sst>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Calibri"/>
      <family val="2"/>
    </font>
    <font>
      <sz val="11"/>
      <color rgb="FFFFF2CC"/>
      <name val="Arial"/>
      <family val="2"/>
    </font>
    <font>
      <sz val="11"/>
      <color rgb="FF000000"/>
      <name val="Arial"/>
      <family val="2"/>
    </font>
    <font>
      <sz val="11"/>
      <color rgb="FFFFF2CC"/>
      <name val="Calibri"/>
      <family val="2"/>
    </font>
    <font>
      <sz val="11"/>
      <color rgb="FFFCE5CD"/>
      <name val="Calibri"/>
      <family val="2"/>
    </font>
    <font>
      <sz val="11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  <fill>
      <patternFill patternType="solid">
        <fgColor rgb="FFBF9000"/>
        <bgColor rgb="FFBF9000"/>
      </patternFill>
    </fill>
    <fill>
      <patternFill patternType="solid">
        <fgColor rgb="FFC55A11"/>
        <bgColor rgb="FFC55A11"/>
      </patternFill>
    </fill>
    <fill>
      <patternFill patternType="solid">
        <fgColor rgb="FF741B47"/>
        <bgColor rgb="FF741B47"/>
      </patternFill>
    </fill>
    <fill>
      <patternFill patternType="solid">
        <fgColor rgb="FF783F04"/>
        <bgColor rgb="FF783F04"/>
      </patternFill>
    </fill>
    <fill>
      <patternFill patternType="solid">
        <fgColor theme="9" tint="-0.499984740745262"/>
        <bgColor rgb="FF783F04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0" fontId="3" fillId="3" borderId="2" xfId="0" applyFont="1" applyFill="1" applyBorder="1" applyAlignment="1">
      <alignment wrapText="1"/>
    </xf>
    <xf numFmtId="0" fontId="4" fillId="4" borderId="2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 vertical="center" wrapText="1"/>
    </xf>
    <xf numFmtId="0" fontId="6" fillId="5" borderId="2" xfId="0" applyFont="1" applyFill="1" applyBorder="1" applyAlignment="1">
      <alignment horizontal="center" vertical="center" wrapText="1"/>
    </xf>
    <xf numFmtId="0" fontId="3" fillId="6" borderId="2" xfId="0" applyFont="1" applyFill="1" applyBorder="1" applyAlignment="1">
      <alignment horizontal="center" vertical="center" wrapText="1"/>
    </xf>
    <xf numFmtId="0" fontId="3" fillId="7" borderId="3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10" fontId="2" fillId="0" borderId="2" xfId="0" applyNumberFormat="1" applyFont="1" applyBorder="1" applyAlignment="1">
      <alignment horizontal="center" vertical="center" wrapText="1"/>
    </xf>
    <xf numFmtId="0" fontId="1" fillId="0" borderId="2" xfId="0" applyFont="1" applyBorder="1"/>
    <xf numFmtId="0" fontId="0" fillId="8" borderId="0" xfId="0" applyFill="1"/>
    <xf numFmtId="0" fontId="1" fillId="0" borderId="4" xfId="0" applyFont="1" applyBorder="1" applyAlignment="1">
      <alignment horizontal="right" vertical="top"/>
    </xf>
    <xf numFmtId="0" fontId="1" fillId="0" borderId="2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1" fillId="0" borderId="5" xfId="0" applyFont="1" applyBorder="1" applyAlignment="1">
      <alignment horizontal="center" vertical="top"/>
    </xf>
    <xf numFmtId="0" fontId="1" fillId="0" borderId="6" xfId="0" applyFont="1" applyBorder="1" applyAlignment="1">
      <alignment horizontal="center" vertical="top"/>
    </xf>
    <xf numFmtId="164" fontId="1" fillId="0" borderId="2" xfId="0" applyNumberFormat="1" applyFont="1" applyBorder="1"/>
    <xf numFmtId="0" fontId="1" fillId="0" borderId="1" xfId="0" applyFont="1" applyBorder="1" applyAlignment="1">
      <alignment horizontal="center" vertical="center"/>
    </xf>
    <xf numFmtId="10" fontId="2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/>
    <xf numFmtId="0" fontId="1" fillId="0" borderId="3" xfId="0" applyFont="1" applyBorder="1" applyAlignment="1">
      <alignment horizontal="center" vertical="top"/>
    </xf>
    <xf numFmtId="0" fontId="1" fillId="0" borderId="7" xfId="0" applyFont="1" applyBorder="1" applyAlignment="1">
      <alignment horizontal="right" vertical="top"/>
    </xf>
    <xf numFmtId="0" fontId="1" fillId="0" borderId="8" xfId="0" applyFont="1" applyBorder="1" applyAlignment="1">
      <alignment horizontal="center" vertical="top"/>
    </xf>
    <xf numFmtId="0" fontId="1" fillId="0" borderId="9" xfId="0" applyFont="1" applyBorder="1" applyAlignment="1">
      <alignment horizontal="center" vertical="center"/>
    </xf>
    <xf numFmtId="10" fontId="2" fillId="0" borderId="9" xfId="0" applyNumberFormat="1" applyFont="1" applyBorder="1" applyAlignment="1">
      <alignment horizontal="center" vertical="center" wrapText="1"/>
    </xf>
    <xf numFmtId="0" fontId="1" fillId="0" borderId="9" xfId="0" applyFont="1" applyBorder="1"/>
    <xf numFmtId="0" fontId="1" fillId="0" borderId="9" xfId="0" applyFont="1" applyBorder="1" applyAlignment="1">
      <alignment horizontal="center" vertical="top"/>
    </xf>
    <xf numFmtId="0" fontId="1" fillId="0" borderId="9" xfId="0" applyFont="1" applyBorder="1" applyAlignment="1">
      <alignment horizontal="right" vertical="top"/>
    </xf>
    <xf numFmtId="0" fontId="0" fillId="0" borderId="9" xfId="0" applyBorder="1"/>
    <xf numFmtId="0" fontId="0" fillId="0" borderId="9" xfId="0" applyBorder="1" applyAlignment="1">
      <alignment horizontal="center"/>
    </xf>
    <xf numFmtId="0" fontId="7" fillId="0" borderId="9" xfId="0" applyFont="1" applyBorder="1"/>
    <xf numFmtId="10" fontId="2" fillId="0" borderId="2" xfId="0" applyNumberFormat="1" applyFont="1" applyBorder="1" applyAlignment="1">
      <alignment horizontal="left" vertical="center" wrapText="1"/>
    </xf>
    <xf numFmtId="10" fontId="2" fillId="0" borderId="1" xfId="0" applyNumberFormat="1" applyFont="1" applyBorder="1" applyAlignment="1">
      <alignment horizontal="left" vertical="center" wrapText="1"/>
    </xf>
    <xf numFmtId="10" fontId="2" fillId="0" borderId="9" xfId="0" applyNumberFormat="1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C5FD0-F14C-47C4-90B5-ADB7B5FB023D}">
  <dimension ref="A1:AY42"/>
  <sheetViews>
    <sheetView tabSelected="1" topLeftCell="AP1" workbookViewId="0">
      <selection activeCell="AR4" sqref="AR4"/>
    </sheetView>
  </sheetViews>
  <sheetFormatPr baseColWidth="10" defaultRowHeight="15" x14ac:dyDescent="0.25"/>
  <cols>
    <col min="2" max="2" width="21.5703125" customWidth="1"/>
    <col min="3" max="4" width="21.28515625" customWidth="1"/>
    <col min="5" max="5" width="22.5703125" customWidth="1"/>
    <col min="6" max="6" width="22.85546875" customWidth="1"/>
    <col min="7" max="7" width="25.5703125" customWidth="1"/>
    <col min="8" max="8" width="28.140625" customWidth="1"/>
    <col min="9" max="9" width="24.7109375" customWidth="1"/>
    <col min="10" max="10" width="24.42578125" customWidth="1"/>
    <col min="11" max="11" width="24.7109375" customWidth="1"/>
    <col min="12" max="12" width="27.140625" customWidth="1"/>
    <col min="13" max="13" width="28.85546875" customWidth="1"/>
    <col min="14" max="14" width="27.42578125" customWidth="1"/>
    <col min="15" max="15" width="21" customWidth="1"/>
    <col min="16" max="16" width="24.42578125" customWidth="1"/>
    <col min="17" max="17" width="20.7109375" customWidth="1"/>
    <col min="18" max="18" width="19.85546875" customWidth="1"/>
    <col min="19" max="19" width="23.28515625" customWidth="1"/>
    <col min="20" max="20" width="20.85546875" customWidth="1"/>
    <col min="21" max="21" width="24.42578125" customWidth="1"/>
    <col min="22" max="22" width="17" customWidth="1"/>
    <col min="23" max="23" width="17.7109375" customWidth="1"/>
    <col min="24" max="24" width="21.85546875" customWidth="1"/>
    <col min="25" max="25" width="16.7109375" customWidth="1"/>
    <col min="26" max="26" width="21.140625" customWidth="1"/>
    <col min="27" max="27" width="19.28515625" customWidth="1"/>
    <col min="28" max="28" width="20.5703125" customWidth="1"/>
    <col min="29" max="29" width="15.42578125" customWidth="1"/>
    <col min="30" max="30" width="19.85546875" customWidth="1"/>
    <col min="31" max="31" width="19.7109375" customWidth="1"/>
    <col min="32" max="32" width="23.28515625" customWidth="1"/>
    <col min="33" max="33" width="20.140625" customWidth="1"/>
    <col min="34" max="34" width="21" customWidth="1"/>
    <col min="35" max="35" width="22.140625" customWidth="1"/>
    <col min="36" max="36" width="19.5703125" customWidth="1"/>
    <col min="37" max="37" width="25.28515625" customWidth="1"/>
    <col min="38" max="38" width="24.42578125" customWidth="1"/>
    <col min="39" max="39" width="19.7109375" customWidth="1"/>
    <col min="42" max="42" width="13.28515625" customWidth="1"/>
    <col min="43" max="43" width="19" customWidth="1"/>
    <col min="45" max="45" width="25.28515625" customWidth="1"/>
    <col min="46" max="46" width="23.85546875" customWidth="1"/>
    <col min="47" max="47" width="24.140625" customWidth="1"/>
    <col min="48" max="48" width="14.7109375" customWidth="1"/>
    <col min="49" max="49" width="16.85546875" customWidth="1"/>
    <col min="50" max="50" width="10.85546875" customWidth="1"/>
    <col min="51" max="51" width="18.5703125" customWidth="1"/>
  </cols>
  <sheetData>
    <row r="1" spans="1:51" ht="79.5" customHeight="1" x14ac:dyDescent="0.2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7" t="s">
        <v>24</v>
      </c>
      <c r="Z1" s="7" t="s">
        <v>25</v>
      </c>
      <c r="AA1" s="7" t="s">
        <v>26</v>
      </c>
      <c r="AB1" s="7" t="s">
        <v>27</v>
      </c>
      <c r="AC1" s="7" t="s">
        <v>28</v>
      </c>
      <c r="AD1" s="7" t="s">
        <v>29</v>
      </c>
      <c r="AE1" s="7" t="s">
        <v>30</v>
      </c>
      <c r="AF1" s="7" t="s">
        <v>31</v>
      </c>
      <c r="AG1" s="8" t="s">
        <v>42</v>
      </c>
      <c r="AH1" s="8" t="s">
        <v>41</v>
      </c>
      <c r="AI1" s="8" t="s">
        <v>32</v>
      </c>
      <c r="AJ1" s="30" t="s">
        <v>33</v>
      </c>
      <c r="AK1" s="32" t="s">
        <v>43</v>
      </c>
      <c r="AL1" s="32" t="s">
        <v>44</v>
      </c>
      <c r="AM1" s="32" t="s">
        <v>34</v>
      </c>
      <c r="AN1" s="30"/>
      <c r="AO1" s="30" t="s">
        <v>35</v>
      </c>
      <c r="AP1" s="30" t="s">
        <v>36</v>
      </c>
      <c r="AQ1" s="30" t="s">
        <v>37</v>
      </c>
      <c r="AR1" s="30" t="s">
        <v>46</v>
      </c>
      <c r="AS1" s="32" t="s">
        <v>43</v>
      </c>
      <c r="AT1" s="32" t="s">
        <v>44</v>
      </c>
      <c r="AU1" s="32" t="s">
        <v>45</v>
      </c>
      <c r="AV1" s="30"/>
      <c r="AW1" s="30" t="s">
        <v>38</v>
      </c>
      <c r="AX1" s="30" t="s">
        <v>39</v>
      </c>
      <c r="AY1" s="30" t="s">
        <v>40</v>
      </c>
    </row>
    <row r="2" spans="1:51" x14ac:dyDescent="0.25">
      <c r="A2" s="9">
        <v>2015</v>
      </c>
      <c r="B2" s="10">
        <v>3.2599999999999997E-2</v>
      </c>
      <c r="C2" s="10">
        <v>3.2599999999999997E-2</v>
      </c>
      <c r="D2" s="33">
        <v>3.2599999999999997E-2</v>
      </c>
      <c r="E2" s="11"/>
      <c r="F2" s="11"/>
      <c r="G2" s="11"/>
      <c r="H2" s="11"/>
      <c r="S2" s="12"/>
      <c r="X2" s="12"/>
      <c r="Y2" s="13">
        <v>50.5</v>
      </c>
      <c r="Z2" s="13">
        <v>51.4</v>
      </c>
      <c r="AA2" s="13">
        <v>71.599999999999994</v>
      </c>
      <c r="AB2" s="13">
        <v>75.7</v>
      </c>
      <c r="AC2" s="13">
        <v>50.5</v>
      </c>
      <c r="AD2" s="13">
        <v>51.4</v>
      </c>
      <c r="AE2" s="13">
        <v>71.599999999999994</v>
      </c>
      <c r="AF2" s="13">
        <v>75.7</v>
      </c>
      <c r="AJ2" s="31">
        <v>2015</v>
      </c>
      <c r="AK2" s="30"/>
      <c r="AL2" s="30"/>
      <c r="AM2" s="30"/>
      <c r="AN2" s="30"/>
      <c r="AO2" s="30"/>
      <c r="AP2" s="30"/>
      <c r="AQ2" s="30"/>
      <c r="AR2" s="31">
        <v>2015</v>
      </c>
      <c r="AS2" s="30"/>
      <c r="AT2" s="30"/>
      <c r="AU2" s="30"/>
      <c r="AV2" s="30"/>
      <c r="AW2" s="30"/>
      <c r="AX2" s="30"/>
      <c r="AY2" s="30"/>
    </row>
    <row r="3" spans="1:51" x14ac:dyDescent="0.25">
      <c r="A3" s="9">
        <v>2016</v>
      </c>
      <c r="B3" s="10">
        <v>3.9600000000000003E-2</v>
      </c>
      <c r="C3" s="10">
        <v>3.9600000000000003E-2</v>
      </c>
      <c r="D3" s="33">
        <v>3.9600000000000003E-2</v>
      </c>
      <c r="E3" s="11"/>
      <c r="F3" s="11"/>
      <c r="G3" s="11"/>
      <c r="H3" s="11"/>
      <c r="S3" s="12"/>
      <c r="X3" s="12"/>
      <c r="Y3" s="13">
        <v>44.3</v>
      </c>
      <c r="Z3" s="13">
        <v>45.7</v>
      </c>
      <c r="AA3" s="13">
        <v>63.5</v>
      </c>
      <c r="AB3" s="13">
        <v>85.5</v>
      </c>
      <c r="AC3" s="13">
        <v>44.3</v>
      </c>
      <c r="AD3" s="13">
        <v>45.7</v>
      </c>
      <c r="AE3" s="13">
        <v>63.5</v>
      </c>
      <c r="AF3" s="13">
        <v>85.5</v>
      </c>
      <c r="AJ3" s="31">
        <v>2016</v>
      </c>
      <c r="AK3" s="30"/>
      <c r="AL3" s="30"/>
      <c r="AM3" s="30"/>
      <c r="AN3" s="30"/>
      <c r="AO3" s="30"/>
      <c r="AP3" s="30"/>
      <c r="AQ3" s="30"/>
      <c r="AR3" s="31">
        <v>2016</v>
      </c>
      <c r="AS3" s="30"/>
      <c r="AT3" s="30"/>
      <c r="AU3" s="30"/>
      <c r="AV3" s="30"/>
      <c r="AW3" s="30"/>
      <c r="AX3" s="30"/>
      <c r="AY3" s="30"/>
    </row>
    <row r="4" spans="1:51" x14ac:dyDescent="0.25">
      <c r="A4" s="9">
        <v>2017</v>
      </c>
      <c r="B4" s="10">
        <v>2.52E-2</v>
      </c>
      <c r="C4" s="10">
        <v>2.52E-2</v>
      </c>
      <c r="D4" s="33">
        <v>2.52E-2</v>
      </c>
      <c r="E4" s="11"/>
      <c r="F4" s="11"/>
      <c r="G4" s="11"/>
      <c r="H4" s="11"/>
      <c r="I4" s="14">
        <v>48800</v>
      </c>
      <c r="J4" s="13">
        <v>48853</v>
      </c>
      <c r="K4" s="15">
        <v>48922</v>
      </c>
      <c r="L4" s="13">
        <v>6596.9</v>
      </c>
      <c r="M4" s="13">
        <v>6603.2</v>
      </c>
      <c r="N4" s="13">
        <v>6611.1</v>
      </c>
      <c r="O4" s="13">
        <v>1.58</v>
      </c>
      <c r="P4" s="13">
        <v>1.45</v>
      </c>
      <c r="Q4" s="13">
        <v>0.97</v>
      </c>
      <c r="R4" s="13">
        <v>0.38</v>
      </c>
      <c r="S4" s="13">
        <v>2.81</v>
      </c>
      <c r="T4" s="13">
        <v>1.58</v>
      </c>
      <c r="U4" s="13">
        <v>1.45</v>
      </c>
      <c r="V4" s="13">
        <v>0.97</v>
      </c>
      <c r="W4" s="13">
        <v>0.38</v>
      </c>
      <c r="X4" s="13">
        <v>2.81</v>
      </c>
      <c r="Y4" s="13">
        <v>52.8</v>
      </c>
      <c r="Z4" s="13">
        <v>53.6</v>
      </c>
      <c r="AA4" s="13">
        <v>74.7</v>
      </c>
      <c r="AB4" s="13">
        <v>105.6</v>
      </c>
      <c r="AC4" s="13">
        <v>52.8</v>
      </c>
      <c r="AD4" s="13">
        <v>53.6</v>
      </c>
      <c r="AE4" s="13">
        <v>74.7</v>
      </c>
      <c r="AF4" s="13">
        <v>105.6</v>
      </c>
      <c r="AG4" s="13"/>
      <c r="AH4" s="13"/>
      <c r="AI4" s="13"/>
      <c r="AJ4" s="31">
        <v>2017</v>
      </c>
      <c r="AK4" s="30">
        <f>80100/350000</f>
        <v>0.22885714285714287</v>
      </c>
      <c r="AL4" s="30">
        <v>5.3734659999999996</v>
      </c>
      <c r="AM4" s="30"/>
      <c r="AN4" s="30"/>
      <c r="AO4" s="30">
        <v>90</v>
      </c>
      <c r="AP4" s="30"/>
      <c r="AQ4" s="30">
        <v>317.3</v>
      </c>
      <c r="AR4" s="31">
        <v>2017</v>
      </c>
      <c r="AS4" s="30">
        <v>0</v>
      </c>
      <c r="AT4" s="30">
        <v>6.6284700000000001</v>
      </c>
      <c r="AU4" s="30">
        <v>2.0977999999999999</v>
      </c>
      <c r="AV4" s="30"/>
      <c r="AW4" s="30">
        <v>1333</v>
      </c>
      <c r="AX4" s="30">
        <v>92</v>
      </c>
      <c r="AY4" s="30">
        <v>47.936999999999998</v>
      </c>
    </row>
    <row r="5" spans="1:51" x14ac:dyDescent="0.25">
      <c r="A5" s="9">
        <v>2018</v>
      </c>
      <c r="B5" s="10">
        <v>3.5999999999999997E-2</v>
      </c>
      <c r="C5" s="10">
        <v>4.9500000000000002E-2</v>
      </c>
      <c r="D5" s="33">
        <v>8.9999999999999993E-3</v>
      </c>
      <c r="E5" s="11"/>
      <c r="F5" s="11"/>
      <c r="G5" s="11"/>
      <c r="H5" s="11"/>
      <c r="I5" s="16">
        <v>50317</v>
      </c>
      <c r="J5" s="13">
        <v>48853</v>
      </c>
      <c r="K5" s="17">
        <v>51396</v>
      </c>
      <c r="L5" s="13">
        <v>6792.6</v>
      </c>
      <c r="M5" s="13">
        <v>6879.1</v>
      </c>
      <c r="N5" s="13">
        <v>6925.3</v>
      </c>
      <c r="O5" s="13">
        <v>1.65</v>
      </c>
      <c r="P5" s="13">
        <v>1.51</v>
      </c>
      <c r="Q5" s="13">
        <v>0.97</v>
      </c>
      <c r="R5" s="13">
        <v>0.38</v>
      </c>
      <c r="S5" s="13">
        <v>2.87</v>
      </c>
      <c r="T5" s="13">
        <v>1.65</v>
      </c>
      <c r="U5" s="13">
        <v>1.51</v>
      </c>
      <c r="V5" s="13">
        <v>0.97</v>
      </c>
      <c r="W5" s="13">
        <v>0.38</v>
      </c>
      <c r="X5" s="13">
        <v>2.87</v>
      </c>
      <c r="Y5" s="13">
        <v>72.599999999999994</v>
      </c>
      <c r="Z5" s="13">
        <v>71.7</v>
      </c>
      <c r="AA5" s="13">
        <v>100.8</v>
      </c>
      <c r="AB5" s="13">
        <v>125.9</v>
      </c>
      <c r="AC5" s="13">
        <v>72.599999999999994</v>
      </c>
      <c r="AD5" s="13">
        <v>71.7</v>
      </c>
      <c r="AE5" s="13">
        <v>100.8</v>
      </c>
      <c r="AF5" s="13">
        <v>125.9</v>
      </c>
      <c r="AG5" s="13"/>
      <c r="AH5" s="13"/>
      <c r="AI5" s="13"/>
      <c r="AJ5" s="31">
        <v>2018</v>
      </c>
      <c r="AK5" s="30">
        <f t="shared" ref="AK5:AK26" si="0">((1.1636817-0.2288571)/(2040-2017))*(AJ5-2017)+0.228857</f>
        <v>0.26950154782608693</v>
      </c>
      <c r="AL5" s="30">
        <f t="shared" ref="AL5:AL26" si="1">((8.21333-5.373466)/(2040-2017))*(AJ5-2017)+5.373466</f>
        <v>5.4969383478260863</v>
      </c>
      <c r="AM5" s="30"/>
      <c r="AN5" s="30"/>
      <c r="AO5" s="30">
        <v>90</v>
      </c>
      <c r="AP5" s="30"/>
      <c r="AQ5" s="30">
        <v>317.3</v>
      </c>
      <c r="AR5" s="31">
        <v>2018</v>
      </c>
      <c r="AS5" s="30">
        <f t="shared" ref="AS5:AS26" si="2">((0.71091-0)/(2040-2017))*(AR5-2017)+0</f>
        <v>3.0909130434782609E-2</v>
      </c>
      <c r="AT5" s="30">
        <f t="shared" ref="AT5:AT26" si="3">((6.584-6.62847)/(2040-2017))*(AR5-2017)+6.62847</f>
        <v>6.6265365217391308</v>
      </c>
      <c r="AU5" s="30">
        <f t="shared" ref="AU5:AU26" si="4">((1.0356-2.0978)/(2040-2017))*(AR5-2017)+2.0978</f>
        <v>2.0516173913043478</v>
      </c>
      <c r="AV5" s="30"/>
      <c r="AW5" s="30">
        <v>1333</v>
      </c>
      <c r="AX5" s="30">
        <v>92</v>
      </c>
      <c r="AY5" s="30">
        <f t="shared" ref="AY5:AY26" si="5">((70.668-47.937)/(2040-2017))*(AR5-2017)+47.937</f>
        <v>48.925304347826085</v>
      </c>
    </row>
    <row r="6" spans="1:51" x14ac:dyDescent="0.25">
      <c r="A6" s="9">
        <v>2019</v>
      </c>
      <c r="B6" s="10">
        <v>0.03</v>
      </c>
      <c r="C6" s="10">
        <v>4.1799999999999997E-2</v>
      </c>
      <c r="D6" s="33">
        <v>1.8200000000000001E-2</v>
      </c>
      <c r="E6" s="18">
        <v>1</v>
      </c>
      <c r="F6" s="18">
        <v>5.6</v>
      </c>
      <c r="G6" s="18">
        <v>1.2</v>
      </c>
      <c r="H6" s="18">
        <v>1.5</v>
      </c>
      <c r="I6" s="16">
        <v>52105</v>
      </c>
      <c r="J6" s="13">
        <v>48853</v>
      </c>
      <c r="K6" s="17">
        <v>54517</v>
      </c>
      <c r="L6" s="13">
        <v>7004.5</v>
      </c>
      <c r="M6" s="13">
        <v>7164.6</v>
      </c>
      <c r="N6" s="13">
        <v>7301.1</v>
      </c>
      <c r="O6" s="13">
        <v>1.68</v>
      </c>
      <c r="P6" s="13">
        <v>1.55</v>
      </c>
      <c r="Q6" s="13">
        <v>0.97</v>
      </c>
      <c r="R6" s="13">
        <v>0.38</v>
      </c>
      <c r="S6" s="13">
        <v>2.91</v>
      </c>
      <c r="T6" s="13">
        <v>1.69</v>
      </c>
      <c r="U6" s="13">
        <v>1.55</v>
      </c>
      <c r="V6" s="13">
        <v>0.97</v>
      </c>
      <c r="W6" s="13">
        <v>0.38</v>
      </c>
      <c r="X6" s="13">
        <v>2.91</v>
      </c>
      <c r="Y6" s="13">
        <v>68.3</v>
      </c>
      <c r="Z6" s="13">
        <v>67.8</v>
      </c>
      <c r="AA6" s="13">
        <v>95.2</v>
      </c>
      <c r="AB6" s="13">
        <v>115.9</v>
      </c>
      <c r="AC6" s="13">
        <v>68.400000000000006</v>
      </c>
      <c r="AD6" s="13">
        <v>67.900000000000006</v>
      </c>
      <c r="AE6" s="13">
        <v>95.3</v>
      </c>
      <c r="AF6" s="13">
        <v>115.9</v>
      </c>
      <c r="AG6" s="13">
        <v>31.8</v>
      </c>
      <c r="AH6" s="13">
        <v>356.6</v>
      </c>
      <c r="AI6" s="13"/>
      <c r="AJ6" s="31">
        <v>2019</v>
      </c>
      <c r="AK6" s="30">
        <f t="shared" si="0"/>
        <v>0.31014609565217388</v>
      </c>
      <c r="AL6" s="30">
        <f t="shared" si="1"/>
        <v>5.6204106956521738</v>
      </c>
      <c r="AM6" s="30"/>
      <c r="AN6" s="30"/>
      <c r="AO6" s="30">
        <v>90</v>
      </c>
      <c r="AP6" s="30"/>
      <c r="AQ6" s="30">
        <v>317.3</v>
      </c>
      <c r="AR6" s="31">
        <v>2019</v>
      </c>
      <c r="AS6" s="30">
        <f t="shared" si="2"/>
        <v>6.1818260869565218E-2</v>
      </c>
      <c r="AT6" s="30">
        <f t="shared" si="3"/>
        <v>6.6246030434782606</v>
      </c>
      <c r="AU6" s="30">
        <f t="shared" si="4"/>
        <v>2.0054347826086953</v>
      </c>
      <c r="AV6" s="30"/>
      <c r="AW6" s="30">
        <v>1333</v>
      </c>
      <c r="AX6" s="30">
        <v>92</v>
      </c>
      <c r="AY6" s="30">
        <f t="shared" si="5"/>
        <v>49.913608695652172</v>
      </c>
    </row>
    <row r="7" spans="1:51" x14ac:dyDescent="0.25">
      <c r="A7" s="9">
        <v>2020</v>
      </c>
      <c r="B7" s="10">
        <v>3.1E-2</v>
      </c>
      <c r="C7" s="10">
        <v>4.65E-2</v>
      </c>
      <c r="D7" s="33">
        <v>2.07E-2</v>
      </c>
      <c r="E7" s="18">
        <v>1</v>
      </c>
      <c r="F7" s="18">
        <v>5.5</v>
      </c>
      <c r="G7" s="18">
        <v>1.1000000000000001</v>
      </c>
      <c r="H7" s="18">
        <v>1.4</v>
      </c>
      <c r="I7" s="16">
        <v>55063</v>
      </c>
      <c r="J7" s="13">
        <v>48853</v>
      </c>
      <c r="K7" s="17">
        <v>59019</v>
      </c>
      <c r="L7" s="13">
        <v>7336.4</v>
      </c>
      <c r="M7" s="13">
        <v>7624</v>
      </c>
      <c r="N7" s="13">
        <v>7823.5</v>
      </c>
      <c r="O7" s="13">
        <v>1.68</v>
      </c>
      <c r="P7" s="13">
        <v>1.54</v>
      </c>
      <c r="Q7" s="13">
        <v>0.97</v>
      </c>
      <c r="R7" s="13">
        <v>0.38</v>
      </c>
      <c r="S7" s="13">
        <v>2.9</v>
      </c>
      <c r="T7" s="13">
        <v>1.7</v>
      </c>
      <c r="U7" s="13">
        <v>1.56</v>
      </c>
      <c r="V7" s="13">
        <v>0.97</v>
      </c>
      <c r="W7" s="13">
        <v>0.38</v>
      </c>
      <c r="X7" s="13">
        <v>2.92</v>
      </c>
      <c r="Y7" s="13">
        <v>67.400000000000006</v>
      </c>
      <c r="Z7" s="13">
        <v>67</v>
      </c>
      <c r="AA7" s="13">
        <v>94</v>
      </c>
      <c r="AB7" s="13">
        <v>104.5</v>
      </c>
      <c r="AC7" s="13">
        <v>70.3</v>
      </c>
      <c r="AD7" s="13">
        <v>69.599999999999994</v>
      </c>
      <c r="AE7" s="13">
        <v>97.7</v>
      </c>
      <c r="AF7" s="13">
        <v>104.5</v>
      </c>
      <c r="AG7" s="13">
        <v>31.2</v>
      </c>
      <c r="AH7" s="13">
        <v>345.9</v>
      </c>
      <c r="AI7" s="13"/>
      <c r="AJ7" s="31">
        <v>2020</v>
      </c>
      <c r="AK7" s="30">
        <f t="shared" si="0"/>
        <v>0.35079064347826083</v>
      </c>
      <c r="AL7" s="30">
        <f t="shared" si="1"/>
        <v>5.7438830434782604</v>
      </c>
      <c r="AM7" s="30"/>
      <c r="AN7" s="30"/>
      <c r="AO7" s="30">
        <v>90</v>
      </c>
      <c r="AP7" s="30"/>
      <c r="AQ7" s="30">
        <v>317.3</v>
      </c>
      <c r="AR7" s="31">
        <v>2020</v>
      </c>
      <c r="AS7" s="30">
        <f t="shared" si="2"/>
        <v>9.2727391304347831E-2</v>
      </c>
      <c r="AT7" s="30">
        <f t="shared" si="3"/>
        <v>6.6226695652173913</v>
      </c>
      <c r="AU7" s="30">
        <f t="shared" si="4"/>
        <v>1.9592521739130433</v>
      </c>
      <c r="AV7" s="30"/>
      <c r="AW7" s="30">
        <v>1333</v>
      </c>
      <c r="AX7" s="30">
        <v>92</v>
      </c>
      <c r="AY7" s="30">
        <f t="shared" si="5"/>
        <v>50.90191304347826</v>
      </c>
    </row>
    <row r="8" spans="1:51" x14ac:dyDescent="0.25">
      <c r="A8" s="9">
        <v>2021</v>
      </c>
      <c r="B8" s="10">
        <v>3.1E-2</v>
      </c>
      <c r="C8" s="10">
        <v>4.65E-2</v>
      </c>
      <c r="D8" s="33">
        <v>2.58E-2</v>
      </c>
      <c r="E8" s="18">
        <v>1</v>
      </c>
      <c r="F8" s="18">
        <v>5.5</v>
      </c>
      <c r="G8" s="18">
        <v>1.1000000000000001</v>
      </c>
      <c r="H8" s="18">
        <v>1.3</v>
      </c>
      <c r="I8" s="16">
        <v>57668</v>
      </c>
      <c r="J8" s="13">
        <v>48853</v>
      </c>
      <c r="K8" s="17">
        <v>64813</v>
      </c>
      <c r="L8" s="13">
        <v>7643.8</v>
      </c>
      <c r="M8" s="13">
        <v>8073.9</v>
      </c>
      <c r="N8" s="13">
        <v>8503.1</v>
      </c>
      <c r="O8" s="13">
        <v>1.67</v>
      </c>
      <c r="P8" s="13">
        <v>1.54</v>
      </c>
      <c r="Q8" s="13">
        <v>0.97</v>
      </c>
      <c r="R8" s="13">
        <v>0.38</v>
      </c>
      <c r="S8" s="13">
        <v>2.89</v>
      </c>
      <c r="T8" s="13">
        <v>1.7</v>
      </c>
      <c r="U8" s="13">
        <v>1.57</v>
      </c>
      <c r="V8" s="13">
        <v>0.97</v>
      </c>
      <c r="W8" s="13">
        <v>0.38</v>
      </c>
      <c r="X8" s="13">
        <v>2.92</v>
      </c>
      <c r="Y8" s="13">
        <v>66.3</v>
      </c>
      <c r="Z8" s="13">
        <v>66</v>
      </c>
      <c r="AA8" s="13">
        <v>92.5</v>
      </c>
      <c r="AB8" s="13">
        <v>99.7</v>
      </c>
      <c r="AC8" s="13">
        <v>71.8</v>
      </c>
      <c r="AD8" s="13">
        <v>71</v>
      </c>
      <c r="AE8" s="13">
        <v>99.7</v>
      </c>
      <c r="AF8" s="13">
        <v>99.7</v>
      </c>
      <c r="AG8" s="13">
        <v>30.5</v>
      </c>
      <c r="AH8" s="13">
        <v>335.5</v>
      </c>
      <c r="AI8" s="13"/>
      <c r="AJ8" s="31">
        <v>2021</v>
      </c>
      <c r="AK8" s="30">
        <f t="shared" si="0"/>
        <v>0.39143519130434778</v>
      </c>
      <c r="AL8" s="30">
        <f t="shared" si="1"/>
        <v>5.867355391304347</v>
      </c>
      <c r="AM8" s="30"/>
      <c r="AN8" s="30"/>
      <c r="AO8" s="30">
        <v>90</v>
      </c>
      <c r="AP8" s="30"/>
      <c r="AQ8" s="30">
        <v>317.3</v>
      </c>
      <c r="AR8" s="31">
        <v>2021</v>
      </c>
      <c r="AS8" s="30">
        <f t="shared" si="2"/>
        <v>0.12363652173913044</v>
      </c>
      <c r="AT8" s="30">
        <f t="shared" si="3"/>
        <v>6.6207360869565219</v>
      </c>
      <c r="AU8" s="30">
        <f t="shared" si="4"/>
        <v>1.9130695652173912</v>
      </c>
      <c r="AV8" s="30"/>
      <c r="AW8" s="30">
        <v>1333</v>
      </c>
      <c r="AX8" s="30">
        <v>92</v>
      </c>
      <c r="AY8" s="30">
        <f t="shared" si="5"/>
        <v>51.890217391304347</v>
      </c>
    </row>
    <row r="9" spans="1:51" x14ac:dyDescent="0.25">
      <c r="A9" s="9">
        <v>2022</v>
      </c>
      <c r="B9" s="10">
        <v>3.9E-2</v>
      </c>
      <c r="C9" s="10">
        <v>4.07E-2</v>
      </c>
      <c r="D9" s="33">
        <v>3.7400000000000003E-2</v>
      </c>
      <c r="E9" s="18">
        <v>1</v>
      </c>
      <c r="F9" s="18">
        <v>5.4</v>
      </c>
      <c r="G9" s="18">
        <v>1</v>
      </c>
      <c r="H9" s="18">
        <v>1.2</v>
      </c>
      <c r="I9" s="16">
        <v>59625</v>
      </c>
      <c r="J9" s="13">
        <v>48853</v>
      </c>
      <c r="K9" s="17">
        <v>70291</v>
      </c>
      <c r="L9" s="13">
        <v>7874.7</v>
      </c>
      <c r="M9" s="13">
        <v>8626.6</v>
      </c>
      <c r="N9" s="13">
        <v>9131.9</v>
      </c>
      <c r="O9" s="13">
        <v>1.68</v>
      </c>
      <c r="P9" s="13">
        <v>1.54</v>
      </c>
      <c r="Q9" s="13">
        <v>0.97</v>
      </c>
      <c r="R9" s="13">
        <v>0.38</v>
      </c>
      <c r="S9" s="13">
        <v>2.9</v>
      </c>
      <c r="T9" s="13">
        <v>1.7</v>
      </c>
      <c r="U9" s="13">
        <v>1.56</v>
      </c>
      <c r="V9" s="13">
        <v>0.97</v>
      </c>
      <c r="W9" s="13">
        <v>0.38</v>
      </c>
      <c r="X9" s="13">
        <v>2.92</v>
      </c>
      <c r="Y9" s="13">
        <v>67</v>
      </c>
      <c r="Z9" s="13">
        <v>66.599999999999994</v>
      </c>
      <c r="AA9" s="13">
        <v>93.4</v>
      </c>
      <c r="AB9" s="13">
        <v>95</v>
      </c>
      <c r="AC9" s="13">
        <v>71.099999999999994</v>
      </c>
      <c r="AD9" s="13">
        <v>70.400000000000006</v>
      </c>
      <c r="AE9" s="13">
        <v>98.8</v>
      </c>
      <c r="AF9" s="13">
        <v>95</v>
      </c>
      <c r="AG9" s="13">
        <v>29.9</v>
      </c>
      <c r="AH9" s="13">
        <v>325.39999999999998</v>
      </c>
      <c r="AI9" s="13"/>
      <c r="AJ9" s="31">
        <v>2022</v>
      </c>
      <c r="AK9" s="30">
        <f t="shared" si="0"/>
        <v>0.43207973913043474</v>
      </c>
      <c r="AL9" s="30">
        <f t="shared" si="1"/>
        <v>5.9908277391304345</v>
      </c>
      <c r="AM9" s="30"/>
      <c r="AN9" s="30"/>
      <c r="AO9" s="30">
        <v>90</v>
      </c>
      <c r="AP9" s="30"/>
      <c r="AQ9" s="30">
        <v>317.3</v>
      </c>
      <c r="AR9" s="31">
        <v>2022</v>
      </c>
      <c r="AS9" s="30">
        <f t="shared" si="2"/>
        <v>0.15454565217391306</v>
      </c>
      <c r="AT9" s="30">
        <f t="shared" si="3"/>
        <v>6.6188026086956517</v>
      </c>
      <c r="AU9" s="30">
        <f t="shared" si="4"/>
        <v>1.866886956521739</v>
      </c>
      <c r="AV9" s="30"/>
      <c r="AW9" s="30">
        <v>1333</v>
      </c>
      <c r="AX9" s="30">
        <v>92</v>
      </c>
      <c r="AY9" s="30">
        <f t="shared" si="5"/>
        <v>52.878521739130434</v>
      </c>
    </row>
    <row r="10" spans="1:51" x14ac:dyDescent="0.25">
      <c r="A10" s="9">
        <v>2023</v>
      </c>
      <c r="B10" s="10">
        <v>4.0500000000000001E-2</v>
      </c>
      <c r="C10" s="10">
        <v>4.2700000000000002E-2</v>
      </c>
      <c r="D10" s="33">
        <v>3.8399999999999997E-2</v>
      </c>
      <c r="E10" s="18">
        <v>1</v>
      </c>
      <c r="F10" s="18">
        <v>5.4</v>
      </c>
      <c r="G10" s="18">
        <v>1</v>
      </c>
      <c r="H10" s="18">
        <v>1.1000000000000001</v>
      </c>
      <c r="I10" s="16">
        <v>63868</v>
      </c>
      <c r="J10" s="13">
        <v>48853</v>
      </c>
      <c r="K10" s="17">
        <v>74971</v>
      </c>
      <c r="L10" s="13">
        <v>8354.2000000000007</v>
      </c>
      <c r="M10" s="13">
        <v>9123.4</v>
      </c>
      <c r="N10" s="13">
        <v>9663.7999999999993</v>
      </c>
      <c r="O10" s="13">
        <v>1.68</v>
      </c>
      <c r="P10" s="13">
        <v>1.55</v>
      </c>
      <c r="Q10" s="13">
        <v>0.97</v>
      </c>
      <c r="R10" s="13">
        <v>0.38</v>
      </c>
      <c r="S10" s="13">
        <v>2.9</v>
      </c>
      <c r="T10" s="13">
        <v>1.71</v>
      </c>
      <c r="U10" s="13">
        <v>1.57</v>
      </c>
      <c r="V10" s="13">
        <v>0.97</v>
      </c>
      <c r="W10" s="13">
        <v>0.38</v>
      </c>
      <c r="X10" s="13">
        <v>2.93</v>
      </c>
      <c r="Y10" s="13">
        <v>68.2</v>
      </c>
      <c r="Z10" s="13">
        <v>67.7</v>
      </c>
      <c r="AA10" s="13">
        <v>95</v>
      </c>
      <c r="AB10" s="13">
        <v>90.6</v>
      </c>
      <c r="AC10" s="13">
        <v>72.599999999999994</v>
      </c>
      <c r="AD10" s="13">
        <v>71.8</v>
      </c>
      <c r="AE10" s="13">
        <v>100.9</v>
      </c>
      <c r="AF10" s="13">
        <v>90.6</v>
      </c>
      <c r="AG10" s="13">
        <v>29.3</v>
      </c>
      <c r="AH10" s="13">
        <v>315.7</v>
      </c>
      <c r="AI10" s="13"/>
      <c r="AJ10" s="31">
        <v>2023</v>
      </c>
      <c r="AK10" s="30">
        <f t="shared" si="0"/>
        <v>0.47272428695652169</v>
      </c>
      <c r="AL10" s="30">
        <f t="shared" si="1"/>
        <v>6.1143000869565212</v>
      </c>
      <c r="AM10" s="30"/>
      <c r="AN10" s="30"/>
      <c r="AO10" s="30">
        <v>90</v>
      </c>
      <c r="AP10" s="30"/>
      <c r="AQ10" s="30">
        <v>317.3</v>
      </c>
      <c r="AR10" s="31">
        <v>2023</v>
      </c>
      <c r="AS10" s="30">
        <f t="shared" si="2"/>
        <v>0.18545478260869566</v>
      </c>
      <c r="AT10" s="30">
        <f t="shared" si="3"/>
        <v>6.6168691304347824</v>
      </c>
      <c r="AU10" s="30">
        <f t="shared" si="4"/>
        <v>1.8207043478260869</v>
      </c>
      <c r="AV10" s="30"/>
      <c r="AW10" s="30">
        <v>1333</v>
      </c>
      <c r="AX10" s="30">
        <v>92</v>
      </c>
      <c r="AY10" s="30">
        <f t="shared" si="5"/>
        <v>53.866826086956522</v>
      </c>
    </row>
    <row r="11" spans="1:51" x14ac:dyDescent="0.25">
      <c r="A11" s="9">
        <v>2024</v>
      </c>
      <c r="B11" s="10">
        <v>4.1799999999999997E-2</v>
      </c>
      <c r="C11" s="10">
        <v>4.4499999999999998E-2</v>
      </c>
      <c r="D11" s="33">
        <v>3.9100000000000003E-2</v>
      </c>
      <c r="E11" s="18">
        <v>0.9</v>
      </c>
      <c r="F11" s="18">
        <v>5.3</v>
      </c>
      <c r="G11" s="18">
        <v>0.9</v>
      </c>
      <c r="H11" s="18">
        <v>1</v>
      </c>
      <c r="I11" s="16">
        <v>66610</v>
      </c>
      <c r="J11" s="13">
        <v>48853</v>
      </c>
      <c r="K11" s="17">
        <v>77878</v>
      </c>
      <c r="L11" s="13">
        <v>8671.1</v>
      </c>
      <c r="M11" s="13">
        <v>9509.5</v>
      </c>
      <c r="N11" s="13">
        <v>10002</v>
      </c>
      <c r="O11" s="13">
        <v>1.7</v>
      </c>
      <c r="P11" s="13">
        <v>1.57</v>
      </c>
      <c r="Q11" s="13">
        <v>0.97</v>
      </c>
      <c r="R11" s="13">
        <v>0.38</v>
      </c>
      <c r="S11" s="13">
        <v>2.92</v>
      </c>
      <c r="T11" s="13">
        <v>1.73</v>
      </c>
      <c r="U11" s="13">
        <v>1.59</v>
      </c>
      <c r="V11" s="13">
        <v>0.97</v>
      </c>
      <c r="W11" s="13">
        <v>0.38</v>
      </c>
      <c r="X11" s="13">
        <v>2.95</v>
      </c>
      <c r="Y11" s="13">
        <v>71.599999999999994</v>
      </c>
      <c r="Z11" s="13">
        <v>70.900000000000006</v>
      </c>
      <c r="AA11" s="13">
        <v>99.5</v>
      </c>
      <c r="AB11" s="13">
        <v>86.5</v>
      </c>
      <c r="AC11" s="13">
        <v>75.8</v>
      </c>
      <c r="AD11" s="13">
        <v>74.7</v>
      </c>
      <c r="AE11" s="13">
        <v>105</v>
      </c>
      <c r="AF11" s="13">
        <v>86.5</v>
      </c>
      <c r="AG11" s="13">
        <v>28.7</v>
      </c>
      <c r="AH11" s="13">
        <v>306.2</v>
      </c>
      <c r="AI11" s="13"/>
      <c r="AJ11" s="31">
        <v>2024</v>
      </c>
      <c r="AK11" s="30">
        <f t="shared" si="0"/>
        <v>0.51336883478260864</v>
      </c>
      <c r="AL11" s="30">
        <f t="shared" si="1"/>
        <v>6.2377724347826078</v>
      </c>
      <c r="AM11" s="30"/>
      <c r="AN11" s="30"/>
      <c r="AO11" s="30">
        <v>90</v>
      </c>
      <c r="AP11" s="30"/>
      <c r="AQ11" s="30">
        <v>317.3</v>
      </c>
      <c r="AR11" s="31">
        <v>2024</v>
      </c>
      <c r="AS11" s="30">
        <f t="shared" si="2"/>
        <v>0.21636391304347827</v>
      </c>
      <c r="AT11" s="30">
        <f t="shared" si="3"/>
        <v>6.6149356521739131</v>
      </c>
      <c r="AU11" s="30">
        <f t="shared" si="4"/>
        <v>1.7745217391304346</v>
      </c>
      <c r="AV11" s="30"/>
      <c r="AW11" s="30">
        <v>1333</v>
      </c>
      <c r="AX11" s="30">
        <v>92</v>
      </c>
      <c r="AY11" s="30">
        <f t="shared" si="5"/>
        <v>54.855130434782609</v>
      </c>
    </row>
    <row r="12" spans="1:51" x14ac:dyDescent="0.25">
      <c r="A12" s="9">
        <v>2025</v>
      </c>
      <c r="B12" s="10">
        <v>4.2799999999999998E-2</v>
      </c>
      <c r="C12" s="10">
        <v>4.5900000000000003E-2</v>
      </c>
      <c r="D12" s="33">
        <v>3.9699999999999999E-2</v>
      </c>
      <c r="E12" s="18">
        <v>0.9</v>
      </c>
      <c r="F12" s="18">
        <v>5.3</v>
      </c>
      <c r="G12" s="18">
        <v>0.9</v>
      </c>
      <c r="H12" s="18">
        <v>1</v>
      </c>
      <c r="I12" s="16">
        <v>69060</v>
      </c>
      <c r="J12" s="13">
        <v>48853</v>
      </c>
      <c r="K12" s="17">
        <v>80536</v>
      </c>
      <c r="L12" s="13">
        <v>8952.1</v>
      </c>
      <c r="M12" s="13">
        <v>9806.5</v>
      </c>
      <c r="N12" s="13">
        <v>10347.1</v>
      </c>
      <c r="O12" s="13">
        <v>1.71</v>
      </c>
      <c r="P12" s="13">
        <v>1.57</v>
      </c>
      <c r="Q12" s="13">
        <v>0.97</v>
      </c>
      <c r="R12" s="13">
        <v>0.38</v>
      </c>
      <c r="S12" s="13">
        <v>2.93</v>
      </c>
      <c r="T12" s="13">
        <v>1.74</v>
      </c>
      <c r="U12" s="13">
        <v>1.6</v>
      </c>
      <c r="V12" s="13">
        <v>0.97</v>
      </c>
      <c r="W12" s="13">
        <v>0.38</v>
      </c>
      <c r="X12" s="13">
        <v>2.96</v>
      </c>
      <c r="Y12" s="13">
        <v>73.099999999999994</v>
      </c>
      <c r="Z12" s="13">
        <v>72.2</v>
      </c>
      <c r="AA12" s="13">
        <v>101.4</v>
      </c>
      <c r="AB12" s="13">
        <v>82.6</v>
      </c>
      <c r="AC12" s="13">
        <v>78.5</v>
      </c>
      <c r="AD12" s="13">
        <v>77.2</v>
      </c>
      <c r="AE12" s="13">
        <v>108.6</v>
      </c>
      <c r="AF12" s="13">
        <v>82.6</v>
      </c>
      <c r="AG12" s="13">
        <v>28.2</v>
      </c>
      <c r="AH12" s="13">
        <v>297</v>
      </c>
      <c r="AI12" s="13">
        <v>3</v>
      </c>
      <c r="AJ12" s="31">
        <v>2025</v>
      </c>
      <c r="AK12" s="30">
        <f t="shared" si="0"/>
        <v>0.55401338260869559</v>
      </c>
      <c r="AL12" s="30">
        <f t="shared" si="1"/>
        <v>6.3612447826086953</v>
      </c>
      <c r="AM12" s="30"/>
      <c r="AN12" s="30"/>
      <c r="AO12" s="30">
        <v>90</v>
      </c>
      <c r="AP12" s="30"/>
      <c r="AQ12" s="30">
        <v>317.3</v>
      </c>
      <c r="AR12" s="31">
        <v>2025</v>
      </c>
      <c r="AS12" s="30">
        <f t="shared" si="2"/>
        <v>0.24727304347826087</v>
      </c>
      <c r="AT12" s="30">
        <f t="shared" si="3"/>
        <v>6.6130021739130438</v>
      </c>
      <c r="AU12" s="30">
        <f t="shared" si="4"/>
        <v>1.7283391304347826</v>
      </c>
      <c r="AV12" s="30"/>
      <c r="AW12" s="30">
        <v>1333</v>
      </c>
      <c r="AX12" s="30">
        <v>92</v>
      </c>
      <c r="AY12" s="30">
        <f t="shared" si="5"/>
        <v>55.843434782608696</v>
      </c>
    </row>
    <row r="13" spans="1:51" x14ac:dyDescent="0.25">
      <c r="A13" s="9">
        <v>2026</v>
      </c>
      <c r="B13" s="10">
        <v>4.3499999999999997E-2</v>
      </c>
      <c r="C13" s="10">
        <v>4.7100000000000003E-2</v>
      </c>
      <c r="D13" s="33">
        <v>0.04</v>
      </c>
      <c r="E13" s="18">
        <v>0.9</v>
      </c>
      <c r="F13" s="18">
        <v>5.2</v>
      </c>
      <c r="G13" s="18">
        <v>0.9</v>
      </c>
      <c r="H13" s="18">
        <v>0.9</v>
      </c>
      <c r="I13" s="16">
        <v>70838</v>
      </c>
      <c r="J13" s="13">
        <v>48853</v>
      </c>
      <c r="K13" s="17">
        <v>83006</v>
      </c>
      <c r="L13" s="13">
        <v>9184.4</v>
      </c>
      <c r="M13" s="13">
        <v>10058.299999999999</v>
      </c>
      <c r="N13" s="13">
        <v>10661.5</v>
      </c>
      <c r="O13" s="13">
        <v>1.73</v>
      </c>
      <c r="P13" s="13">
        <v>1.58</v>
      </c>
      <c r="Q13" s="13">
        <v>0.97</v>
      </c>
      <c r="R13" s="13">
        <v>0.38</v>
      </c>
      <c r="S13" s="13">
        <v>2.94</v>
      </c>
      <c r="T13" s="13">
        <v>1.76</v>
      </c>
      <c r="U13" s="13">
        <v>1.61</v>
      </c>
      <c r="V13" s="13">
        <v>0.97</v>
      </c>
      <c r="W13" s="13">
        <v>0.38</v>
      </c>
      <c r="X13" s="13">
        <v>2.97</v>
      </c>
      <c r="Y13" s="13">
        <v>75.3</v>
      </c>
      <c r="Z13" s="13">
        <v>74.2</v>
      </c>
      <c r="AA13" s="13">
        <v>104.3</v>
      </c>
      <c r="AB13" s="13">
        <v>78.900000000000006</v>
      </c>
      <c r="AC13" s="13">
        <v>80.599999999999994</v>
      </c>
      <c r="AD13" s="13">
        <v>79.2</v>
      </c>
      <c r="AE13" s="13">
        <v>111.5</v>
      </c>
      <c r="AF13" s="13">
        <v>78.900000000000006</v>
      </c>
      <c r="AG13" s="13">
        <v>27.6</v>
      </c>
      <c r="AH13" s="13">
        <v>288.10000000000002</v>
      </c>
      <c r="AI13" s="13">
        <v>4.0999999999999996</v>
      </c>
      <c r="AJ13" s="31">
        <v>2026</v>
      </c>
      <c r="AK13" s="30">
        <f t="shared" si="0"/>
        <v>0.59465793043478254</v>
      </c>
      <c r="AL13" s="30">
        <f t="shared" si="1"/>
        <v>6.4847171304347819</v>
      </c>
      <c r="AM13" s="30"/>
      <c r="AN13" s="30"/>
      <c r="AO13" s="30">
        <v>90</v>
      </c>
      <c r="AP13" s="30"/>
      <c r="AQ13" s="30">
        <v>317.3</v>
      </c>
      <c r="AR13" s="31">
        <v>2026</v>
      </c>
      <c r="AS13" s="30">
        <f t="shared" si="2"/>
        <v>0.27818217391304351</v>
      </c>
      <c r="AT13" s="30">
        <f t="shared" si="3"/>
        <v>6.6110686956521736</v>
      </c>
      <c r="AU13" s="30">
        <f t="shared" si="4"/>
        <v>1.6821565217391303</v>
      </c>
      <c r="AV13" s="30"/>
      <c r="AW13" s="30">
        <v>1333</v>
      </c>
      <c r="AX13" s="30">
        <v>92</v>
      </c>
      <c r="AY13" s="30">
        <f t="shared" si="5"/>
        <v>56.831739130434784</v>
      </c>
    </row>
    <row r="14" spans="1:51" x14ac:dyDescent="0.25">
      <c r="A14" s="9">
        <v>2027</v>
      </c>
      <c r="B14" s="10">
        <v>4.1599999999999998E-2</v>
      </c>
      <c r="C14" s="10">
        <v>4.5699999999999998E-2</v>
      </c>
      <c r="D14" s="33">
        <v>3.7499999999999999E-2</v>
      </c>
      <c r="E14" s="18">
        <v>0.9</v>
      </c>
      <c r="F14" s="18">
        <v>5.2</v>
      </c>
      <c r="G14" s="18">
        <v>0.8</v>
      </c>
      <c r="H14" s="18">
        <v>0.9</v>
      </c>
      <c r="I14" s="16">
        <v>72354</v>
      </c>
      <c r="J14" s="13">
        <v>48853</v>
      </c>
      <c r="K14" s="17">
        <v>85627</v>
      </c>
      <c r="L14" s="13">
        <v>9386</v>
      </c>
      <c r="M14" s="13">
        <v>10294.700000000001</v>
      </c>
      <c r="N14" s="13">
        <v>11003.4</v>
      </c>
      <c r="O14" s="13">
        <v>1.73</v>
      </c>
      <c r="P14" s="13">
        <v>1.59</v>
      </c>
      <c r="Q14" s="13">
        <v>0.97</v>
      </c>
      <c r="R14" s="13">
        <v>0.38</v>
      </c>
      <c r="S14" s="13">
        <v>2.95</v>
      </c>
      <c r="T14" s="13">
        <v>1.77</v>
      </c>
      <c r="U14" s="13">
        <v>1.63</v>
      </c>
      <c r="V14" s="13">
        <v>0.97</v>
      </c>
      <c r="W14" s="13">
        <v>0.38</v>
      </c>
      <c r="X14" s="13">
        <v>2.98</v>
      </c>
      <c r="Y14" s="13">
        <v>76.8</v>
      </c>
      <c r="Z14" s="13">
        <v>75.7</v>
      </c>
      <c r="AA14" s="13">
        <v>106.4</v>
      </c>
      <c r="AB14" s="13">
        <v>75.400000000000006</v>
      </c>
      <c r="AC14" s="13">
        <v>83</v>
      </c>
      <c r="AD14" s="13">
        <v>81.3</v>
      </c>
      <c r="AE14" s="13">
        <v>114.5</v>
      </c>
      <c r="AF14" s="13">
        <v>75.400000000000006</v>
      </c>
      <c r="AG14" s="13">
        <v>27.1</v>
      </c>
      <c r="AH14" s="13">
        <v>279.5</v>
      </c>
      <c r="AI14" s="13">
        <v>5.2</v>
      </c>
      <c r="AJ14" s="31">
        <v>2027</v>
      </c>
      <c r="AK14" s="30">
        <f t="shared" si="0"/>
        <v>0.6353024782608695</v>
      </c>
      <c r="AL14" s="30">
        <f t="shared" si="1"/>
        <v>6.6081894782608686</v>
      </c>
      <c r="AM14" s="30"/>
      <c r="AN14" s="30"/>
      <c r="AO14" s="30">
        <v>90</v>
      </c>
      <c r="AP14" s="30"/>
      <c r="AQ14" s="30">
        <v>317.3</v>
      </c>
      <c r="AR14" s="31">
        <v>2027</v>
      </c>
      <c r="AS14" s="30">
        <f t="shared" si="2"/>
        <v>0.30909130434782611</v>
      </c>
      <c r="AT14" s="30">
        <f t="shared" si="3"/>
        <v>6.6091352173913043</v>
      </c>
      <c r="AU14" s="30">
        <f t="shared" si="4"/>
        <v>1.6359739130434783</v>
      </c>
      <c r="AV14" s="30"/>
      <c r="AW14" s="30">
        <v>1333</v>
      </c>
      <c r="AX14" s="30">
        <v>92</v>
      </c>
      <c r="AY14" s="30">
        <f t="shared" si="5"/>
        <v>57.820043478260871</v>
      </c>
    </row>
    <row r="15" spans="1:51" x14ac:dyDescent="0.25">
      <c r="A15" s="9">
        <v>2028</v>
      </c>
      <c r="B15" s="10">
        <v>3.9600000000000003E-2</v>
      </c>
      <c r="C15" s="10">
        <v>4.4400000000000002E-2</v>
      </c>
      <c r="D15" s="33">
        <v>3.5000000000000003E-2</v>
      </c>
      <c r="E15" s="18">
        <v>0.9</v>
      </c>
      <c r="F15" s="18">
        <v>5.0999999999999996</v>
      </c>
      <c r="G15" s="18">
        <v>0.8</v>
      </c>
      <c r="H15" s="18">
        <v>0.8</v>
      </c>
      <c r="I15" s="16">
        <v>73768</v>
      </c>
      <c r="J15" s="13">
        <v>48853</v>
      </c>
      <c r="K15" s="17">
        <v>88034</v>
      </c>
      <c r="L15" s="13">
        <v>9573.9</v>
      </c>
      <c r="M15" s="13">
        <v>10575.6</v>
      </c>
      <c r="N15" s="13">
        <v>11331.1</v>
      </c>
      <c r="O15" s="13">
        <v>1.73</v>
      </c>
      <c r="P15" s="13">
        <v>1.59</v>
      </c>
      <c r="Q15" s="13">
        <v>0.97</v>
      </c>
      <c r="R15" s="13">
        <v>0.38</v>
      </c>
      <c r="S15" s="13">
        <v>2.95</v>
      </c>
      <c r="T15" s="13">
        <v>1.78</v>
      </c>
      <c r="U15" s="13">
        <v>1.64</v>
      </c>
      <c r="V15" s="13">
        <v>0.97</v>
      </c>
      <c r="W15" s="13">
        <v>0.38</v>
      </c>
      <c r="X15" s="13">
        <v>2.99</v>
      </c>
      <c r="Y15" s="13">
        <v>75.900000000000006</v>
      </c>
      <c r="Z15" s="13">
        <v>74.8</v>
      </c>
      <c r="AA15" s="13">
        <v>105.1</v>
      </c>
      <c r="AB15" s="13">
        <v>72.099999999999994</v>
      </c>
      <c r="AC15" s="13">
        <v>84.7</v>
      </c>
      <c r="AD15" s="13">
        <v>82.9</v>
      </c>
      <c r="AE15" s="13">
        <v>116.8</v>
      </c>
      <c r="AF15" s="13">
        <v>72.099999999999994</v>
      </c>
      <c r="AG15" s="13">
        <v>26.5</v>
      </c>
      <c r="AH15" s="13">
        <v>271.10000000000002</v>
      </c>
      <c r="AI15" s="13">
        <v>6.3</v>
      </c>
      <c r="AJ15" s="31">
        <v>2028</v>
      </c>
      <c r="AK15" s="30">
        <f t="shared" si="0"/>
        <v>0.67594702608695645</v>
      </c>
      <c r="AL15" s="30">
        <f t="shared" si="1"/>
        <v>6.7316618260869561</v>
      </c>
      <c r="AM15" s="30"/>
      <c r="AN15" s="30"/>
      <c r="AO15" s="30">
        <v>90</v>
      </c>
      <c r="AP15" s="30"/>
      <c r="AQ15" s="30">
        <v>317.3</v>
      </c>
      <c r="AR15" s="31">
        <v>2028</v>
      </c>
      <c r="AS15" s="30">
        <f t="shared" si="2"/>
        <v>0.34000043478260872</v>
      </c>
      <c r="AT15" s="30">
        <f t="shared" si="3"/>
        <v>6.607201739130435</v>
      </c>
      <c r="AU15" s="30">
        <f t="shared" si="4"/>
        <v>1.589791304347826</v>
      </c>
      <c r="AV15" s="30"/>
      <c r="AW15" s="30">
        <v>1333</v>
      </c>
      <c r="AX15" s="30">
        <v>92</v>
      </c>
      <c r="AY15" s="30">
        <f t="shared" si="5"/>
        <v>58.808347826086958</v>
      </c>
    </row>
    <row r="16" spans="1:51" x14ac:dyDescent="0.25">
      <c r="A16" s="9">
        <v>2029</v>
      </c>
      <c r="B16" s="10">
        <v>3.7699999999999997E-2</v>
      </c>
      <c r="C16" s="10">
        <v>4.2999999999999997E-2</v>
      </c>
      <c r="D16" s="33">
        <v>3.2500000000000001E-2</v>
      </c>
      <c r="E16" s="18">
        <v>0.8</v>
      </c>
      <c r="F16" s="18">
        <v>5.0999999999999996</v>
      </c>
      <c r="G16" s="18">
        <v>0.8</v>
      </c>
      <c r="H16" s="18">
        <v>0.8</v>
      </c>
      <c r="I16" s="16">
        <v>75019</v>
      </c>
      <c r="J16" s="13">
        <v>48853</v>
      </c>
      <c r="K16" s="17">
        <v>90457</v>
      </c>
      <c r="L16" s="13">
        <v>9743.2000000000007</v>
      </c>
      <c r="M16" s="13">
        <v>10816.7</v>
      </c>
      <c r="N16" s="13">
        <v>11659.3</v>
      </c>
      <c r="O16" s="13">
        <v>1.74</v>
      </c>
      <c r="P16" s="13">
        <v>1.6</v>
      </c>
      <c r="Q16" s="13">
        <v>0.97</v>
      </c>
      <c r="R16" s="13">
        <v>0.38</v>
      </c>
      <c r="S16" s="13">
        <v>2.96</v>
      </c>
      <c r="T16" s="13">
        <v>1.79</v>
      </c>
      <c r="U16" s="13">
        <v>1.65</v>
      </c>
      <c r="V16" s="13">
        <v>0.97</v>
      </c>
      <c r="W16" s="13">
        <v>0.38</v>
      </c>
      <c r="X16" s="13">
        <v>3</v>
      </c>
      <c r="Y16" s="13">
        <v>78.2</v>
      </c>
      <c r="Z16" s="13">
        <v>76.900000000000006</v>
      </c>
      <c r="AA16" s="13">
        <v>108.2</v>
      </c>
      <c r="AB16" s="13">
        <v>69</v>
      </c>
      <c r="AC16" s="13">
        <v>86.6</v>
      </c>
      <c r="AD16" s="13">
        <v>84.7</v>
      </c>
      <c r="AE16" s="13">
        <v>119.3</v>
      </c>
      <c r="AF16" s="13">
        <v>69</v>
      </c>
      <c r="AG16" s="13">
        <v>26</v>
      </c>
      <c r="AH16" s="13">
        <v>262.89999999999998</v>
      </c>
      <c r="AI16" s="13">
        <v>7.4</v>
      </c>
      <c r="AJ16" s="31">
        <v>2029</v>
      </c>
      <c r="AK16" s="30">
        <f t="shared" si="0"/>
        <v>0.7165915739130434</v>
      </c>
      <c r="AL16" s="30">
        <f t="shared" si="1"/>
        <v>6.8551341739130427</v>
      </c>
      <c r="AM16" s="30"/>
      <c r="AN16" s="30"/>
      <c r="AO16" s="30">
        <v>90</v>
      </c>
      <c r="AP16" s="30"/>
      <c r="AQ16" s="30">
        <v>317.3</v>
      </c>
      <c r="AR16" s="31">
        <v>2029</v>
      </c>
      <c r="AS16" s="30">
        <f t="shared" si="2"/>
        <v>0.37090956521739132</v>
      </c>
      <c r="AT16" s="30">
        <f t="shared" si="3"/>
        <v>6.6052682608695648</v>
      </c>
      <c r="AU16" s="30">
        <f t="shared" si="4"/>
        <v>1.543608695652174</v>
      </c>
      <c r="AV16" s="30"/>
      <c r="AW16" s="30">
        <v>1333</v>
      </c>
      <c r="AX16" s="30">
        <v>92</v>
      </c>
      <c r="AY16" s="30">
        <f t="shared" si="5"/>
        <v>59.796652173913046</v>
      </c>
    </row>
    <row r="17" spans="1:51" x14ac:dyDescent="0.25">
      <c r="A17" s="9">
        <v>2030</v>
      </c>
      <c r="B17" s="10">
        <v>3.5799999999999998E-2</v>
      </c>
      <c r="C17" s="10">
        <v>4.1700000000000001E-2</v>
      </c>
      <c r="D17" s="33">
        <v>0.03</v>
      </c>
      <c r="E17" s="18">
        <v>0.8</v>
      </c>
      <c r="F17" s="18">
        <v>5</v>
      </c>
      <c r="G17" s="18">
        <v>0.8</v>
      </c>
      <c r="H17" s="18">
        <v>0.8</v>
      </c>
      <c r="I17" s="16">
        <v>76198</v>
      </c>
      <c r="J17" s="13">
        <v>48853</v>
      </c>
      <c r="K17" s="17">
        <v>92922</v>
      </c>
      <c r="L17" s="13">
        <v>9902.7999999999993</v>
      </c>
      <c r="M17" s="13">
        <v>11055.2</v>
      </c>
      <c r="N17" s="13">
        <v>11993</v>
      </c>
      <c r="O17" s="13">
        <v>1.75</v>
      </c>
      <c r="P17" s="13">
        <v>1.61</v>
      </c>
      <c r="Q17" s="13">
        <v>0.97</v>
      </c>
      <c r="R17" s="13">
        <v>0.38</v>
      </c>
      <c r="S17" s="13">
        <v>2.96</v>
      </c>
      <c r="T17" s="13">
        <v>1.8</v>
      </c>
      <c r="U17" s="13">
        <v>1.65</v>
      </c>
      <c r="V17" s="13">
        <v>0.97</v>
      </c>
      <c r="W17" s="13">
        <v>0.38</v>
      </c>
      <c r="X17" s="13">
        <v>3.01</v>
      </c>
      <c r="Y17" s="13">
        <v>79</v>
      </c>
      <c r="Z17" s="13">
        <v>77.7</v>
      </c>
      <c r="AA17" s="13">
        <v>109.3</v>
      </c>
      <c r="AB17" s="13">
        <v>66</v>
      </c>
      <c r="AC17" s="13">
        <v>88</v>
      </c>
      <c r="AD17" s="13">
        <v>86</v>
      </c>
      <c r="AE17" s="13">
        <v>121.2</v>
      </c>
      <c r="AF17" s="13">
        <v>66</v>
      </c>
      <c r="AG17" s="13">
        <v>25.5</v>
      </c>
      <c r="AH17" s="13">
        <v>255.1</v>
      </c>
      <c r="AI17" s="13">
        <v>8.5</v>
      </c>
      <c r="AJ17" s="31">
        <v>2030</v>
      </c>
      <c r="AK17" s="30">
        <f t="shared" si="0"/>
        <v>0.75723612173913035</v>
      </c>
      <c r="AL17" s="30">
        <f t="shared" si="1"/>
        <v>6.9786065217391293</v>
      </c>
      <c r="AM17" s="30"/>
      <c r="AN17" s="30"/>
      <c r="AO17" s="30">
        <v>90</v>
      </c>
      <c r="AP17" s="30"/>
      <c r="AQ17" s="30">
        <v>317.3</v>
      </c>
      <c r="AR17" s="31">
        <v>2030</v>
      </c>
      <c r="AS17" s="30">
        <f t="shared" si="2"/>
        <v>0.40181869565217393</v>
      </c>
      <c r="AT17" s="30">
        <f t="shared" si="3"/>
        <v>6.6033347826086954</v>
      </c>
      <c r="AU17" s="30">
        <f t="shared" si="4"/>
        <v>1.4974260869565217</v>
      </c>
      <c r="AV17" s="30"/>
      <c r="AW17" s="30">
        <v>1333</v>
      </c>
      <c r="AX17" s="30">
        <v>92</v>
      </c>
      <c r="AY17" s="30">
        <f t="shared" si="5"/>
        <v>60.784956521739133</v>
      </c>
    </row>
    <row r="18" spans="1:51" x14ac:dyDescent="0.25">
      <c r="A18" s="9">
        <v>2031</v>
      </c>
      <c r="B18" s="10">
        <v>3.39E-2</v>
      </c>
      <c r="C18" s="10">
        <v>4.0300000000000002E-2</v>
      </c>
      <c r="D18" s="33">
        <v>2.75E-2</v>
      </c>
      <c r="E18" s="11">
        <f>-70.964*LN(A18)+541.3171</f>
        <v>0.8351533360095118</v>
      </c>
      <c r="F18" s="11">
        <f>-101.214*LN(A18)+775.9</f>
        <v>5.0254755982028882</v>
      </c>
      <c r="G18" s="11">
        <f>-80.0515*LN(A18)+610.562</f>
        <v>0.86707647014782196</v>
      </c>
      <c r="H18" s="11">
        <f>-101.01*LN(A18)+770.122</f>
        <v>0.80119744476519372</v>
      </c>
      <c r="I18" s="16">
        <v>77280</v>
      </c>
      <c r="J18" s="13">
        <v>48853</v>
      </c>
      <c r="K18" s="17">
        <v>95407</v>
      </c>
      <c r="L18" s="13">
        <v>10049.299999999999</v>
      </c>
      <c r="M18" s="13">
        <v>11287.9</v>
      </c>
      <c r="N18" s="13">
        <v>12329.5</v>
      </c>
      <c r="O18" s="13">
        <v>1.76</v>
      </c>
      <c r="P18" s="13">
        <v>1.61</v>
      </c>
      <c r="Q18" s="13">
        <v>0.97</v>
      </c>
      <c r="R18" s="13">
        <v>0.38</v>
      </c>
      <c r="S18" s="13">
        <v>2.97</v>
      </c>
      <c r="T18" s="13">
        <v>1.81</v>
      </c>
      <c r="U18" s="13">
        <v>1.66</v>
      </c>
      <c r="V18" s="13">
        <v>0.97</v>
      </c>
      <c r="W18" s="13">
        <v>0.38</v>
      </c>
      <c r="X18" s="13">
        <v>3.02</v>
      </c>
      <c r="Y18" s="13">
        <v>80.900000000000006</v>
      </c>
      <c r="Z18" s="13">
        <v>79.400000000000006</v>
      </c>
      <c r="AA18" s="13">
        <v>111.7</v>
      </c>
      <c r="AB18" s="13">
        <v>63.3</v>
      </c>
      <c r="AC18" s="13">
        <v>89.9</v>
      </c>
      <c r="AD18" s="13">
        <v>87.7</v>
      </c>
      <c r="AE18" s="13">
        <v>123.7</v>
      </c>
      <c r="AF18" s="13">
        <v>63.3</v>
      </c>
      <c r="AG18" s="13">
        <v>25</v>
      </c>
      <c r="AH18" s="13">
        <v>247.4</v>
      </c>
      <c r="AI18" s="13">
        <v>11.4</v>
      </c>
      <c r="AJ18" s="31">
        <v>2031</v>
      </c>
      <c r="AK18" s="30">
        <f t="shared" si="0"/>
        <v>0.7978806695652173</v>
      </c>
      <c r="AL18" s="30">
        <f t="shared" si="1"/>
        <v>7.1020788695652168</v>
      </c>
      <c r="AM18" s="30"/>
      <c r="AN18" s="30"/>
      <c r="AO18" s="30">
        <v>90</v>
      </c>
      <c r="AP18" s="30"/>
      <c r="AQ18" s="30">
        <v>347.3</v>
      </c>
      <c r="AR18" s="31">
        <v>2031</v>
      </c>
      <c r="AS18" s="30">
        <f t="shared" si="2"/>
        <v>0.43272782608695654</v>
      </c>
      <c r="AT18" s="30">
        <f t="shared" si="3"/>
        <v>6.6014013043478261</v>
      </c>
      <c r="AU18" s="30">
        <f t="shared" si="4"/>
        <v>1.4512434782608694</v>
      </c>
      <c r="AV18" s="30"/>
      <c r="AW18" s="30">
        <v>1333</v>
      </c>
      <c r="AX18" s="30">
        <v>92</v>
      </c>
      <c r="AY18" s="30">
        <f t="shared" si="5"/>
        <v>61.77326086956522</v>
      </c>
    </row>
    <row r="19" spans="1:51" x14ac:dyDescent="0.25">
      <c r="A19" s="9">
        <v>2032</v>
      </c>
      <c r="B19" s="10">
        <v>3.2000000000000001E-2</v>
      </c>
      <c r="C19" s="10">
        <v>3.9E-2</v>
      </c>
      <c r="D19" s="33">
        <v>2.5000000000000001E-2</v>
      </c>
      <c r="E19" s="11">
        <f t="shared" ref="E19:E27" si="6">-70.964*LN(A19)+541.3171</f>
        <v>0.80022151152866172</v>
      </c>
      <c r="F19" s="11">
        <f>-101.214*LN(A19)+775.9</f>
        <v>4.9756532984029036</v>
      </c>
      <c r="G19" s="11">
        <f t="shared" ref="G19:G27" si="7">-80.0515*LN(A19)+610.562</f>
        <v>0.82767134998221081</v>
      </c>
      <c r="H19" s="11">
        <f t="shared" ref="H19:H27" si="8">-101.01*LN(A19)+770.122</f>
        <v>0.75147556337731203</v>
      </c>
      <c r="I19" s="16">
        <v>78260</v>
      </c>
      <c r="J19" s="13">
        <v>48853</v>
      </c>
      <c r="K19" s="17">
        <v>97910</v>
      </c>
      <c r="L19" s="13">
        <v>10182.1</v>
      </c>
      <c r="M19" s="13">
        <v>11514.3</v>
      </c>
      <c r="N19" s="13">
        <v>12668.6</v>
      </c>
      <c r="O19" s="13">
        <v>1.76</v>
      </c>
      <c r="P19" s="13">
        <v>1.62</v>
      </c>
      <c r="Q19" s="13">
        <v>0.97</v>
      </c>
      <c r="R19" s="13">
        <v>0.38</v>
      </c>
      <c r="S19" s="13">
        <v>2.97</v>
      </c>
      <c r="T19" s="13">
        <v>1.82</v>
      </c>
      <c r="U19" s="13">
        <v>1.67</v>
      </c>
      <c r="V19" s="13">
        <v>0.97</v>
      </c>
      <c r="W19" s="13">
        <v>0.38</v>
      </c>
      <c r="X19" s="13">
        <v>3.03</v>
      </c>
      <c r="Y19" s="13">
        <v>80.900000000000006</v>
      </c>
      <c r="Z19" s="13">
        <v>79.400000000000006</v>
      </c>
      <c r="AA19" s="13">
        <v>111.8</v>
      </c>
      <c r="AB19" s="13">
        <v>60.7</v>
      </c>
      <c r="AC19" s="13">
        <v>91</v>
      </c>
      <c r="AD19" s="13">
        <v>88.8</v>
      </c>
      <c r="AE19" s="13">
        <v>125.2</v>
      </c>
      <c r="AF19" s="13">
        <v>60.7</v>
      </c>
      <c r="AG19" s="13">
        <v>24.6</v>
      </c>
      <c r="AH19" s="13">
        <v>240</v>
      </c>
      <c r="AI19" s="13">
        <v>14.3</v>
      </c>
      <c r="AJ19" s="31">
        <v>2032</v>
      </c>
      <c r="AK19" s="30">
        <f t="shared" si="0"/>
        <v>0.83852521739130426</v>
      </c>
      <c r="AL19" s="30">
        <f t="shared" si="1"/>
        <v>7.2255512173913035</v>
      </c>
      <c r="AM19" s="30"/>
      <c r="AN19" s="30"/>
      <c r="AO19" s="30">
        <v>90</v>
      </c>
      <c r="AP19" s="30"/>
      <c r="AQ19" s="30">
        <v>347.3</v>
      </c>
      <c r="AR19" s="31">
        <v>2032</v>
      </c>
      <c r="AS19" s="30">
        <f t="shared" si="2"/>
        <v>0.46363695652173914</v>
      </c>
      <c r="AT19" s="30">
        <f t="shared" si="3"/>
        <v>6.5994678260869559</v>
      </c>
      <c r="AU19" s="30">
        <f t="shared" si="4"/>
        <v>1.4050608695652174</v>
      </c>
      <c r="AV19" s="30"/>
      <c r="AW19" s="30">
        <v>1333</v>
      </c>
      <c r="AX19" s="30">
        <v>92</v>
      </c>
      <c r="AY19" s="30">
        <f t="shared" si="5"/>
        <v>62.761565217391308</v>
      </c>
    </row>
    <row r="20" spans="1:51" x14ac:dyDescent="0.25">
      <c r="A20" s="19">
        <v>2033</v>
      </c>
      <c r="B20" s="20">
        <v>3.2000000000000001E-2</v>
      </c>
      <c r="C20" s="20">
        <v>3.9E-2</v>
      </c>
      <c r="D20" s="34">
        <v>2.5000000000000001E-2</v>
      </c>
      <c r="E20" s="21">
        <f t="shared" si="6"/>
        <v>0.7653068736780142</v>
      </c>
      <c r="F20" s="21">
        <f t="shared" ref="F20:F42" si="9">-101.214*LN(A20)+775.9</f>
        <v>4.9258555114205365</v>
      </c>
      <c r="G20" s="21">
        <f t="shared" si="7"/>
        <v>0.78828561733041624</v>
      </c>
      <c r="H20" s="21">
        <f t="shared" si="8"/>
        <v>0.70177814540056715</v>
      </c>
      <c r="I20" s="22">
        <v>79182</v>
      </c>
      <c r="J20" s="23">
        <v>48853</v>
      </c>
      <c r="K20" s="24">
        <v>100456</v>
      </c>
      <c r="L20" s="23">
        <v>10307</v>
      </c>
      <c r="M20" s="23">
        <v>11738.7</v>
      </c>
      <c r="N20" s="23">
        <v>13013.4</v>
      </c>
      <c r="O20" s="23">
        <v>1.77</v>
      </c>
      <c r="P20" s="23">
        <v>1.63</v>
      </c>
      <c r="Q20" s="23">
        <v>0.97</v>
      </c>
      <c r="R20" s="23">
        <v>0.38</v>
      </c>
      <c r="S20" s="23">
        <v>2.98</v>
      </c>
      <c r="T20" s="23">
        <v>1.83</v>
      </c>
      <c r="U20" s="23">
        <v>1.68</v>
      </c>
      <c r="V20" s="23">
        <v>0.97</v>
      </c>
      <c r="W20" s="23">
        <v>0.38</v>
      </c>
      <c r="X20" s="23">
        <v>3.04</v>
      </c>
      <c r="Y20" s="23">
        <v>83</v>
      </c>
      <c r="Z20" s="23">
        <v>81.400000000000006</v>
      </c>
      <c r="AA20" s="23">
        <v>114.6</v>
      </c>
      <c r="AB20" s="23">
        <v>58.2</v>
      </c>
      <c r="AC20" s="23">
        <v>93.7</v>
      </c>
      <c r="AD20" s="23">
        <v>91.2</v>
      </c>
      <c r="AE20" s="23">
        <v>128.69999999999999</v>
      </c>
      <c r="AF20" s="23">
        <v>58.2</v>
      </c>
      <c r="AG20" s="23">
        <v>24.2</v>
      </c>
      <c r="AH20" s="23">
        <v>232.8</v>
      </c>
      <c r="AI20" s="23">
        <v>17.2</v>
      </c>
      <c r="AJ20" s="31">
        <v>2033</v>
      </c>
      <c r="AK20" s="30">
        <f t="shared" si="0"/>
        <v>0.87916976521739121</v>
      </c>
      <c r="AL20" s="30">
        <f t="shared" si="1"/>
        <v>7.3490235652173901</v>
      </c>
      <c r="AM20" s="30"/>
      <c r="AN20" s="30"/>
      <c r="AO20" s="30">
        <v>90</v>
      </c>
      <c r="AP20" s="30"/>
      <c r="AQ20" s="30">
        <v>347.3</v>
      </c>
      <c r="AR20" s="31">
        <v>2033</v>
      </c>
      <c r="AS20" s="30">
        <f t="shared" si="2"/>
        <v>0.49454608695652175</v>
      </c>
      <c r="AT20" s="30">
        <f t="shared" si="3"/>
        <v>6.5975343478260866</v>
      </c>
      <c r="AU20" s="30">
        <f t="shared" si="4"/>
        <v>1.3588782608695653</v>
      </c>
      <c r="AV20" s="30"/>
      <c r="AW20" s="30">
        <v>1333</v>
      </c>
      <c r="AX20" s="30">
        <v>92</v>
      </c>
      <c r="AY20" s="30">
        <f t="shared" si="5"/>
        <v>63.749869565217395</v>
      </c>
    </row>
    <row r="21" spans="1:51" x14ac:dyDescent="0.25">
      <c r="A21" s="25">
        <v>2034</v>
      </c>
      <c r="B21" s="26">
        <v>3.2000000000000001E-2</v>
      </c>
      <c r="C21" s="26">
        <v>3.9E-2</v>
      </c>
      <c r="D21" s="35">
        <v>2.5000000000000001E-2</v>
      </c>
      <c r="E21" s="27">
        <f t="shared" si="6"/>
        <v>0.73040940555404177</v>
      </c>
      <c r="F21" s="27">
        <f t="shared" si="9"/>
        <v>4.8760822131466739</v>
      </c>
      <c r="G21" s="27">
        <f t="shared" si="7"/>
        <v>0.74891925312419971</v>
      </c>
      <c r="H21" s="27">
        <f t="shared" si="8"/>
        <v>0.6521051667748452</v>
      </c>
      <c r="I21" s="28">
        <v>80070</v>
      </c>
      <c r="J21" s="29">
        <v>48853</v>
      </c>
      <c r="K21" s="28">
        <v>103059</v>
      </c>
      <c r="L21" s="29">
        <v>10427.299999999999</v>
      </c>
      <c r="M21" s="29">
        <v>11963.6</v>
      </c>
      <c r="N21" s="29">
        <v>13366</v>
      </c>
      <c r="O21" s="29">
        <v>1.78</v>
      </c>
      <c r="P21" s="29">
        <v>1.63</v>
      </c>
      <c r="Q21" s="29">
        <v>0.97</v>
      </c>
      <c r="R21" s="29">
        <v>0.38</v>
      </c>
      <c r="S21" s="29">
        <v>2.99</v>
      </c>
      <c r="T21" s="29">
        <v>1.84</v>
      </c>
      <c r="U21" s="29">
        <v>1.69</v>
      </c>
      <c r="V21" s="29">
        <v>0.97</v>
      </c>
      <c r="W21" s="29">
        <v>0.38</v>
      </c>
      <c r="X21" s="29">
        <v>3.05</v>
      </c>
      <c r="Y21" s="29">
        <v>83.9</v>
      </c>
      <c r="Z21" s="29">
        <v>82.2</v>
      </c>
      <c r="AA21" s="29">
        <v>115.7</v>
      </c>
      <c r="AB21" s="29">
        <v>55.9</v>
      </c>
      <c r="AC21" s="29">
        <v>94.4</v>
      </c>
      <c r="AD21" s="29">
        <v>91.8</v>
      </c>
      <c r="AE21" s="29">
        <v>129.6</v>
      </c>
      <c r="AF21" s="29">
        <v>55.9</v>
      </c>
      <c r="AG21" s="29">
        <v>23.8</v>
      </c>
      <c r="AH21" s="29">
        <v>225.8</v>
      </c>
      <c r="AI21" s="29">
        <v>20.100000000000001</v>
      </c>
      <c r="AJ21" s="31">
        <v>2034</v>
      </c>
      <c r="AK21" s="30">
        <f t="shared" si="0"/>
        <v>0.91981431304347816</v>
      </c>
      <c r="AL21" s="30">
        <f t="shared" si="1"/>
        <v>7.4724959130434776</v>
      </c>
      <c r="AM21" s="30"/>
      <c r="AN21" s="30"/>
      <c r="AO21" s="30">
        <v>90</v>
      </c>
      <c r="AP21" s="30"/>
      <c r="AQ21" s="30">
        <v>347.3</v>
      </c>
      <c r="AR21" s="31">
        <v>2034</v>
      </c>
      <c r="AS21" s="30">
        <f t="shared" si="2"/>
        <v>0.52545521739130441</v>
      </c>
      <c r="AT21" s="30">
        <f t="shared" si="3"/>
        <v>6.5956008695652173</v>
      </c>
      <c r="AU21" s="30">
        <f t="shared" si="4"/>
        <v>1.312695652173913</v>
      </c>
      <c r="AV21" s="30"/>
      <c r="AW21" s="30">
        <v>1333</v>
      </c>
      <c r="AX21" s="30">
        <v>92</v>
      </c>
      <c r="AY21" s="30">
        <f t="shared" si="5"/>
        <v>64.738173913043482</v>
      </c>
    </row>
    <row r="22" spans="1:51" x14ac:dyDescent="0.25">
      <c r="A22" s="25">
        <v>2035</v>
      </c>
      <c r="B22" s="26">
        <v>3.2000000000000001E-2</v>
      </c>
      <c r="C22" s="26">
        <v>3.9E-2</v>
      </c>
      <c r="D22" s="35">
        <v>2.5000000000000001E-2</v>
      </c>
      <c r="E22" s="27">
        <f t="shared" si="6"/>
        <v>0.69552909027822807</v>
      </c>
      <c r="F22" s="27">
        <f t="shared" si="9"/>
        <v>4.826333379508128</v>
      </c>
      <c r="G22" s="27">
        <f t="shared" si="7"/>
        <v>0.70957223832374439</v>
      </c>
      <c r="H22" s="27">
        <f t="shared" si="8"/>
        <v>0.60245660347493413</v>
      </c>
      <c r="I22" s="28">
        <v>80938</v>
      </c>
      <c r="J22" s="29">
        <v>48853</v>
      </c>
      <c r="K22" s="28">
        <v>105729</v>
      </c>
      <c r="L22" s="29">
        <v>10544.9</v>
      </c>
      <c r="M22" s="29">
        <v>12190.4</v>
      </c>
      <c r="N22" s="29">
        <v>13727.6</v>
      </c>
      <c r="O22" s="29">
        <v>1.78</v>
      </c>
      <c r="P22" s="29">
        <v>1.63</v>
      </c>
      <c r="Q22" s="29">
        <v>0.97</v>
      </c>
      <c r="R22" s="29">
        <v>0.38</v>
      </c>
      <c r="S22" s="29">
        <v>2.99</v>
      </c>
      <c r="T22" s="29">
        <v>1.85</v>
      </c>
      <c r="U22" s="29">
        <v>1.7</v>
      </c>
      <c r="V22" s="29">
        <v>0.97</v>
      </c>
      <c r="W22" s="29">
        <v>0.38</v>
      </c>
      <c r="X22" s="29">
        <v>3.05</v>
      </c>
      <c r="Y22" s="29">
        <v>84.3</v>
      </c>
      <c r="Z22" s="29">
        <v>82.5</v>
      </c>
      <c r="AA22" s="29">
        <v>116.2</v>
      </c>
      <c r="AB22" s="29">
        <v>53.7</v>
      </c>
      <c r="AC22" s="29">
        <v>95.9</v>
      </c>
      <c r="AD22" s="29">
        <v>93.3</v>
      </c>
      <c r="AE22" s="29">
        <v>131.6</v>
      </c>
      <c r="AF22" s="29">
        <v>53.7</v>
      </c>
      <c r="AG22" s="29">
        <v>23.4</v>
      </c>
      <c r="AH22" s="29">
        <v>219</v>
      </c>
      <c r="AI22" s="29">
        <v>23</v>
      </c>
      <c r="AJ22" s="31">
        <v>2035</v>
      </c>
      <c r="AK22" s="30">
        <f t="shared" si="0"/>
        <v>0.96045886086956511</v>
      </c>
      <c r="AL22" s="30">
        <f t="shared" si="1"/>
        <v>7.5959682608695642</v>
      </c>
      <c r="AM22" s="30"/>
      <c r="AN22" s="30"/>
      <c r="AO22" s="30">
        <v>90</v>
      </c>
      <c r="AP22" s="30"/>
      <c r="AQ22" s="30">
        <v>347.3</v>
      </c>
      <c r="AR22" s="31">
        <v>2035</v>
      </c>
      <c r="AS22" s="30">
        <f t="shared" si="2"/>
        <v>0.55636434782608701</v>
      </c>
      <c r="AT22" s="30">
        <f t="shared" si="3"/>
        <v>6.593667391304348</v>
      </c>
      <c r="AU22" s="30">
        <f t="shared" si="4"/>
        <v>1.2665130434782608</v>
      </c>
      <c r="AV22" s="30"/>
      <c r="AW22" s="30">
        <v>1333</v>
      </c>
      <c r="AX22" s="30">
        <v>92</v>
      </c>
      <c r="AY22" s="30">
        <f t="shared" si="5"/>
        <v>65.72647826086957</v>
      </c>
    </row>
    <row r="23" spans="1:51" x14ac:dyDescent="0.25">
      <c r="A23" s="25">
        <v>2036</v>
      </c>
      <c r="B23" s="26">
        <v>3.2000000000000001E-2</v>
      </c>
      <c r="C23" s="26">
        <v>3.9E-2</v>
      </c>
      <c r="D23" s="35">
        <v>2.5000000000000001E-2</v>
      </c>
      <c r="E23" s="27">
        <f t="shared" si="6"/>
        <v>0.66066591099684047</v>
      </c>
      <c r="F23" s="27">
        <f t="shared" si="9"/>
        <v>4.7766089864667265</v>
      </c>
      <c r="G23" s="27">
        <f t="shared" si="7"/>
        <v>0.67024455391685933</v>
      </c>
      <c r="H23" s="27">
        <f t="shared" si="8"/>
        <v>0.55283243151143324</v>
      </c>
      <c r="I23" s="28">
        <v>81795</v>
      </c>
      <c r="J23" s="29">
        <v>48853</v>
      </c>
      <c r="K23" s="28">
        <v>108473</v>
      </c>
      <c r="L23" s="29">
        <v>10660.8</v>
      </c>
      <c r="M23" s="29">
        <v>12419.9</v>
      </c>
      <c r="N23" s="29">
        <v>14099.2</v>
      </c>
      <c r="O23" s="29">
        <v>1.78</v>
      </c>
      <c r="P23" s="29">
        <v>1.64</v>
      </c>
      <c r="Q23" s="29">
        <v>0.97</v>
      </c>
      <c r="R23" s="29">
        <v>0.38</v>
      </c>
      <c r="S23" s="29">
        <v>3</v>
      </c>
      <c r="T23" s="29">
        <v>1.86</v>
      </c>
      <c r="U23" s="29">
        <v>1.71</v>
      </c>
      <c r="V23" s="29">
        <v>0.97</v>
      </c>
      <c r="W23" s="29">
        <v>0.38</v>
      </c>
      <c r="X23" s="29">
        <v>3.06</v>
      </c>
      <c r="Y23" s="29">
        <v>85.4</v>
      </c>
      <c r="Z23" s="29">
        <v>83.6</v>
      </c>
      <c r="AA23" s="29">
        <v>117.8</v>
      </c>
      <c r="AB23" s="29">
        <v>51.6</v>
      </c>
      <c r="AC23" s="29">
        <v>97.9</v>
      </c>
      <c r="AD23" s="29">
        <v>95</v>
      </c>
      <c r="AE23" s="29">
        <v>134.19999999999999</v>
      </c>
      <c r="AF23" s="29">
        <v>51.6</v>
      </c>
      <c r="AG23" s="29">
        <v>23</v>
      </c>
      <c r="AH23" s="29">
        <v>212.5</v>
      </c>
      <c r="AI23" s="29">
        <v>27</v>
      </c>
      <c r="AJ23" s="31">
        <v>2036</v>
      </c>
      <c r="AK23" s="30">
        <f t="shared" si="0"/>
        <v>1.0011034086956521</v>
      </c>
      <c r="AL23" s="30">
        <f t="shared" si="1"/>
        <v>7.7194406086956509</v>
      </c>
      <c r="AM23" s="30"/>
      <c r="AN23" s="30"/>
      <c r="AO23" s="30">
        <v>90</v>
      </c>
      <c r="AP23" s="30"/>
      <c r="AQ23" s="30">
        <v>347.3</v>
      </c>
      <c r="AR23" s="31">
        <v>2036</v>
      </c>
      <c r="AS23" s="30">
        <f t="shared" si="2"/>
        <v>0.58727347826086962</v>
      </c>
      <c r="AT23" s="30">
        <f t="shared" si="3"/>
        <v>6.5917339130434778</v>
      </c>
      <c r="AU23" s="30">
        <f t="shared" si="4"/>
        <v>1.2203304347826087</v>
      </c>
      <c r="AV23" s="30"/>
      <c r="AW23" s="30">
        <v>1333</v>
      </c>
      <c r="AX23" s="30">
        <v>92</v>
      </c>
      <c r="AY23" s="30">
        <f t="shared" si="5"/>
        <v>66.714782608695657</v>
      </c>
    </row>
    <row r="24" spans="1:51" x14ac:dyDescent="0.25">
      <c r="A24" s="25">
        <v>2037</v>
      </c>
      <c r="B24" s="26">
        <v>3.2000000000000001E-2</v>
      </c>
      <c r="C24" s="26">
        <v>3.9E-2</v>
      </c>
      <c r="D24" s="35">
        <v>2.5000000000000001E-2</v>
      </c>
      <c r="E24" s="27">
        <f t="shared" si="6"/>
        <v>0.62581985088093006</v>
      </c>
      <c r="F24" s="27">
        <f t="shared" si="9"/>
        <v>4.7269090100201083</v>
      </c>
      <c r="G24" s="27">
        <f t="shared" si="7"/>
        <v>0.63093618091988901</v>
      </c>
      <c r="H24" s="27">
        <f t="shared" si="8"/>
        <v>0.50323262693029847</v>
      </c>
      <c r="I24" s="28">
        <v>82644</v>
      </c>
      <c r="J24" s="29">
        <v>48853</v>
      </c>
      <c r="K24" s="28">
        <v>111295</v>
      </c>
      <c r="L24" s="29">
        <v>10775.9</v>
      </c>
      <c r="M24" s="29">
        <v>12652.8</v>
      </c>
      <c r="N24" s="29">
        <v>14481.5</v>
      </c>
      <c r="O24" s="29">
        <v>1.79</v>
      </c>
      <c r="P24" s="29">
        <v>1.64</v>
      </c>
      <c r="Q24" s="29">
        <v>0.97</v>
      </c>
      <c r="R24" s="29">
        <v>0.38</v>
      </c>
      <c r="S24" s="29">
        <v>3</v>
      </c>
      <c r="T24" s="29">
        <v>1.86</v>
      </c>
      <c r="U24" s="29">
        <v>1.7</v>
      </c>
      <c r="V24" s="29">
        <v>0.97</v>
      </c>
      <c r="W24" s="29">
        <v>0.38</v>
      </c>
      <c r="X24" s="29">
        <v>3.06</v>
      </c>
      <c r="Y24" s="29">
        <v>85.5</v>
      </c>
      <c r="Z24" s="29">
        <v>83.7</v>
      </c>
      <c r="AA24" s="29">
        <v>117.9</v>
      </c>
      <c r="AB24" s="29">
        <v>49.7</v>
      </c>
      <c r="AC24" s="29">
        <v>97.5</v>
      </c>
      <c r="AD24" s="29">
        <v>94.7</v>
      </c>
      <c r="AE24" s="29">
        <v>133.69999999999999</v>
      </c>
      <c r="AF24" s="29">
        <v>49.7</v>
      </c>
      <c r="AG24" s="29">
        <v>22.6</v>
      </c>
      <c r="AH24" s="29">
        <v>206.1</v>
      </c>
      <c r="AI24" s="29">
        <v>31</v>
      </c>
      <c r="AJ24" s="31">
        <v>2037</v>
      </c>
      <c r="AK24" s="30">
        <f t="shared" si="0"/>
        <v>1.0417479565217391</v>
      </c>
      <c r="AL24" s="30">
        <f t="shared" si="1"/>
        <v>7.8429129565217384</v>
      </c>
      <c r="AM24" s="30"/>
      <c r="AN24" s="30"/>
      <c r="AO24" s="30">
        <v>90</v>
      </c>
      <c r="AP24" s="30"/>
      <c r="AQ24" s="30">
        <v>347.3</v>
      </c>
      <c r="AR24" s="31">
        <v>2037</v>
      </c>
      <c r="AS24" s="30">
        <f t="shared" si="2"/>
        <v>0.61818260869565222</v>
      </c>
      <c r="AT24" s="30">
        <f t="shared" si="3"/>
        <v>6.5898004347826085</v>
      </c>
      <c r="AU24" s="30">
        <f t="shared" si="4"/>
        <v>1.1741478260869567</v>
      </c>
      <c r="AV24" s="30"/>
      <c r="AW24" s="30">
        <v>1333</v>
      </c>
      <c r="AX24" s="30">
        <v>92</v>
      </c>
      <c r="AY24" s="30">
        <f t="shared" si="5"/>
        <v>67.703086956521744</v>
      </c>
    </row>
    <row r="25" spans="1:51" x14ac:dyDescent="0.25">
      <c r="A25" s="25">
        <v>2038</v>
      </c>
      <c r="B25" s="26">
        <v>3.2000000000000001E-2</v>
      </c>
      <c r="C25" s="26">
        <v>3.9E-2</v>
      </c>
      <c r="D25" s="35">
        <v>2.5000000000000001E-2</v>
      </c>
      <c r="E25" s="27">
        <f t="shared" si="6"/>
        <v>0.59099089312655906</v>
      </c>
      <c r="F25" s="27">
        <f t="shared" si="9"/>
        <v>4.6772334262008144</v>
      </c>
      <c r="G25" s="27">
        <f t="shared" si="7"/>
        <v>0.59164710037657642</v>
      </c>
      <c r="H25" s="27">
        <f t="shared" si="8"/>
        <v>0.45365716581238757</v>
      </c>
      <c r="I25" s="28">
        <v>83489</v>
      </c>
      <c r="J25" s="29">
        <v>48853</v>
      </c>
      <c r="K25" s="28">
        <v>114202</v>
      </c>
      <c r="L25" s="29">
        <v>10890.4</v>
      </c>
      <c r="M25" s="29">
        <v>12889.6</v>
      </c>
      <c r="N25" s="29">
        <v>14875.2</v>
      </c>
      <c r="O25" s="29">
        <v>1.79</v>
      </c>
      <c r="P25" s="29">
        <v>1.65</v>
      </c>
      <c r="Q25" s="29">
        <v>0.97</v>
      </c>
      <c r="R25" s="29">
        <v>0.38</v>
      </c>
      <c r="S25" s="29">
        <v>3</v>
      </c>
      <c r="T25" s="29">
        <v>1.86</v>
      </c>
      <c r="U25" s="29">
        <v>1.71</v>
      </c>
      <c r="V25" s="29">
        <v>0.97</v>
      </c>
      <c r="W25" s="29">
        <v>0.38</v>
      </c>
      <c r="X25" s="29">
        <v>3.07</v>
      </c>
      <c r="Y25" s="29">
        <v>86.5</v>
      </c>
      <c r="Z25" s="29">
        <v>84.6</v>
      </c>
      <c r="AA25" s="29">
        <v>119.2</v>
      </c>
      <c r="AB25" s="29">
        <v>47.8</v>
      </c>
      <c r="AC25" s="29">
        <v>98.7</v>
      </c>
      <c r="AD25" s="29">
        <v>95.8</v>
      </c>
      <c r="AE25" s="29">
        <v>135.30000000000001</v>
      </c>
      <c r="AF25" s="29">
        <v>47.8</v>
      </c>
      <c r="AG25" s="29">
        <v>22.2</v>
      </c>
      <c r="AH25" s="29">
        <v>199.9</v>
      </c>
      <c r="AI25" s="29">
        <v>35</v>
      </c>
      <c r="AJ25" s="31">
        <v>2038</v>
      </c>
      <c r="AK25" s="30">
        <f t="shared" si="0"/>
        <v>1.082392504347826</v>
      </c>
      <c r="AL25" s="30">
        <f t="shared" si="1"/>
        <v>7.966385304347825</v>
      </c>
      <c r="AM25" s="30"/>
      <c r="AN25" s="30"/>
      <c r="AO25" s="30">
        <v>90</v>
      </c>
      <c r="AP25" s="30"/>
      <c r="AQ25" s="30">
        <v>347.3</v>
      </c>
      <c r="AR25" s="31">
        <v>2038</v>
      </c>
      <c r="AS25" s="30">
        <f t="shared" si="2"/>
        <v>0.64909173913043483</v>
      </c>
      <c r="AT25" s="30">
        <f t="shared" si="3"/>
        <v>6.5878669565217391</v>
      </c>
      <c r="AU25" s="30">
        <f t="shared" si="4"/>
        <v>1.1279652173913044</v>
      </c>
      <c r="AV25" s="30"/>
      <c r="AW25" s="30">
        <v>1333</v>
      </c>
      <c r="AX25" s="30">
        <v>92</v>
      </c>
      <c r="AY25" s="30">
        <f t="shared" si="5"/>
        <v>68.691391304347832</v>
      </c>
    </row>
    <row r="26" spans="1:51" x14ac:dyDescent="0.25">
      <c r="A26" s="25">
        <v>2039</v>
      </c>
      <c r="B26" s="26">
        <v>3.2000000000000001E-2</v>
      </c>
      <c r="C26" s="26">
        <v>3.9E-2</v>
      </c>
      <c r="D26" s="35">
        <v>2.5000000000000001E-2</v>
      </c>
      <c r="E26" s="27">
        <f t="shared" si="6"/>
        <v>0.55617902095434602</v>
      </c>
      <c r="F26" s="27">
        <f t="shared" si="9"/>
        <v>4.6275822110770832</v>
      </c>
      <c r="G26" s="27">
        <f t="shared" si="7"/>
        <v>0.55237729335897257</v>
      </c>
      <c r="H26" s="27">
        <f t="shared" si="8"/>
        <v>0.40410602427425601</v>
      </c>
      <c r="I26" s="28">
        <v>84334</v>
      </c>
      <c r="J26" s="29">
        <v>48853</v>
      </c>
      <c r="K26" s="28">
        <v>117197</v>
      </c>
      <c r="L26" s="29">
        <v>11004.7</v>
      </c>
      <c r="M26" s="29">
        <v>13130.5</v>
      </c>
      <c r="N26" s="29">
        <v>15280.8</v>
      </c>
      <c r="O26" s="29">
        <v>1.79</v>
      </c>
      <c r="P26" s="29">
        <v>1.65</v>
      </c>
      <c r="Q26" s="29">
        <v>0.97</v>
      </c>
      <c r="R26" s="29">
        <v>0.38</v>
      </c>
      <c r="S26" s="29">
        <v>3</v>
      </c>
      <c r="T26" s="29">
        <v>1.87</v>
      </c>
      <c r="U26" s="29">
        <v>1.71</v>
      </c>
      <c r="V26" s="29">
        <v>0.97</v>
      </c>
      <c r="W26" s="29">
        <v>0.38</v>
      </c>
      <c r="X26" s="29">
        <v>3.07</v>
      </c>
      <c r="Y26" s="29">
        <v>86.5</v>
      </c>
      <c r="Z26" s="29">
        <v>84.6</v>
      </c>
      <c r="AA26" s="29">
        <v>119.2</v>
      </c>
      <c r="AB26" s="29">
        <v>46.1</v>
      </c>
      <c r="AC26" s="29">
        <v>99.5</v>
      </c>
      <c r="AD26" s="29">
        <v>96.5</v>
      </c>
      <c r="AE26" s="29">
        <v>136.30000000000001</v>
      </c>
      <c r="AF26" s="29">
        <v>46.1</v>
      </c>
      <c r="AG26" s="29">
        <v>21.8</v>
      </c>
      <c r="AH26" s="29">
        <v>193.9</v>
      </c>
      <c r="AI26" s="29">
        <v>39</v>
      </c>
      <c r="AJ26" s="31">
        <v>2039</v>
      </c>
      <c r="AK26" s="30">
        <f t="shared" si="0"/>
        <v>1.123037052173913</v>
      </c>
      <c r="AL26" s="30">
        <f t="shared" si="1"/>
        <v>8.0898576521739116</v>
      </c>
      <c r="AM26" s="30"/>
      <c r="AN26" s="30"/>
      <c r="AO26" s="30">
        <v>90</v>
      </c>
      <c r="AP26" s="30"/>
      <c r="AQ26" s="30">
        <v>347.3</v>
      </c>
      <c r="AR26" s="31">
        <v>2039</v>
      </c>
      <c r="AS26" s="30">
        <f t="shared" si="2"/>
        <v>0.68000086956521744</v>
      </c>
      <c r="AT26" s="30">
        <f t="shared" si="3"/>
        <v>6.5859334782608689</v>
      </c>
      <c r="AU26" s="30">
        <f t="shared" si="4"/>
        <v>1.0817826086956521</v>
      </c>
      <c r="AV26" s="30"/>
      <c r="AW26" s="30">
        <v>1333</v>
      </c>
      <c r="AX26" s="30">
        <v>92</v>
      </c>
      <c r="AY26" s="30">
        <f t="shared" si="5"/>
        <v>69.679695652173919</v>
      </c>
    </row>
    <row r="27" spans="1:51" x14ac:dyDescent="0.25">
      <c r="A27" s="25">
        <v>2040</v>
      </c>
      <c r="B27" s="26">
        <v>3.2000000000000001E-2</v>
      </c>
      <c r="C27" s="26">
        <v>3.9E-2</v>
      </c>
      <c r="D27" s="35">
        <v>2.5000000000000001E-2</v>
      </c>
      <c r="E27" s="27">
        <f t="shared" si="6"/>
        <v>0.52138421760957954</v>
      </c>
      <c r="F27" s="27">
        <f t="shared" si="9"/>
        <v>4.5779553407521689</v>
      </c>
      <c r="G27" s="27">
        <f t="shared" si="7"/>
        <v>0.51312674096686806</v>
      </c>
      <c r="H27" s="27">
        <f t="shared" si="8"/>
        <v>0.35457917846702003</v>
      </c>
      <c r="I27" s="28">
        <v>85178</v>
      </c>
      <c r="J27" s="29">
        <v>48853</v>
      </c>
      <c r="K27" s="28">
        <v>120284</v>
      </c>
      <c r="L27" s="29">
        <v>11119</v>
      </c>
      <c r="M27" s="29">
        <v>13375.8</v>
      </c>
      <c r="N27" s="29">
        <v>15698.9</v>
      </c>
      <c r="O27" s="29">
        <v>1.8</v>
      </c>
      <c r="P27" s="29">
        <v>1.65</v>
      </c>
      <c r="Q27" s="29">
        <v>0.97</v>
      </c>
      <c r="R27" s="29">
        <v>0.38</v>
      </c>
      <c r="S27" s="29">
        <v>3.01</v>
      </c>
      <c r="T27" s="29">
        <v>1.88</v>
      </c>
      <c r="U27" s="29">
        <v>1.72</v>
      </c>
      <c r="V27" s="29">
        <v>0.97</v>
      </c>
      <c r="W27" s="29">
        <v>0.38</v>
      </c>
      <c r="X27" s="29">
        <v>3.08</v>
      </c>
      <c r="Y27" s="29">
        <v>87.6</v>
      </c>
      <c r="Z27" s="29">
        <v>85.6</v>
      </c>
      <c r="AA27" s="29">
        <v>120.7</v>
      </c>
      <c r="AB27" s="29">
        <v>44.4</v>
      </c>
      <c r="AC27" s="29">
        <v>100.9</v>
      </c>
      <c r="AD27" s="29">
        <v>97.9</v>
      </c>
      <c r="AE27" s="29">
        <v>138.30000000000001</v>
      </c>
      <c r="AF27" s="29">
        <v>44.4</v>
      </c>
      <c r="AG27" s="29">
        <v>21.5</v>
      </c>
      <c r="AH27" s="29">
        <v>188.1</v>
      </c>
      <c r="AI27" s="29">
        <v>43</v>
      </c>
      <c r="AJ27" s="31">
        <v>2040</v>
      </c>
      <c r="AK27" s="30">
        <f>513300/441100</f>
        <v>1.163681704828837</v>
      </c>
      <c r="AL27" s="30">
        <v>8.2133299999999991</v>
      </c>
      <c r="AM27" s="30"/>
      <c r="AN27" s="30"/>
      <c r="AO27" s="30">
        <v>90</v>
      </c>
      <c r="AP27" s="30"/>
      <c r="AQ27" s="30">
        <v>347.3</v>
      </c>
      <c r="AR27" s="31">
        <v>2040</v>
      </c>
      <c r="AS27" s="30">
        <v>0.71091000000000004</v>
      </c>
      <c r="AT27" s="30">
        <v>6.5839999999999996</v>
      </c>
      <c r="AU27" s="30">
        <v>1.0356000000000001</v>
      </c>
      <c r="AV27" s="30"/>
      <c r="AW27" s="30">
        <v>1333</v>
      </c>
      <c r="AX27" s="30">
        <v>92</v>
      </c>
      <c r="AY27" s="30">
        <v>70.668000000000006</v>
      </c>
    </row>
    <row r="28" spans="1:51" x14ac:dyDescent="0.25">
      <c r="A28" s="25">
        <v>2041</v>
      </c>
      <c r="B28" s="26">
        <v>3.2000000000000001E-2</v>
      </c>
      <c r="C28" s="26">
        <v>3.9E-2</v>
      </c>
      <c r="D28" s="35">
        <v>2.5000000000000001E-2</v>
      </c>
      <c r="E28" s="27">
        <v>0.52139999999999997</v>
      </c>
      <c r="F28" s="27">
        <f t="shared" si="9"/>
        <v>4.5283527913643411</v>
      </c>
      <c r="G28" s="27">
        <v>0.513127</v>
      </c>
      <c r="H28" s="27">
        <v>0.35460000000000003</v>
      </c>
      <c r="I28" s="30">
        <f>(-1691591+870.99*A28)</f>
        <v>86099.590000000084</v>
      </c>
      <c r="J28" s="29">
        <v>48853</v>
      </c>
      <c r="K28" s="30">
        <f>-5506681+2758.1*A28</f>
        <v>122601.09999999963</v>
      </c>
      <c r="L28" s="30">
        <f>-229521+117.965*A28</f>
        <v>11245.565000000002</v>
      </c>
      <c r="M28" s="30">
        <f>-458391+231.25*A28</f>
        <v>13590.25</v>
      </c>
      <c r="N28" s="30">
        <f>-746424+373.56*A28</f>
        <v>16011.959999999963</v>
      </c>
      <c r="O28" s="30">
        <f>-6.855+0.004242*A28</f>
        <v>1.8029220000000006</v>
      </c>
      <c r="P28" s="30">
        <f>-7.124+0.004303*A28</f>
        <v>1.6584230000000018</v>
      </c>
      <c r="Q28" s="29">
        <v>0.97</v>
      </c>
      <c r="R28" s="29">
        <v>0.38</v>
      </c>
      <c r="S28" s="30">
        <f>-5.77+0.004303*A28</f>
        <v>3.0124230000000018</v>
      </c>
      <c r="T28" s="30">
        <f>-12.96+0.007273*A28</f>
        <v>1.8841929999999998</v>
      </c>
      <c r="U28" s="30">
        <f>-10.76+0.006121*A28</f>
        <v>1.7329609999999995</v>
      </c>
      <c r="V28" s="29">
        <v>0.97</v>
      </c>
      <c r="W28" s="29">
        <v>0.38</v>
      </c>
      <c r="X28" s="30">
        <f>-9.407+0.006121*A28</f>
        <v>3.0859609999999993</v>
      </c>
      <c r="Y28" s="30">
        <f>-1432+0.7448*A28</f>
        <v>88.136799999999994</v>
      </c>
      <c r="Z28" s="30">
        <f>-1321+0.6897*A28</f>
        <v>86.677699999999959</v>
      </c>
      <c r="AA28" s="30">
        <f>-1907+0.9939*A28</f>
        <v>121.54989999999998</v>
      </c>
      <c r="AB28" s="30">
        <f>4309-2.0909*A28</f>
        <v>41.473100000000159</v>
      </c>
      <c r="AC28" s="30">
        <f>-2307+1.1806*A28</f>
        <v>102.60460000000012</v>
      </c>
      <c r="AD28" s="30">
        <f>-2116+1.0855*A28</f>
        <v>99.505499999999756</v>
      </c>
      <c r="AE28" s="30">
        <f>-3039+1.558*A28</f>
        <v>140.87800000000016</v>
      </c>
      <c r="AF28" s="30">
        <f>4309-2.0909*A28</f>
        <v>41.473100000000159</v>
      </c>
      <c r="AG28" s="30">
        <f>826.31-0.39455*A28</f>
        <v>21.033449999999903</v>
      </c>
      <c r="AH28" s="30">
        <f>13620-6.5848*A28</f>
        <v>180.42319999999927</v>
      </c>
      <c r="AI28" s="30">
        <f>-7166+3.5333*A28</f>
        <v>45.465299999999843</v>
      </c>
      <c r="AJ28" s="31">
        <v>2041</v>
      </c>
      <c r="AK28" s="30">
        <f>-81.7512+0.040645*AJ28</f>
        <v>1.205245000000005</v>
      </c>
      <c r="AL28" s="30">
        <f>-243.7+0.1235*AJ28</f>
        <v>8.3635000000000161</v>
      </c>
      <c r="AM28" s="30"/>
      <c r="AN28" s="30"/>
      <c r="AO28" s="30">
        <v>90</v>
      </c>
      <c r="AP28" s="30"/>
      <c r="AQ28" s="30">
        <v>347.3</v>
      </c>
      <c r="AR28" s="31">
        <v>2041</v>
      </c>
      <c r="AS28" s="30">
        <f>-62.34+0.03091*AR28</f>
        <v>0.74730999999999881</v>
      </c>
      <c r="AT28" s="30">
        <f>10.53-0.001933*AR28</f>
        <v>6.5847469999999992</v>
      </c>
      <c r="AU28" s="30">
        <f>95.25-0.04618*AR28</f>
        <v>0.99662000000000717</v>
      </c>
      <c r="AV28" s="30"/>
      <c r="AW28" s="30">
        <v>1333</v>
      </c>
      <c r="AX28" s="30">
        <v>92</v>
      </c>
      <c r="AY28" s="30">
        <f>-1945+0.9883*AR28</f>
        <v>72.120299999999816</v>
      </c>
    </row>
    <row r="29" spans="1:51" x14ac:dyDescent="0.25">
      <c r="A29" s="25">
        <v>2042</v>
      </c>
      <c r="B29" s="26">
        <v>3.2000000000000001E-2</v>
      </c>
      <c r="C29" s="26">
        <v>3.9E-2</v>
      </c>
      <c r="D29" s="35">
        <v>2.5000000000000001E-2</v>
      </c>
      <c r="E29" s="27">
        <v>0.52139999999999997</v>
      </c>
      <c r="F29" s="27">
        <f t="shared" si="9"/>
        <v>4.478774539087226</v>
      </c>
      <c r="G29" s="27">
        <v>0.513127</v>
      </c>
      <c r="H29" s="27">
        <v>0.35460000000000003</v>
      </c>
      <c r="I29" s="30">
        <f t="shared" ref="I29:I42" si="10">(-1691591+870.99*A29)</f>
        <v>86970.580000000075</v>
      </c>
      <c r="J29" s="29">
        <v>48853</v>
      </c>
      <c r="K29" s="30">
        <f t="shared" ref="K29:K42" si="11">-5506681+2758.1*A29</f>
        <v>125359.20000000019</v>
      </c>
      <c r="L29" s="30">
        <f t="shared" ref="L29:L42" si="12">-229521+117.965*A29</f>
        <v>11363.529999999999</v>
      </c>
      <c r="M29" s="30">
        <f t="shared" ref="M29:M42" si="13">-458391+231.25*A29</f>
        <v>13821.5</v>
      </c>
      <c r="N29" s="30">
        <f t="shared" ref="N29:N42" si="14">-746424+373.56*A29</f>
        <v>16385.520000000019</v>
      </c>
      <c r="O29" s="30">
        <f t="shared" ref="O29:O42" si="15">-6.855+0.004242*A29</f>
        <v>1.8071640000000002</v>
      </c>
      <c r="P29" s="30">
        <f t="shared" ref="P29:P42" si="16">-7.124+0.004303*A29</f>
        <v>1.6627260000000019</v>
      </c>
      <c r="Q29" s="29">
        <v>0.97</v>
      </c>
      <c r="R29" s="29">
        <v>0.38</v>
      </c>
      <c r="S29" s="30">
        <f t="shared" ref="S29:S42" si="17">-5.77+0.004303*A29</f>
        <v>3.016726000000002</v>
      </c>
      <c r="T29" s="30">
        <f t="shared" ref="T29:T42" si="18">-12.96+0.007273*A29</f>
        <v>1.8914659999999994</v>
      </c>
      <c r="U29" s="30">
        <f t="shared" ref="U29:U42" si="19">-10.76+0.006121*A29</f>
        <v>1.7390819999999998</v>
      </c>
      <c r="V29" s="29">
        <v>0.97</v>
      </c>
      <c r="W29" s="29">
        <v>0.38</v>
      </c>
      <c r="X29" s="30">
        <f t="shared" ref="X29:X42" si="20">-9.407+0.006121*A29</f>
        <v>3.0920819999999996</v>
      </c>
      <c r="Y29" s="30">
        <f t="shared" ref="Y29:Y42" si="21">-1432+0.7448*A29</f>
        <v>88.881599999999935</v>
      </c>
      <c r="Z29" s="30">
        <f t="shared" ref="Z29:Z41" si="22">-1321+0.6897*A29</f>
        <v>87.367399999999861</v>
      </c>
      <c r="AA29" s="30">
        <f t="shared" ref="AA29:AA42" si="23">-1907+0.9939*A29</f>
        <v>122.54379999999992</v>
      </c>
      <c r="AB29" s="30">
        <f t="shared" ref="AB29:AB42" si="24">4309-2.0909*A29</f>
        <v>39.382200000000012</v>
      </c>
      <c r="AC29" s="30">
        <f t="shared" ref="AC29:AC42" si="25">-2307+1.1806*A29</f>
        <v>103.78520000000026</v>
      </c>
      <c r="AD29" s="30">
        <f t="shared" ref="AD29:AD42" si="26">-2116+1.0855*A29</f>
        <v>100.59099999999989</v>
      </c>
      <c r="AE29" s="30">
        <f t="shared" ref="AE29:AE42" si="27">-3039+1.558*A29</f>
        <v>142.43600000000015</v>
      </c>
      <c r="AF29" s="30">
        <f t="shared" ref="AF29:AF42" si="28">4309-2.0909*A29</f>
        <v>39.382200000000012</v>
      </c>
      <c r="AG29" s="30">
        <f t="shared" ref="AG29:AG42" si="29">826.31-0.39455*A29</f>
        <v>20.638899999999921</v>
      </c>
      <c r="AH29" s="30">
        <f t="shared" ref="AH29:AH42" si="30">13620-6.5848*A29</f>
        <v>173.83839999999873</v>
      </c>
      <c r="AI29" s="30">
        <f t="shared" ref="AI29:AI42" si="31">-7166+3.5333*A29</f>
        <v>48.998599999999897</v>
      </c>
      <c r="AJ29" s="31">
        <v>2042</v>
      </c>
      <c r="AK29" s="30">
        <f t="shared" ref="AK29:AK42" si="32">-81.7512+0.040645*AJ29</f>
        <v>1.2458900000000028</v>
      </c>
      <c r="AL29" s="30">
        <f t="shared" ref="AL29:AL42" si="33">-243.7+0.1235*AJ29</f>
        <v>8.4869999999999948</v>
      </c>
      <c r="AM29" s="30"/>
      <c r="AN29" s="30"/>
      <c r="AO29" s="30">
        <v>90</v>
      </c>
      <c r="AP29" s="30"/>
      <c r="AQ29" s="30">
        <v>347.3</v>
      </c>
      <c r="AR29" s="31">
        <v>2042</v>
      </c>
      <c r="AS29" s="30">
        <f t="shared" ref="AS29:AS42" si="34">-62.34+0.03091*AR29</f>
        <v>0.77821999999999747</v>
      </c>
      <c r="AT29" s="30">
        <f t="shared" ref="AT29:AT42" si="35">10.53-0.001933*AR29</f>
        <v>6.5828139999999991</v>
      </c>
      <c r="AU29" s="30">
        <f t="shared" ref="AU29:AU42" si="36">95.25-0.04618*AR29</f>
        <v>0.9504400000000004</v>
      </c>
      <c r="AV29" s="30"/>
      <c r="AW29" s="30">
        <v>1333</v>
      </c>
      <c r="AX29" s="30">
        <v>92</v>
      </c>
      <c r="AY29" s="30">
        <f t="shared" ref="AY29:AY42" si="37">-1945+0.9883*AR29</f>
        <v>73.108600000000024</v>
      </c>
    </row>
    <row r="30" spans="1:51" x14ac:dyDescent="0.25">
      <c r="A30" s="25">
        <v>2043</v>
      </c>
      <c r="B30" s="26">
        <v>3.2000000000000001E-2</v>
      </c>
      <c r="C30" s="26">
        <v>3.9E-2</v>
      </c>
      <c r="D30" s="35">
        <v>2.5000000000000001E-2</v>
      </c>
      <c r="E30" s="27">
        <v>0.52139999999999997</v>
      </c>
      <c r="F30" s="27">
        <f t="shared" si="9"/>
        <v>4.429220560129238</v>
      </c>
      <c r="G30" s="27">
        <v>0.513127</v>
      </c>
      <c r="H30" s="27">
        <v>0.35460000000000003</v>
      </c>
      <c r="I30" s="30">
        <f t="shared" si="10"/>
        <v>87841.570000000065</v>
      </c>
      <c r="J30" s="29">
        <v>48853</v>
      </c>
      <c r="K30" s="30">
        <f t="shared" si="11"/>
        <v>128117.29999999981</v>
      </c>
      <c r="L30" s="30">
        <f t="shared" si="12"/>
        <v>11481.494999999995</v>
      </c>
      <c r="M30" s="30">
        <f t="shared" si="13"/>
        <v>14052.75</v>
      </c>
      <c r="N30" s="30">
        <f t="shared" si="14"/>
        <v>16759.079999999958</v>
      </c>
      <c r="O30" s="30">
        <f t="shared" si="15"/>
        <v>1.8114059999999998</v>
      </c>
      <c r="P30" s="30">
        <f t="shared" si="16"/>
        <v>1.6670290000000003</v>
      </c>
      <c r="Q30" s="29">
        <v>0.97</v>
      </c>
      <c r="R30" s="29">
        <v>0.38</v>
      </c>
      <c r="S30" s="30">
        <f t="shared" si="17"/>
        <v>3.0210290000000004</v>
      </c>
      <c r="T30" s="30">
        <f t="shared" si="18"/>
        <v>1.8987389999999991</v>
      </c>
      <c r="U30" s="30">
        <f t="shared" si="19"/>
        <v>1.7452030000000001</v>
      </c>
      <c r="V30" s="29">
        <v>0.97</v>
      </c>
      <c r="W30" s="29">
        <v>0.38</v>
      </c>
      <c r="X30" s="30">
        <f t="shared" si="20"/>
        <v>3.0982029999999998</v>
      </c>
      <c r="Y30" s="30">
        <f t="shared" si="21"/>
        <v>89.626400000000103</v>
      </c>
      <c r="Z30" s="30">
        <f t="shared" si="22"/>
        <v>88.057099999999991</v>
      </c>
      <c r="AA30" s="30">
        <f t="shared" si="23"/>
        <v>123.53770000000009</v>
      </c>
      <c r="AB30" s="30">
        <f t="shared" si="24"/>
        <v>37.291299999999865</v>
      </c>
      <c r="AC30" s="30">
        <f t="shared" si="25"/>
        <v>104.9658000000004</v>
      </c>
      <c r="AD30" s="30">
        <f t="shared" si="26"/>
        <v>101.67650000000003</v>
      </c>
      <c r="AE30" s="30">
        <f t="shared" si="27"/>
        <v>143.99400000000014</v>
      </c>
      <c r="AF30" s="30">
        <f t="shared" si="28"/>
        <v>37.291299999999865</v>
      </c>
      <c r="AG30" s="30">
        <f t="shared" si="29"/>
        <v>20.24434999999994</v>
      </c>
      <c r="AH30" s="30">
        <f t="shared" si="30"/>
        <v>167.25360000000001</v>
      </c>
      <c r="AI30" s="30">
        <f t="shared" si="31"/>
        <v>52.531899999999951</v>
      </c>
      <c r="AJ30" s="31">
        <v>2043</v>
      </c>
      <c r="AK30" s="30">
        <f t="shared" si="32"/>
        <v>1.2865350000000007</v>
      </c>
      <c r="AL30" s="30">
        <f t="shared" si="33"/>
        <v>8.6105000000000018</v>
      </c>
      <c r="AM30" s="30"/>
      <c r="AN30" s="30"/>
      <c r="AO30" s="30">
        <v>90</v>
      </c>
      <c r="AP30" s="30"/>
      <c r="AQ30" s="30">
        <v>347.3</v>
      </c>
      <c r="AR30" s="31">
        <v>2043</v>
      </c>
      <c r="AS30" s="30">
        <f t="shared" si="34"/>
        <v>0.80912999999999613</v>
      </c>
      <c r="AT30" s="30">
        <f t="shared" si="35"/>
        <v>6.5808809999999998</v>
      </c>
      <c r="AU30" s="30">
        <f t="shared" si="36"/>
        <v>0.90426000000000784</v>
      </c>
      <c r="AV30" s="30"/>
      <c r="AW30" s="30">
        <v>1333</v>
      </c>
      <c r="AX30" s="30">
        <v>92</v>
      </c>
      <c r="AY30" s="30">
        <f t="shared" si="37"/>
        <v>74.096900000000005</v>
      </c>
    </row>
    <row r="31" spans="1:51" x14ac:dyDescent="0.25">
      <c r="A31" s="25">
        <v>2044</v>
      </c>
      <c r="B31" s="26">
        <v>3.2000000000000001E-2</v>
      </c>
      <c r="C31" s="26">
        <v>3.9E-2</v>
      </c>
      <c r="D31" s="35">
        <v>2.5000000000000001E-2</v>
      </c>
      <c r="E31" s="27">
        <v>0.52139999999999997</v>
      </c>
      <c r="F31" s="27">
        <f t="shared" si="9"/>
        <v>4.3796908307335798</v>
      </c>
      <c r="G31" s="27">
        <v>0.513127</v>
      </c>
      <c r="H31" s="27">
        <v>0.35460000000000003</v>
      </c>
      <c r="I31" s="30">
        <f t="shared" si="10"/>
        <v>88712.560000000056</v>
      </c>
      <c r="J31" s="29">
        <v>48853</v>
      </c>
      <c r="K31" s="30">
        <f t="shared" si="11"/>
        <v>130875.39999999944</v>
      </c>
      <c r="L31" s="30">
        <f t="shared" si="12"/>
        <v>11599.460000000021</v>
      </c>
      <c r="M31" s="30">
        <f t="shared" si="13"/>
        <v>14284</v>
      </c>
      <c r="N31" s="30">
        <f t="shared" si="14"/>
        <v>17132.640000000014</v>
      </c>
      <c r="O31" s="30">
        <f t="shared" si="15"/>
        <v>1.8156479999999995</v>
      </c>
      <c r="P31" s="30">
        <f t="shared" si="16"/>
        <v>1.6713320000000005</v>
      </c>
      <c r="Q31" s="29">
        <v>0.97</v>
      </c>
      <c r="R31" s="29">
        <v>0.38</v>
      </c>
      <c r="S31" s="30">
        <f t="shared" si="17"/>
        <v>3.0253320000000006</v>
      </c>
      <c r="T31" s="30">
        <f t="shared" si="18"/>
        <v>1.9060119999999987</v>
      </c>
      <c r="U31" s="30">
        <f t="shared" si="19"/>
        <v>1.7513240000000003</v>
      </c>
      <c r="V31" s="29">
        <v>0.97</v>
      </c>
      <c r="W31" s="29">
        <v>0.38</v>
      </c>
      <c r="X31" s="30">
        <f t="shared" si="20"/>
        <v>3.1043240000000001</v>
      </c>
      <c r="Y31" s="30">
        <f t="shared" si="21"/>
        <v>90.371200000000044</v>
      </c>
      <c r="Z31" s="30">
        <f t="shared" si="22"/>
        <v>88.746799999999894</v>
      </c>
      <c r="AA31" s="30">
        <f t="shared" si="23"/>
        <v>124.53160000000003</v>
      </c>
      <c r="AB31" s="30">
        <f t="shared" si="24"/>
        <v>35.200399999999718</v>
      </c>
      <c r="AC31" s="30">
        <f t="shared" si="25"/>
        <v>106.14640000000009</v>
      </c>
      <c r="AD31" s="30">
        <f t="shared" si="26"/>
        <v>102.76199999999972</v>
      </c>
      <c r="AE31" s="30">
        <f t="shared" si="27"/>
        <v>145.55200000000013</v>
      </c>
      <c r="AF31" s="30">
        <f t="shared" si="28"/>
        <v>35.200399999999718</v>
      </c>
      <c r="AG31" s="30">
        <f t="shared" si="29"/>
        <v>19.849799999999959</v>
      </c>
      <c r="AH31" s="30">
        <f t="shared" si="30"/>
        <v>160.66879999999946</v>
      </c>
      <c r="AI31" s="30">
        <f t="shared" si="31"/>
        <v>56.065200000000004</v>
      </c>
      <c r="AJ31" s="31">
        <v>2044</v>
      </c>
      <c r="AK31" s="30">
        <f t="shared" si="32"/>
        <v>1.3271799999999985</v>
      </c>
      <c r="AL31" s="30">
        <f t="shared" si="33"/>
        <v>8.7340000000000089</v>
      </c>
      <c r="AM31" s="30"/>
      <c r="AN31" s="30"/>
      <c r="AO31" s="30">
        <v>90</v>
      </c>
      <c r="AP31" s="30"/>
      <c r="AQ31" s="30">
        <v>347.3</v>
      </c>
      <c r="AR31" s="31">
        <v>2044</v>
      </c>
      <c r="AS31" s="30">
        <f t="shared" si="34"/>
        <v>0.84003999999999479</v>
      </c>
      <c r="AT31" s="30">
        <f t="shared" si="35"/>
        <v>6.5789479999999987</v>
      </c>
      <c r="AU31" s="30">
        <f t="shared" si="36"/>
        <v>0.85808000000000106</v>
      </c>
      <c r="AV31" s="30"/>
      <c r="AW31" s="30">
        <v>1333</v>
      </c>
      <c r="AX31" s="30">
        <v>92</v>
      </c>
      <c r="AY31" s="30">
        <f t="shared" si="37"/>
        <v>75.085199999999986</v>
      </c>
    </row>
    <row r="32" spans="1:51" x14ac:dyDescent="0.25">
      <c r="A32" s="25">
        <v>2045</v>
      </c>
      <c r="B32" s="26">
        <v>3.2000000000000001E-2</v>
      </c>
      <c r="C32" s="26">
        <v>3.9E-2</v>
      </c>
      <c r="D32" s="35">
        <v>2.5000000000000001E-2</v>
      </c>
      <c r="E32" s="27">
        <v>0.52139999999999997</v>
      </c>
      <c r="F32" s="27">
        <f t="shared" si="9"/>
        <v>4.3301853271788104</v>
      </c>
      <c r="G32" s="27">
        <v>0.513127</v>
      </c>
      <c r="H32" s="27">
        <v>0.35460000000000003</v>
      </c>
      <c r="I32" s="30">
        <f t="shared" si="10"/>
        <v>89583.550000000047</v>
      </c>
      <c r="J32" s="29">
        <v>48853</v>
      </c>
      <c r="K32" s="30">
        <f t="shared" si="11"/>
        <v>133633.5</v>
      </c>
      <c r="L32" s="30">
        <f t="shared" si="12"/>
        <v>11717.425000000017</v>
      </c>
      <c r="M32" s="30">
        <f t="shared" si="13"/>
        <v>14515.25</v>
      </c>
      <c r="N32" s="30">
        <f t="shared" si="14"/>
        <v>17506.199999999953</v>
      </c>
      <c r="O32" s="30">
        <f t="shared" si="15"/>
        <v>1.8198899999999991</v>
      </c>
      <c r="P32" s="30">
        <f t="shared" si="16"/>
        <v>1.6756350000000007</v>
      </c>
      <c r="Q32" s="29">
        <v>0.97</v>
      </c>
      <c r="R32" s="29">
        <v>0.38</v>
      </c>
      <c r="S32" s="30">
        <f t="shared" si="17"/>
        <v>3.0296350000000007</v>
      </c>
      <c r="T32" s="30">
        <f t="shared" si="18"/>
        <v>1.9132849999999983</v>
      </c>
      <c r="U32" s="30">
        <f t="shared" si="19"/>
        <v>1.7574449999999988</v>
      </c>
      <c r="V32" s="29">
        <v>0.97</v>
      </c>
      <c r="W32" s="29">
        <v>0.38</v>
      </c>
      <c r="X32" s="30">
        <f t="shared" si="20"/>
        <v>3.1104449999999986</v>
      </c>
      <c r="Y32" s="30">
        <f t="shared" si="21"/>
        <v>91.115999999999985</v>
      </c>
      <c r="Z32" s="30">
        <f t="shared" si="22"/>
        <v>89.436500000000024</v>
      </c>
      <c r="AA32" s="30">
        <f t="shared" si="23"/>
        <v>125.52549999999997</v>
      </c>
      <c r="AB32" s="30">
        <f t="shared" si="24"/>
        <v>33.10950000000048</v>
      </c>
      <c r="AC32" s="30">
        <f t="shared" si="25"/>
        <v>107.32700000000023</v>
      </c>
      <c r="AD32" s="30">
        <f t="shared" si="26"/>
        <v>103.84749999999985</v>
      </c>
      <c r="AE32" s="30">
        <f t="shared" si="27"/>
        <v>147.11000000000013</v>
      </c>
      <c r="AF32" s="30">
        <f t="shared" si="28"/>
        <v>33.10950000000048</v>
      </c>
      <c r="AG32" s="30">
        <f t="shared" si="29"/>
        <v>19.455249999999864</v>
      </c>
      <c r="AH32" s="30">
        <f t="shared" si="30"/>
        <v>154.08399999999892</v>
      </c>
      <c r="AI32" s="30">
        <f t="shared" si="31"/>
        <v>59.598500000000058</v>
      </c>
      <c r="AJ32" s="31">
        <v>2045</v>
      </c>
      <c r="AK32" s="30">
        <f t="shared" si="32"/>
        <v>1.3678250000000105</v>
      </c>
      <c r="AL32" s="30">
        <f t="shared" si="33"/>
        <v>8.8575000000000159</v>
      </c>
      <c r="AM32" s="30"/>
      <c r="AN32" s="30"/>
      <c r="AO32" s="30">
        <v>90</v>
      </c>
      <c r="AP32" s="30"/>
      <c r="AQ32" s="30">
        <v>347.3</v>
      </c>
      <c r="AR32" s="31">
        <v>2045</v>
      </c>
      <c r="AS32" s="30">
        <f t="shared" si="34"/>
        <v>0.87094999999999345</v>
      </c>
      <c r="AT32" s="30">
        <f t="shared" si="35"/>
        <v>6.5770149999999994</v>
      </c>
      <c r="AU32" s="30">
        <f t="shared" si="36"/>
        <v>0.8119000000000085</v>
      </c>
      <c r="AV32" s="30"/>
      <c r="AW32" s="30">
        <v>1333</v>
      </c>
      <c r="AX32" s="30">
        <v>92</v>
      </c>
      <c r="AY32" s="30">
        <f t="shared" si="37"/>
        <v>76.073499999999967</v>
      </c>
    </row>
    <row r="33" spans="1:51" x14ac:dyDescent="0.25">
      <c r="A33" s="25">
        <v>2046</v>
      </c>
      <c r="B33" s="26">
        <v>3.2000000000000001E-2</v>
      </c>
      <c r="C33" s="26">
        <v>3.9E-2</v>
      </c>
      <c r="D33" s="35">
        <v>2.5000000000000001E-2</v>
      </c>
      <c r="E33" s="27">
        <v>0.52139999999999997</v>
      </c>
      <c r="F33" s="27">
        <f t="shared" si="9"/>
        <v>4.2807040257778226</v>
      </c>
      <c r="G33" s="27">
        <v>0.513127</v>
      </c>
      <c r="H33" s="27">
        <v>0.35460000000000003</v>
      </c>
      <c r="I33" s="30">
        <f t="shared" si="10"/>
        <v>90454.540000000037</v>
      </c>
      <c r="J33" s="29">
        <v>48853</v>
      </c>
      <c r="K33" s="30">
        <f t="shared" si="11"/>
        <v>136391.59999999963</v>
      </c>
      <c r="L33" s="30">
        <f t="shared" si="12"/>
        <v>11835.390000000014</v>
      </c>
      <c r="M33" s="30">
        <f t="shared" si="13"/>
        <v>14746.5</v>
      </c>
      <c r="N33" s="30">
        <f t="shared" si="14"/>
        <v>17879.760000000009</v>
      </c>
      <c r="O33" s="30">
        <f t="shared" si="15"/>
        <v>1.8241320000000005</v>
      </c>
      <c r="P33" s="30">
        <f t="shared" si="16"/>
        <v>1.6799380000000008</v>
      </c>
      <c r="Q33" s="29">
        <v>0.97</v>
      </c>
      <c r="R33" s="29">
        <v>0.38</v>
      </c>
      <c r="S33" s="30">
        <f t="shared" si="17"/>
        <v>3.0339380000000009</v>
      </c>
      <c r="T33" s="30">
        <f t="shared" si="18"/>
        <v>1.9205579999999998</v>
      </c>
      <c r="U33" s="30">
        <f t="shared" si="19"/>
        <v>1.7635659999999991</v>
      </c>
      <c r="V33" s="29">
        <v>0.97</v>
      </c>
      <c r="W33" s="29">
        <v>0.38</v>
      </c>
      <c r="X33" s="30">
        <f t="shared" si="20"/>
        <v>3.1165659999999988</v>
      </c>
      <c r="Y33" s="30">
        <f t="shared" si="21"/>
        <v>91.860799999999927</v>
      </c>
      <c r="Z33" s="30">
        <f t="shared" si="22"/>
        <v>90.126199999999926</v>
      </c>
      <c r="AA33" s="30">
        <f t="shared" si="23"/>
        <v>126.51939999999991</v>
      </c>
      <c r="AB33" s="30">
        <f t="shared" si="24"/>
        <v>31.018600000000333</v>
      </c>
      <c r="AC33" s="30">
        <f t="shared" si="25"/>
        <v>108.50760000000037</v>
      </c>
      <c r="AD33" s="30">
        <f t="shared" si="26"/>
        <v>104.93299999999999</v>
      </c>
      <c r="AE33" s="30">
        <f t="shared" si="27"/>
        <v>148.66800000000012</v>
      </c>
      <c r="AF33" s="30">
        <f t="shared" si="28"/>
        <v>31.018600000000333</v>
      </c>
      <c r="AG33" s="30">
        <f t="shared" si="29"/>
        <v>19.060699999999883</v>
      </c>
      <c r="AH33" s="30">
        <f t="shared" si="30"/>
        <v>147.49919999999838</v>
      </c>
      <c r="AI33" s="30">
        <f t="shared" si="31"/>
        <v>63.131800000000112</v>
      </c>
      <c r="AJ33" s="31">
        <v>2046</v>
      </c>
      <c r="AK33" s="30">
        <f t="shared" si="32"/>
        <v>1.4084700000000083</v>
      </c>
      <c r="AL33" s="30">
        <f t="shared" si="33"/>
        <v>8.9809999999999945</v>
      </c>
      <c r="AM33" s="30"/>
      <c r="AN33" s="30"/>
      <c r="AO33" s="30">
        <v>90</v>
      </c>
      <c r="AP33" s="30"/>
      <c r="AQ33" s="30">
        <v>347.3</v>
      </c>
      <c r="AR33" s="31">
        <v>2046</v>
      </c>
      <c r="AS33" s="30">
        <f t="shared" si="34"/>
        <v>0.90185999999999922</v>
      </c>
      <c r="AT33" s="30">
        <f t="shared" si="35"/>
        <v>6.5750819999999992</v>
      </c>
      <c r="AU33" s="30">
        <f t="shared" si="36"/>
        <v>0.76572000000000173</v>
      </c>
      <c r="AV33" s="30"/>
      <c r="AW33" s="30">
        <v>1333</v>
      </c>
      <c r="AX33" s="30">
        <v>92</v>
      </c>
      <c r="AY33" s="30">
        <f t="shared" si="37"/>
        <v>77.061799999999948</v>
      </c>
    </row>
    <row r="34" spans="1:51" x14ac:dyDescent="0.25">
      <c r="A34" s="25">
        <v>2047</v>
      </c>
      <c r="B34" s="26">
        <v>3.2000000000000001E-2</v>
      </c>
      <c r="C34" s="26">
        <v>3.9E-2</v>
      </c>
      <c r="D34" s="35">
        <v>2.5000000000000001E-2</v>
      </c>
      <c r="E34" s="27">
        <v>0.52139999999999997</v>
      </c>
      <c r="F34" s="27">
        <f t="shared" si="9"/>
        <v>4.2312469028782971</v>
      </c>
      <c r="G34" s="27">
        <v>0.513127</v>
      </c>
      <c r="H34" s="27">
        <v>0.35460000000000003</v>
      </c>
      <c r="I34" s="30">
        <f t="shared" si="10"/>
        <v>91325.530000000028</v>
      </c>
      <c r="J34" s="29">
        <v>48853</v>
      </c>
      <c r="K34" s="30">
        <f t="shared" si="11"/>
        <v>139149.70000000019</v>
      </c>
      <c r="L34" s="30">
        <f t="shared" si="12"/>
        <v>11953.35500000001</v>
      </c>
      <c r="M34" s="30">
        <f t="shared" si="13"/>
        <v>14977.75</v>
      </c>
      <c r="N34" s="30">
        <f t="shared" si="14"/>
        <v>18253.319999999949</v>
      </c>
      <c r="O34" s="30">
        <f t="shared" si="15"/>
        <v>1.8283740000000002</v>
      </c>
      <c r="P34" s="30">
        <f t="shared" si="16"/>
        <v>1.684241000000001</v>
      </c>
      <c r="Q34" s="29">
        <v>0.97</v>
      </c>
      <c r="R34" s="29">
        <v>0.38</v>
      </c>
      <c r="S34" s="30">
        <f t="shared" si="17"/>
        <v>3.0382410000000011</v>
      </c>
      <c r="T34" s="30">
        <f t="shared" si="18"/>
        <v>1.9278309999999994</v>
      </c>
      <c r="U34" s="30">
        <f t="shared" si="19"/>
        <v>1.7696869999999993</v>
      </c>
      <c r="V34" s="29">
        <v>0.97</v>
      </c>
      <c r="W34" s="29">
        <v>0.38</v>
      </c>
      <c r="X34" s="30">
        <f t="shared" si="20"/>
        <v>3.1226869999999991</v>
      </c>
      <c r="Y34" s="30">
        <f t="shared" si="21"/>
        <v>92.605600000000095</v>
      </c>
      <c r="Z34" s="30">
        <f t="shared" si="22"/>
        <v>90.815900000000056</v>
      </c>
      <c r="AA34" s="30">
        <f t="shared" si="23"/>
        <v>127.51330000000007</v>
      </c>
      <c r="AB34" s="30">
        <f t="shared" si="24"/>
        <v>28.927700000000186</v>
      </c>
      <c r="AC34" s="30">
        <f t="shared" si="25"/>
        <v>109.68820000000005</v>
      </c>
      <c r="AD34" s="30">
        <f t="shared" si="26"/>
        <v>106.01849999999968</v>
      </c>
      <c r="AE34" s="30">
        <f t="shared" si="27"/>
        <v>150.22600000000011</v>
      </c>
      <c r="AF34" s="30">
        <f t="shared" si="28"/>
        <v>28.927700000000186</v>
      </c>
      <c r="AG34" s="30">
        <f t="shared" si="29"/>
        <v>18.666149999999902</v>
      </c>
      <c r="AH34" s="30">
        <f t="shared" si="30"/>
        <v>140.91439999999966</v>
      </c>
      <c r="AI34" s="30">
        <f t="shared" si="31"/>
        <v>66.665100000000166</v>
      </c>
      <c r="AJ34" s="31">
        <v>2047</v>
      </c>
      <c r="AK34" s="30">
        <f t="shared" si="32"/>
        <v>1.4491150000000061</v>
      </c>
      <c r="AL34" s="30">
        <f t="shared" si="33"/>
        <v>9.1045000000000016</v>
      </c>
      <c r="AM34" s="30"/>
      <c r="AN34" s="30"/>
      <c r="AO34" s="30">
        <v>90</v>
      </c>
      <c r="AP34" s="30"/>
      <c r="AQ34" s="30">
        <v>347.3</v>
      </c>
      <c r="AR34" s="31">
        <v>2047</v>
      </c>
      <c r="AS34" s="30">
        <f t="shared" si="34"/>
        <v>0.93276999999999788</v>
      </c>
      <c r="AT34" s="30">
        <f t="shared" si="35"/>
        <v>6.573148999999999</v>
      </c>
      <c r="AU34" s="30">
        <f t="shared" si="36"/>
        <v>0.71954000000000917</v>
      </c>
      <c r="AV34" s="30"/>
      <c r="AW34" s="30">
        <v>1333</v>
      </c>
      <c r="AX34" s="30">
        <v>92</v>
      </c>
      <c r="AY34" s="30">
        <f t="shared" si="37"/>
        <v>78.050099999999929</v>
      </c>
    </row>
    <row r="35" spans="1:51" x14ac:dyDescent="0.25">
      <c r="A35" s="25">
        <v>2048</v>
      </c>
      <c r="B35" s="26">
        <v>3.2000000000000001E-2</v>
      </c>
      <c r="C35" s="26">
        <v>3.9E-2</v>
      </c>
      <c r="D35" s="35">
        <v>2.5000000000000001E-2</v>
      </c>
      <c r="E35" s="27">
        <v>0.52139999999999997</v>
      </c>
      <c r="F35" s="27">
        <f t="shared" si="9"/>
        <v>4.1818139348625891</v>
      </c>
      <c r="G35" s="27">
        <v>0.513127</v>
      </c>
      <c r="H35" s="27">
        <v>0.35460000000000003</v>
      </c>
      <c r="I35" s="30">
        <f t="shared" si="10"/>
        <v>92196.520000000019</v>
      </c>
      <c r="J35" s="29">
        <v>48853</v>
      </c>
      <c r="K35" s="30">
        <f t="shared" si="11"/>
        <v>141907.79999999981</v>
      </c>
      <c r="L35" s="30">
        <f t="shared" si="12"/>
        <v>12071.320000000007</v>
      </c>
      <c r="M35" s="30">
        <f t="shared" si="13"/>
        <v>15209</v>
      </c>
      <c r="N35" s="30">
        <f t="shared" si="14"/>
        <v>18626.880000000005</v>
      </c>
      <c r="O35" s="30">
        <f t="shared" si="15"/>
        <v>1.8326159999999998</v>
      </c>
      <c r="P35" s="30">
        <f t="shared" si="16"/>
        <v>1.6885440000000012</v>
      </c>
      <c r="Q35" s="29">
        <v>0.97</v>
      </c>
      <c r="R35" s="29">
        <v>0.38</v>
      </c>
      <c r="S35" s="30">
        <f t="shared" si="17"/>
        <v>3.0425440000000012</v>
      </c>
      <c r="T35" s="30">
        <f t="shared" si="18"/>
        <v>1.935103999999999</v>
      </c>
      <c r="U35" s="30">
        <f t="shared" si="19"/>
        <v>1.7758079999999996</v>
      </c>
      <c r="V35" s="29">
        <v>0.97</v>
      </c>
      <c r="W35" s="29">
        <v>0.38</v>
      </c>
      <c r="X35" s="30">
        <f t="shared" si="20"/>
        <v>3.1288079999999994</v>
      </c>
      <c r="Y35" s="30">
        <f t="shared" si="21"/>
        <v>93.350400000000036</v>
      </c>
      <c r="Z35" s="30">
        <f t="shared" si="22"/>
        <v>91.505599999999959</v>
      </c>
      <c r="AA35" s="30">
        <f t="shared" si="23"/>
        <v>128.50720000000001</v>
      </c>
      <c r="AB35" s="30">
        <f t="shared" si="24"/>
        <v>26.836800000000039</v>
      </c>
      <c r="AC35" s="30">
        <f t="shared" si="25"/>
        <v>110.86880000000019</v>
      </c>
      <c r="AD35" s="30">
        <f t="shared" si="26"/>
        <v>107.10399999999981</v>
      </c>
      <c r="AE35" s="30">
        <f t="shared" si="27"/>
        <v>151.78400000000011</v>
      </c>
      <c r="AF35" s="30">
        <f t="shared" si="28"/>
        <v>26.836800000000039</v>
      </c>
      <c r="AG35" s="30">
        <f t="shared" si="29"/>
        <v>18.271599999999921</v>
      </c>
      <c r="AH35" s="30">
        <f t="shared" si="30"/>
        <v>134.32959999999912</v>
      </c>
      <c r="AI35" s="30">
        <f t="shared" si="31"/>
        <v>70.19840000000022</v>
      </c>
      <c r="AJ35" s="31">
        <v>2048</v>
      </c>
      <c r="AK35" s="30">
        <f t="shared" si="32"/>
        <v>1.489760000000004</v>
      </c>
      <c r="AL35" s="30">
        <f t="shared" si="33"/>
        <v>9.2280000000000086</v>
      </c>
      <c r="AM35" s="30"/>
      <c r="AN35" s="30"/>
      <c r="AO35" s="30">
        <v>90</v>
      </c>
      <c r="AP35" s="30"/>
      <c r="AQ35" s="30">
        <v>347.3</v>
      </c>
      <c r="AR35" s="31">
        <v>2048</v>
      </c>
      <c r="AS35" s="30">
        <f t="shared" si="34"/>
        <v>0.96367999999999654</v>
      </c>
      <c r="AT35" s="30">
        <f t="shared" si="35"/>
        <v>6.5712159999999997</v>
      </c>
      <c r="AU35" s="30">
        <f t="shared" si="36"/>
        <v>0.6733600000000024</v>
      </c>
      <c r="AV35" s="30"/>
      <c r="AW35" s="30">
        <v>1333</v>
      </c>
      <c r="AX35" s="30">
        <v>92</v>
      </c>
      <c r="AY35" s="30">
        <f t="shared" si="37"/>
        <v>79.038399999999911</v>
      </c>
    </row>
    <row r="36" spans="1:51" x14ac:dyDescent="0.25">
      <c r="A36" s="25">
        <v>2049</v>
      </c>
      <c r="B36" s="26">
        <v>3.2000000000000001E-2</v>
      </c>
      <c r="C36" s="26">
        <v>3.9E-2</v>
      </c>
      <c r="D36" s="35">
        <v>2.5000000000000001E-2</v>
      </c>
      <c r="E36" s="27">
        <v>0.52139999999999997</v>
      </c>
      <c r="F36" s="27">
        <f t="shared" si="9"/>
        <v>4.1324050981479559</v>
      </c>
      <c r="G36" s="27">
        <v>0.513127</v>
      </c>
      <c r="H36" s="27">
        <v>0.35460000000000003</v>
      </c>
      <c r="I36" s="30">
        <f t="shared" si="10"/>
        <v>93067.510000000009</v>
      </c>
      <c r="J36" s="29">
        <v>48853</v>
      </c>
      <c r="K36" s="30">
        <f t="shared" si="11"/>
        <v>144665.89999999944</v>
      </c>
      <c r="L36" s="30">
        <f t="shared" si="12"/>
        <v>12189.285000000003</v>
      </c>
      <c r="M36" s="30">
        <f t="shared" si="13"/>
        <v>15440.25</v>
      </c>
      <c r="N36" s="30">
        <f t="shared" si="14"/>
        <v>19000.440000000061</v>
      </c>
      <c r="O36" s="30">
        <f t="shared" si="15"/>
        <v>1.8368579999999994</v>
      </c>
      <c r="P36" s="30">
        <f t="shared" si="16"/>
        <v>1.6928470000000013</v>
      </c>
      <c r="Q36" s="29">
        <v>0.97</v>
      </c>
      <c r="R36" s="29">
        <v>0.38</v>
      </c>
      <c r="S36" s="30">
        <f t="shared" si="17"/>
        <v>3.0468470000000014</v>
      </c>
      <c r="T36" s="30">
        <f t="shared" si="18"/>
        <v>1.9423769999999987</v>
      </c>
      <c r="U36" s="30">
        <f t="shared" si="19"/>
        <v>1.7819289999999999</v>
      </c>
      <c r="V36" s="29">
        <v>0.97</v>
      </c>
      <c r="W36" s="29">
        <v>0.38</v>
      </c>
      <c r="X36" s="30">
        <f t="shared" si="20"/>
        <v>3.1349289999999996</v>
      </c>
      <c r="Y36" s="30">
        <f t="shared" si="21"/>
        <v>94.095199999999977</v>
      </c>
      <c r="Z36" s="30">
        <f t="shared" si="22"/>
        <v>92.195299999999861</v>
      </c>
      <c r="AA36" s="30">
        <f t="shared" si="23"/>
        <v>129.50109999999995</v>
      </c>
      <c r="AB36" s="30">
        <f t="shared" si="24"/>
        <v>24.745899999999892</v>
      </c>
      <c r="AC36" s="30">
        <f t="shared" si="25"/>
        <v>112.04940000000033</v>
      </c>
      <c r="AD36" s="30">
        <f t="shared" si="26"/>
        <v>108.18949999999995</v>
      </c>
      <c r="AE36" s="30">
        <f t="shared" si="27"/>
        <v>153.3420000000001</v>
      </c>
      <c r="AF36" s="30">
        <f t="shared" si="28"/>
        <v>24.745899999999892</v>
      </c>
      <c r="AG36" s="30">
        <f t="shared" si="29"/>
        <v>17.87704999999994</v>
      </c>
      <c r="AH36" s="30">
        <f t="shared" si="30"/>
        <v>127.74479999999858</v>
      </c>
      <c r="AI36" s="30">
        <f t="shared" si="31"/>
        <v>73.731700000000274</v>
      </c>
      <c r="AJ36" s="31">
        <v>2049</v>
      </c>
      <c r="AK36" s="30">
        <f t="shared" si="32"/>
        <v>1.5304050000000018</v>
      </c>
      <c r="AL36" s="30">
        <f t="shared" si="33"/>
        <v>9.3515000000000157</v>
      </c>
      <c r="AM36" s="30"/>
      <c r="AN36" s="30"/>
      <c r="AO36" s="30">
        <v>90</v>
      </c>
      <c r="AP36" s="30"/>
      <c r="AQ36" s="30">
        <v>347.3</v>
      </c>
      <c r="AR36" s="31">
        <v>2049</v>
      </c>
      <c r="AS36" s="30">
        <f t="shared" si="34"/>
        <v>0.9945899999999952</v>
      </c>
      <c r="AT36" s="30">
        <f t="shared" si="35"/>
        <v>6.5692829999999987</v>
      </c>
      <c r="AU36" s="30">
        <f t="shared" si="36"/>
        <v>0.62717999999999563</v>
      </c>
      <c r="AV36" s="30"/>
      <c r="AW36" s="30">
        <v>1333</v>
      </c>
      <c r="AX36" s="30">
        <v>92</v>
      </c>
      <c r="AY36" s="30">
        <f t="shared" si="37"/>
        <v>80.026699999999892</v>
      </c>
    </row>
    <row r="37" spans="1:51" x14ac:dyDescent="0.25">
      <c r="A37" s="25">
        <v>2050</v>
      </c>
      <c r="B37" s="26">
        <v>3.2000000000000001E-2</v>
      </c>
      <c r="C37" s="26">
        <v>3.9E-2</v>
      </c>
      <c r="D37" s="35">
        <v>2.5000000000000001E-2</v>
      </c>
      <c r="E37" s="27">
        <v>0.52139999999999997</v>
      </c>
      <c r="F37" s="27">
        <f t="shared" si="9"/>
        <v>4.0830203691858742</v>
      </c>
      <c r="G37" s="27">
        <v>0.513127</v>
      </c>
      <c r="H37" s="27">
        <v>0.35460000000000003</v>
      </c>
      <c r="I37" s="30">
        <f t="shared" si="10"/>
        <v>93938.5</v>
      </c>
      <c r="J37" s="29">
        <v>48853</v>
      </c>
      <c r="K37" s="30">
        <f t="shared" si="11"/>
        <v>147424</v>
      </c>
      <c r="L37" s="30">
        <f t="shared" si="12"/>
        <v>12307.25</v>
      </c>
      <c r="M37" s="30">
        <f t="shared" si="13"/>
        <v>15671.5</v>
      </c>
      <c r="N37" s="30">
        <f t="shared" si="14"/>
        <v>19374</v>
      </c>
      <c r="O37" s="30">
        <f t="shared" si="15"/>
        <v>1.8410999999999991</v>
      </c>
      <c r="P37" s="30">
        <f t="shared" si="16"/>
        <v>1.6971500000000015</v>
      </c>
      <c r="Q37" s="29">
        <v>0.97</v>
      </c>
      <c r="R37" s="29">
        <v>0.38</v>
      </c>
      <c r="S37" s="30">
        <f t="shared" si="17"/>
        <v>3.0511500000000016</v>
      </c>
      <c r="T37" s="30">
        <f t="shared" si="18"/>
        <v>1.9496499999999983</v>
      </c>
      <c r="U37" s="30">
        <f t="shared" si="19"/>
        <v>1.7880500000000001</v>
      </c>
      <c r="V37" s="29">
        <v>0.97</v>
      </c>
      <c r="W37" s="29">
        <v>0.38</v>
      </c>
      <c r="X37" s="30">
        <f t="shared" si="20"/>
        <v>3.1410499999999999</v>
      </c>
      <c r="Y37" s="30">
        <f t="shared" si="21"/>
        <v>94.840000000000146</v>
      </c>
      <c r="Z37" s="30">
        <f t="shared" si="22"/>
        <v>92.884999999999991</v>
      </c>
      <c r="AA37" s="30">
        <f t="shared" si="23"/>
        <v>130.49500000000012</v>
      </c>
      <c r="AB37" s="30">
        <f t="shared" si="24"/>
        <v>22.654999999999745</v>
      </c>
      <c r="AC37" s="30">
        <f t="shared" si="25"/>
        <v>113.23000000000002</v>
      </c>
      <c r="AD37" s="30">
        <f t="shared" si="26"/>
        <v>109.27499999999964</v>
      </c>
      <c r="AE37" s="30">
        <f t="shared" si="27"/>
        <v>154.90000000000009</v>
      </c>
      <c r="AF37" s="30">
        <f t="shared" si="28"/>
        <v>22.654999999999745</v>
      </c>
      <c r="AG37" s="30">
        <f t="shared" si="29"/>
        <v>17.482499999999959</v>
      </c>
      <c r="AH37" s="30">
        <f t="shared" si="30"/>
        <v>121.15999999999985</v>
      </c>
      <c r="AI37" s="30">
        <f t="shared" si="31"/>
        <v>77.265000000000327</v>
      </c>
      <c r="AJ37" s="31">
        <v>2050</v>
      </c>
      <c r="AK37" s="30">
        <f t="shared" si="32"/>
        <v>1.5710499999999996</v>
      </c>
      <c r="AL37" s="30">
        <f t="shared" si="33"/>
        <v>9.4750000000000227</v>
      </c>
      <c r="AM37" s="30"/>
      <c r="AN37" s="30"/>
      <c r="AO37" s="30">
        <v>90</v>
      </c>
      <c r="AP37" s="30"/>
      <c r="AQ37" s="30">
        <v>347.3</v>
      </c>
      <c r="AR37" s="31">
        <v>2050</v>
      </c>
      <c r="AS37" s="30">
        <f t="shared" si="34"/>
        <v>1.0254999999999939</v>
      </c>
      <c r="AT37" s="30">
        <f t="shared" si="35"/>
        <v>6.5673499999999994</v>
      </c>
      <c r="AU37" s="30">
        <f t="shared" si="36"/>
        <v>0.58100000000000307</v>
      </c>
      <c r="AV37" s="30"/>
      <c r="AW37" s="30">
        <v>1333</v>
      </c>
      <c r="AX37" s="30">
        <v>92</v>
      </c>
      <c r="AY37" s="30">
        <f t="shared" si="37"/>
        <v>81.014999999999873</v>
      </c>
    </row>
    <row r="38" spans="1:51" x14ac:dyDescent="0.25">
      <c r="A38" s="25">
        <v>2051</v>
      </c>
      <c r="B38" s="26">
        <v>3.2000000000000001E-2</v>
      </c>
      <c r="C38" s="26">
        <v>3.9E-2</v>
      </c>
      <c r="D38" s="35">
        <v>2.5000000000000001E-2</v>
      </c>
      <c r="E38" s="27">
        <v>0.52139999999999997</v>
      </c>
      <c r="F38" s="27">
        <f t="shared" si="9"/>
        <v>4.0336597244620407</v>
      </c>
      <c r="G38" s="27">
        <v>0.513127</v>
      </c>
      <c r="H38" s="27">
        <v>0.35460000000000003</v>
      </c>
      <c r="I38" s="30">
        <f t="shared" si="10"/>
        <v>94809.489999999991</v>
      </c>
      <c r="J38" s="29">
        <v>48853</v>
      </c>
      <c r="K38" s="30">
        <f t="shared" si="11"/>
        <v>150182.09999999963</v>
      </c>
      <c r="L38" s="30">
        <f t="shared" si="12"/>
        <v>12425.214999999997</v>
      </c>
      <c r="M38" s="30">
        <f t="shared" si="13"/>
        <v>15902.75</v>
      </c>
      <c r="N38" s="30">
        <f t="shared" si="14"/>
        <v>19747.560000000056</v>
      </c>
      <c r="O38" s="30">
        <f t="shared" si="15"/>
        <v>1.8453420000000005</v>
      </c>
      <c r="P38" s="30">
        <f t="shared" si="16"/>
        <v>1.7014530000000017</v>
      </c>
      <c r="Q38" s="29">
        <v>0.97</v>
      </c>
      <c r="R38" s="29">
        <v>0.38</v>
      </c>
      <c r="S38" s="30">
        <f t="shared" si="17"/>
        <v>3.0554530000000018</v>
      </c>
      <c r="T38" s="30">
        <f t="shared" si="18"/>
        <v>1.9569229999999997</v>
      </c>
      <c r="U38" s="30">
        <f t="shared" si="19"/>
        <v>1.7941710000000004</v>
      </c>
      <c r="V38" s="29">
        <v>0.97</v>
      </c>
      <c r="W38" s="29">
        <v>0.38</v>
      </c>
      <c r="X38" s="30">
        <f t="shared" si="20"/>
        <v>3.1471710000000002</v>
      </c>
      <c r="Y38" s="30">
        <f t="shared" si="21"/>
        <v>95.584800000000087</v>
      </c>
      <c r="Z38" s="30">
        <f t="shared" si="22"/>
        <v>93.574699999999893</v>
      </c>
      <c r="AA38" s="30">
        <f t="shared" si="23"/>
        <v>131.48890000000006</v>
      </c>
      <c r="AB38" s="30">
        <f t="shared" si="24"/>
        <v>20.564099999999598</v>
      </c>
      <c r="AC38" s="30">
        <f t="shared" si="25"/>
        <v>114.41060000000016</v>
      </c>
      <c r="AD38" s="30">
        <f t="shared" si="26"/>
        <v>110.36049999999977</v>
      </c>
      <c r="AE38" s="30">
        <f t="shared" si="27"/>
        <v>156.45800000000008</v>
      </c>
      <c r="AF38" s="30">
        <f t="shared" si="28"/>
        <v>20.564099999999598</v>
      </c>
      <c r="AG38" s="30">
        <f t="shared" si="29"/>
        <v>17.087949999999978</v>
      </c>
      <c r="AH38" s="30">
        <f t="shared" si="30"/>
        <v>114.57519999999931</v>
      </c>
      <c r="AI38" s="30">
        <f t="shared" si="31"/>
        <v>80.798300000000381</v>
      </c>
      <c r="AJ38" s="31">
        <v>2051</v>
      </c>
      <c r="AK38" s="30">
        <f t="shared" si="32"/>
        <v>1.6116949999999974</v>
      </c>
      <c r="AL38" s="30">
        <f t="shared" si="33"/>
        <v>9.5985000000000014</v>
      </c>
      <c r="AM38" s="30"/>
      <c r="AN38" s="30"/>
      <c r="AO38" s="30">
        <v>90</v>
      </c>
      <c r="AP38" s="30"/>
      <c r="AQ38" s="30">
        <v>347.3</v>
      </c>
      <c r="AR38" s="31">
        <v>2051</v>
      </c>
      <c r="AS38" s="30">
        <f t="shared" si="34"/>
        <v>1.0564099999999996</v>
      </c>
      <c r="AT38" s="30">
        <f t="shared" si="35"/>
        <v>6.5654169999999992</v>
      </c>
      <c r="AU38" s="30">
        <f t="shared" si="36"/>
        <v>0.5348199999999963</v>
      </c>
      <c r="AV38" s="30"/>
      <c r="AW38" s="30">
        <v>1333</v>
      </c>
      <c r="AX38" s="30">
        <v>92</v>
      </c>
      <c r="AY38" s="30">
        <f t="shared" si="37"/>
        <v>82.003299999999854</v>
      </c>
    </row>
    <row r="39" spans="1:51" x14ac:dyDescent="0.25">
      <c r="A39" s="25">
        <v>2052</v>
      </c>
      <c r="B39" s="26">
        <v>3.2000000000000001E-2</v>
      </c>
      <c r="C39" s="26">
        <v>3.9E-2</v>
      </c>
      <c r="D39" s="35">
        <v>2.5000000000000001E-2</v>
      </c>
      <c r="E39" s="27">
        <v>0.52139999999999997</v>
      </c>
      <c r="F39" s="27">
        <f t="shared" si="9"/>
        <v>3.9843231404970538</v>
      </c>
      <c r="G39" s="27">
        <v>0.513127</v>
      </c>
      <c r="H39" s="27">
        <v>0.35460000000000003</v>
      </c>
      <c r="I39" s="30">
        <f t="shared" si="10"/>
        <v>95680.479999999981</v>
      </c>
      <c r="J39" s="29">
        <v>48853</v>
      </c>
      <c r="K39" s="30">
        <f t="shared" si="11"/>
        <v>152940.20000000019</v>
      </c>
      <c r="L39" s="30">
        <f t="shared" si="12"/>
        <v>12543.179999999993</v>
      </c>
      <c r="M39" s="30">
        <f t="shared" si="13"/>
        <v>16134</v>
      </c>
      <c r="N39" s="30">
        <f t="shared" si="14"/>
        <v>20121.119999999995</v>
      </c>
      <c r="O39" s="30">
        <f t="shared" si="15"/>
        <v>1.8495840000000001</v>
      </c>
      <c r="P39" s="30">
        <f t="shared" si="16"/>
        <v>1.7057560000000018</v>
      </c>
      <c r="Q39" s="29">
        <v>0.97</v>
      </c>
      <c r="R39" s="29">
        <v>0.38</v>
      </c>
      <c r="S39" s="30">
        <f t="shared" si="17"/>
        <v>3.0597560000000019</v>
      </c>
      <c r="T39" s="30">
        <f t="shared" si="18"/>
        <v>1.9641959999999994</v>
      </c>
      <c r="U39" s="30">
        <f t="shared" si="19"/>
        <v>1.8002919999999989</v>
      </c>
      <c r="V39" s="29">
        <v>0.97</v>
      </c>
      <c r="W39" s="29">
        <v>0.38</v>
      </c>
      <c r="X39" s="30">
        <f t="shared" si="20"/>
        <v>3.1532919999999987</v>
      </c>
      <c r="Y39" s="30">
        <f t="shared" si="21"/>
        <v>96.329600000000028</v>
      </c>
      <c r="Z39" s="30">
        <f t="shared" si="22"/>
        <v>94.264400000000023</v>
      </c>
      <c r="AA39" s="30">
        <f t="shared" si="23"/>
        <v>132.4828</v>
      </c>
      <c r="AB39" s="30">
        <f t="shared" si="24"/>
        <v>18.473200000000361</v>
      </c>
      <c r="AC39" s="30">
        <f t="shared" si="25"/>
        <v>115.5912000000003</v>
      </c>
      <c r="AD39" s="30">
        <f t="shared" si="26"/>
        <v>111.44599999999991</v>
      </c>
      <c r="AE39" s="30">
        <f t="shared" si="27"/>
        <v>158.01600000000008</v>
      </c>
      <c r="AF39" s="30">
        <f t="shared" si="28"/>
        <v>18.473200000000361</v>
      </c>
      <c r="AG39" s="30">
        <f t="shared" si="29"/>
        <v>16.693399999999883</v>
      </c>
      <c r="AH39" s="30">
        <f t="shared" si="30"/>
        <v>107.99039999999877</v>
      </c>
      <c r="AI39" s="30">
        <f t="shared" si="31"/>
        <v>84.331600000000435</v>
      </c>
      <c r="AJ39" s="31">
        <v>2052</v>
      </c>
      <c r="AK39" s="30">
        <f t="shared" si="32"/>
        <v>1.6523400000000095</v>
      </c>
      <c r="AL39" s="30">
        <f t="shared" si="33"/>
        <v>9.7220000000000084</v>
      </c>
      <c r="AM39" s="30"/>
      <c r="AN39" s="30"/>
      <c r="AO39" s="30">
        <v>90</v>
      </c>
      <c r="AP39" s="30"/>
      <c r="AQ39" s="30">
        <v>347.3</v>
      </c>
      <c r="AR39" s="31">
        <v>2052</v>
      </c>
      <c r="AS39" s="30">
        <f t="shared" si="34"/>
        <v>1.0873199999999983</v>
      </c>
      <c r="AT39" s="30">
        <f t="shared" si="35"/>
        <v>6.563483999999999</v>
      </c>
      <c r="AU39" s="30">
        <f t="shared" si="36"/>
        <v>0.48864000000000374</v>
      </c>
      <c r="AV39" s="30"/>
      <c r="AW39" s="30">
        <v>1333</v>
      </c>
      <c r="AX39" s="30">
        <v>92</v>
      </c>
      <c r="AY39" s="30">
        <f t="shared" si="37"/>
        <v>82.991599999999835</v>
      </c>
    </row>
    <row r="40" spans="1:51" x14ac:dyDescent="0.25">
      <c r="A40" s="25">
        <v>2053</v>
      </c>
      <c r="B40" s="26">
        <v>3.2000000000000001E-2</v>
      </c>
      <c r="C40" s="26">
        <v>3.9E-2</v>
      </c>
      <c r="D40" s="35">
        <v>2.5000000000000001E-2</v>
      </c>
      <c r="E40" s="27">
        <v>0.52139999999999997</v>
      </c>
      <c r="F40" s="27">
        <f t="shared" si="9"/>
        <v>3.9350105938456181</v>
      </c>
      <c r="G40" s="27">
        <v>0.513127</v>
      </c>
      <c r="H40" s="27">
        <v>0.35460000000000003</v>
      </c>
      <c r="I40" s="30">
        <f t="shared" si="10"/>
        <v>96551.469999999972</v>
      </c>
      <c r="J40" s="29">
        <v>48853</v>
      </c>
      <c r="K40" s="30">
        <f t="shared" si="11"/>
        <v>155698.29999999981</v>
      </c>
      <c r="L40" s="30">
        <f t="shared" si="12"/>
        <v>12661.145000000019</v>
      </c>
      <c r="M40" s="30">
        <f t="shared" si="13"/>
        <v>16365.25</v>
      </c>
      <c r="N40" s="30">
        <f t="shared" si="14"/>
        <v>20494.680000000051</v>
      </c>
      <c r="O40" s="30">
        <f t="shared" si="15"/>
        <v>1.8538259999999998</v>
      </c>
      <c r="P40" s="30">
        <f t="shared" si="16"/>
        <v>1.710059000000002</v>
      </c>
      <c r="Q40" s="29">
        <v>0.97</v>
      </c>
      <c r="R40" s="29">
        <v>0.38</v>
      </c>
      <c r="S40" s="30">
        <f t="shared" si="17"/>
        <v>3.0640590000000021</v>
      </c>
      <c r="T40" s="30">
        <f t="shared" si="18"/>
        <v>1.971468999999999</v>
      </c>
      <c r="U40" s="30">
        <f t="shared" si="19"/>
        <v>1.8064129999999992</v>
      </c>
      <c r="V40" s="29">
        <v>0.97</v>
      </c>
      <c r="W40" s="29">
        <v>0.38</v>
      </c>
      <c r="X40" s="30">
        <f t="shared" si="20"/>
        <v>3.1594129999999989</v>
      </c>
      <c r="Y40" s="30">
        <f t="shared" si="21"/>
        <v>97.074399999999969</v>
      </c>
      <c r="Z40" s="30">
        <f t="shared" si="22"/>
        <v>94.954099999999926</v>
      </c>
      <c r="AA40" s="30">
        <f t="shared" si="23"/>
        <v>133.47669999999994</v>
      </c>
      <c r="AB40" s="30">
        <f t="shared" si="24"/>
        <v>16.382300000000214</v>
      </c>
      <c r="AC40" s="30">
        <f t="shared" si="25"/>
        <v>116.77179999999998</v>
      </c>
      <c r="AD40" s="30">
        <f t="shared" si="26"/>
        <v>112.5314999999996</v>
      </c>
      <c r="AE40" s="30">
        <f t="shared" si="27"/>
        <v>159.57400000000007</v>
      </c>
      <c r="AF40" s="30">
        <f t="shared" si="28"/>
        <v>16.382300000000214</v>
      </c>
      <c r="AG40" s="30">
        <f t="shared" si="29"/>
        <v>16.298849999999902</v>
      </c>
      <c r="AH40" s="30">
        <f t="shared" si="30"/>
        <v>101.40559999999823</v>
      </c>
      <c r="AI40" s="30">
        <f t="shared" si="31"/>
        <v>87.864900000000489</v>
      </c>
      <c r="AJ40" s="31">
        <v>2053</v>
      </c>
      <c r="AK40" s="30">
        <f t="shared" si="32"/>
        <v>1.6929850000000073</v>
      </c>
      <c r="AL40" s="30">
        <f t="shared" si="33"/>
        <v>9.8455000000000155</v>
      </c>
      <c r="AM40" s="30"/>
      <c r="AN40" s="30"/>
      <c r="AO40" s="30">
        <v>90</v>
      </c>
      <c r="AP40" s="30"/>
      <c r="AQ40" s="30">
        <v>347.3</v>
      </c>
      <c r="AR40" s="31">
        <v>2053</v>
      </c>
      <c r="AS40" s="30">
        <f t="shared" si="34"/>
        <v>1.1182299999999969</v>
      </c>
      <c r="AT40" s="30">
        <f t="shared" si="35"/>
        <v>6.5615509999999997</v>
      </c>
      <c r="AU40" s="30">
        <f t="shared" si="36"/>
        <v>0.44245999999999697</v>
      </c>
      <c r="AV40" s="30"/>
      <c r="AW40" s="30">
        <v>1333</v>
      </c>
      <c r="AX40" s="30">
        <v>92</v>
      </c>
      <c r="AY40" s="30">
        <f t="shared" si="37"/>
        <v>83.979899999999816</v>
      </c>
    </row>
    <row r="41" spans="1:51" x14ac:dyDescent="0.25">
      <c r="A41" s="25">
        <v>2054</v>
      </c>
      <c r="B41" s="26">
        <v>3.2000000000000001E-2</v>
      </c>
      <c r="C41" s="26">
        <v>3.9E-2</v>
      </c>
      <c r="D41" s="35">
        <v>2.5000000000000001E-2</v>
      </c>
      <c r="E41" s="27">
        <v>0.52139999999999997</v>
      </c>
      <c r="F41" s="27">
        <f t="shared" si="9"/>
        <v>3.8857220610966579</v>
      </c>
      <c r="G41" s="27">
        <v>0.513127</v>
      </c>
      <c r="H41" s="27">
        <v>0.35460000000000003</v>
      </c>
      <c r="I41" s="30">
        <f t="shared" si="10"/>
        <v>97422.459999999963</v>
      </c>
      <c r="J41" s="29">
        <v>48853</v>
      </c>
      <c r="K41" s="30">
        <f t="shared" si="11"/>
        <v>158456.39999999944</v>
      </c>
      <c r="L41" s="30">
        <f t="shared" si="12"/>
        <v>12779.110000000015</v>
      </c>
      <c r="M41" s="30">
        <f t="shared" si="13"/>
        <v>16596.5</v>
      </c>
      <c r="N41" s="30">
        <f t="shared" si="14"/>
        <v>20868.239999999991</v>
      </c>
      <c r="O41" s="30">
        <f t="shared" si="15"/>
        <v>1.8580679999999994</v>
      </c>
      <c r="P41" s="30">
        <f t="shared" si="16"/>
        <v>1.7143620000000004</v>
      </c>
      <c r="Q41" s="29">
        <v>0.97</v>
      </c>
      <c r="R41" s="29">
        <v>0.38</v>
      </c>
      <c r="S41" s="30">
        <f t="shared" si="17"/>
        <v>3.0683620000000005</v>
      </c>
      <c r="T41" s="30">
        <f t="shared" si="18"/>
        <v>1.9787419999999987</v>
      </c>
      <c r="U41" s="30">
        <f t="shared" si="19"/>
        <v>1.8125339999999994</v>
      </c>
      <c r="V41" s="29">
        <v>0.97</v>
      </c>
      <c r="W41" s="29">
        <v>0.38</v>
      </c>
      <c r="X41" s="30">
        <f t="shared" si="20"/>
        <v>3.1655339999999992</v>
      </c>
      <c r="Y41" s="30">
        <f t="shared" si="21"/>
        <v>97.819200000000137</v>
      </c>
      <c r="Z41" s="30">
        <f t="shared" si="22"/>
        <v>95.643800000000056</v>
      </c>
      <c r="AA41" s="30">
        <f t="shared" si="23"/>
        <v>134.4706000000001</v>
      </c>
      <c r="AB41" s="30">
        <f t="shared" si="24"/>
        <v>14.291400000000067</v>
      </c>
      <c r="AC41" s="30">
        <f t="shared" si="25"/>
        <v>117.95240000000013</v>
      </c>
      <c r="AD41" s="30">
        <f t="shared" si="26"/>
        <v>113.61699999999973</v>
      </c>
      <c r="AE41" s="30">
        <f t="shared" si="27"/>
        <v>161.13200000000006</v>
      </c>
      <c r="AF41" s="30">
        <f t="shared" si="28"/>
        <v>14.291400000000067</v>
      </c>
      <c r="AG41" s="30">
        <f t="shared" si="29"/>
        <v>15.904299999999921</v>
      </c>
      <c r="AH41" s="30">
        <f t="shared" si="30"/>
        <v>94.820799999999508</v>
      </c>
      <c r="AI41" s="30">
        <f t="shared" si="31"/>
        <v>91.398200000000543</v>
      </c>
      <c r="AJ41" s="31">
        <v>2054</v>
      </c>
      <c r="AK41" s="30">
        <f t="shared" si="32"/>
        <v>1.7336300000000051</v>
      </c>
      <c r="AL41" s="30">
        <f t="shared" si="33"/>
        <v>9.9690000000000225</v>
      </c>
      <c r="AM41" s="30"/>
      <c r="AN41" s="30"/>
      <c r="AO41" s="30">
        <v>90</v>
      </c>
      <c r="AP41" s="30"/>
      <c r="AQ41" s="30">
        <v>347.3</v>
      </c>
      <c r="AR41" s="31">
        <v>2054</v>
      </c>
      <c r="AS41" s="30">
        <f t="shared" si="34"/>
        <v>1.1491399999999956</v>
      </c>
      <c r="AT41" s="30">
        <f t="shared" si="35"/>
        <v>6.5596179999999986</v>
      </c>
      <c r="AU41" s="30">
        <f t="shared" si="36"/>
        <v>0.39628000000000441</v>
      </c>
      <c r="AV41" s="30"/>
      <c r="AW41" s="30">
        <v>1333</v>
      </c>
      <c r="AX41" s="30">
        <v>92</v>
      </c>
      <c r="AY41" s="30">
        <f t="shared" si="37"/>
        <v>84.968199999999797</v>
      </c>
    </row>
    <row r="42" spans="1:51" x14ac:dyDescent="0.25">
      <c r="A42" s="25">
        <v>2055</v>
      </c>
      <c r="B42" s="26">
        <v>3.2000000000000001E-2</v>
      </c>
      <c r="C42" s="26">
        <v>3.9E-2</v>
      </c>
      <c r="D42" s="35">
        <v>2.5000000000000001E-2</v>
      </c>
      <c r="E42" s="27">
        <v>0.52139999999999997</v>
      </c>
      <c r="F42" s="27">
        <f t="shared" si="9"/>
        <v>3.8364575188730896</v>
      </c>
      <c r="G42" s="27">
        <v>0.513127</v>
      </c>
      <c r="H42" s="27">
        <v>0.35460000000000003</v>
      </c>
      <c r="I42" s="30">
        <f t="shared" si="10"/>
        <v>98293.449999999953</v>
      </c>
      <c r="J42" s="29">
        <v>48853</v>
      </c>
      <c r="K42" s="30">
        <f t="shared" si="11"/>
        <v>161214.5</v>
      </c>
      <c r="L42" s="30">
        <f t="shared" si="12"/>
        <v>12897.075000000012</v>
      </c>
      <c r="M42" s="30">
        <f t="shared" si="13"/>
        <v>16827.75</v>
      </c>
      <c r="N42" s="30">
        <f t="shared" si="14"/>
        <v>21241.800000000047</v>
      </c>
      <c r="O42" s="30">
        <f t="shared" si="15"/>
        <v>1.862309999999999</v>
      </c>
      <c r="P42" s="30">
        <f t="shared" si="16"/>
        <v>1.7186650000000006</v>
      </c>
      <c r="Q42" s="29">
        <v>0.97</v>
      </c>
      <c r="R42" s="29">
        <v>0.38</v>
      </c>
      <c r="S42" s="30">
        <f t="shared" si="17"/>
        <v>3.0726650000000006</v>
      </c>
      <c r="T42" s="30">
        <f t="shared" si="18"/>
        <v>1.9860149999999983</v>
      </c>
      <c r="U42" s="30">
        <f t="shared" si="19"/>
        <v>1.8186549999999997</v>
      </c>
      <c r="V42" s="29">
        <v>0.97</v>
      </c>
      <c r="W42" s="29">
        <v>0.38</v>
      </c>
      <c r="X42" s="30">
        <f t="shared" si="20"/>
        <v>3.1716549999999994</v>
      </c>
      <c r="Y42" s="30">
        <f t="shared" si="21"/>
        <v>98.564000000000078</v>
      </c>
      <c r="Z42" s="30">
        <f>-1321+0.6897*A42</f>
        <v>96.333499999999958</v>
      </c>
      <c r="AA42" s="30">
        <f t="shared" si="23"/>
        <v>135.46450000000004</v>
      </c>
      <c r="AB42" s="30">
        <f t="shared" si="24"/>
        <v>12.20049999999992</v>
      </c>
      <c r="AC42" s="30">
        <f t="shared" si="25"/>
        <v>119.13300000000027</v>
      </c>
      <c r="AD42" s="30">
        <f t="shared" si="26"/>
        <v>114.70249999999987</v>
      </c>
      <c r="AE42" s="30">
        <f t="shared" si="27"/>
        <v>162.69000000000005</v>
      </c>
      <c r="AF42" s="30">
        <f t="shared" si="28"/>
        <v>12.20049999999992</v>
      </c>
      <c r="AG42" s="30">
        <f t="shared" si="29"/>
        <v>15.50974999999994</v>
      </c>
      <c r="AH42" s="30">
        <f t="shared" si="30"/>
        <v>88.235999999998967</v>
      </c>
      <c r="AI42" s="30">
        <f t="shared" si="31"/>
        <v>94.931500000000597</v>
      </c>
      <c r="AJ42" s="31">
        <v>2055</v>
      </c>
      <c r="AK42" s="30">
        <f t="shared" si="32"/>
        <v>1.7742750000000029</v>
      </c>
      <c r="AL42" s="30">
        <f t="shared" si="33"/>
        <v>10.092500000000001</v>
      </c>
      <c r="AM42" s="30"/>
      <c r="AN42" s="30"/>
      <c r="AO42" s="30">
        <v>90</v>
      </c>
      <c r="AP42" s="30"/>
      <c r="AQ42" s="30">
        <v>347.3</v>
      </c>
      <c r="AR42" s="31">
        <v>2055</v>
      </c>
      <c r="AS42" s="30">
        <f t="shared" si="34"/>
        <v>1.1800499999999943</v>
      </c>
      <c r="AT42" s="30">
        <f t="shared" si="35"/>
        <v>6.5576849999999993</v>
      </c>
      <c r="AU42" s="30">
        <f t="shared" si="36"/>
        <v>0.35009999999999764</v>
      </c>
      <c r="AV42" s="30"/>
      <c r="AW42" s="30">
        <v>1333</v>
      </c>
      <c r="AX42" s="30">
        <v>92</v>
      </c>
      <c r="AY42" s="30">
        <f t="shared" si="37"/>
        <v>85.956500000000005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RUIZ</dc:creator>
  <cp:lastModifiedBy>ELIAS RUIZ</cp:lastModifiedBy>
  <dcterms:created xsi:type="dcterms:W3CDTF">2020-06-23T19:48:43Z</dcterms:created>
  <dcterms:modified xsi:type="dcterms:W3CDTF">2020-06-24T02:50:52Z</dcterms:modified>
</cp:coreProperties>
</file>